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土地比较法-工业" sheetId="40" r:id="rId23"/>
    <sheet name="土地案例"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67" l="1"/>
  <c r="B14" i="74" l="1"/>
  <c r="C75" i="9"/>
  <c r="C66" i="9"/>
  <c r="L77" i="9"/>
  <c r="AJ6" i="1"/>
  <c r="AI23" i="1"/>
  <c r="AI22" i="1"/>
  <c r="AI20" i="1"/>
  <c r="D3" i="40"/>
  <c r="I41" i="40"/>
  <c r="G41" i="40"/>
  <c r="E41" i="40"/>
  <c r="G112" i="40"/>
  <c r="F112" i="40"/>
  <c r="E112" i="40"/>
  <c r="D112" i="40"/>
  <c r="C112" i="40"/>
  <c r="E109" i="40"/>
  <c r="D109" i="40"/>
  <c r="I34" i="40"/>
  <c r="G34" i="40"/>
  <c r="E34" i="40"/>
  <c r="I5" i="40"/>
  <c r="G5" i="40"/>
  <c r="E5" i="40"/>
  <c r="I11" i="40"/>
  <c r="G11" i="40"/>
  <c r="E11" i="40"/>
  <c r="C10" i="40"/>
  <c r="N6" i="1" l="1"/>
  <c r="N18" i="1"/>
  <c r="AU2" i="80" l="1"/>
  <c r="H66" i="40"/>
  <c r="G66" i="40"/>
  <c r="F66" i="40"/>
  <c r="E66" i="40"/>
  <c r="I7" i="40"/>
  <c r="G7" i="40"/>
  <c r="E7" i="40"/>
  <c r="J52" i="67" l="1"/>
  <c r="B59" i="1"/>
  <c r="B35" i="1"/>
  <c r="B21" i="1"/>
  <c r="Y6" i="1"/>
  <c r="F19" i="6" l="1"/>
  <c r="C11"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77" i="43"/>
  <c r="B57" i="43"/>
  <c r="B68" i="43"/>
  <c r="C29" i="39"/>
  <c r="S18" i="36"/>
  <c r="U18" i="36"/>
  <c r="S21" i="34"/>
  <c r="F94" i="40"/>
  <c r="G94" i="40" s="1"/>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D90" i="40"/>
  <c r="E90" i="40"/>
  <c r="F90" i="40"/>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s="1"/>
  <c r="H38" i="40"/>
  <c r="AB38" i="40"/>
  <c r="Q37" i="40"/>
  <c r="Z37" i="40"/>
  <c r="Q36" i="40"/>
  <c r="Z36" i="40"/>
  <c r="Q35" i="40"/>
  <c r="Z35" i="40"/>
  <c r="Q34" i="40"/>
  <c r="Z34" i="40"/>
  <c r="J34" i="40"/>
  <c r="AC34" i="40" s="1"/>
  <c r="H34" i="40"/>
  <c r="AB34" i="40" s="1"/>
  <c r="F34" i="40"/>
  <c r="AA34" i="40" s="1"/>
  <c r="Q33" i="40"/>
  <c r="Z33" i="40" s="1"/>
  <c r="Q32" i="40"/>
  <c r="Z32" i="40"/>
  <c r="Q31" i="40"/>
  <c r="Z31" i="40" s="1"/>
  <c r="Q30" i="40"/>
  <c r="Z30" i="40"/>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s="1"/>
  <c r="G15" i="20"/>
  <c r="B83" i="43" s="1"/>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S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F17" i="40"/>
  <c r="S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c r="F14" i="40"/>
  <c r="AA14" i="40" s="1"/>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C46" i="36" s="1"/>
  <c r="D46" i="36" s="1"/>
  <c r="E46" i="36" s="1"/>
  <c r="F46" i="36" s="1"/>
  <c r="G46" i="36" s="1"/>
  <c r="H46" i="36" s="1"/>
  <c r="I46" i="36" s="1"/>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W30" i="40" s="1"/>
  <c r="F30" i="40"/>
  <c r="AA30" i="40" s="1"/>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W38" i="40"/>
  <c r="AA32" i="40"/>
  <c r="AC15" i="40"/>
  <c r="AB27"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25" i="3" s="1"/>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27" i="40"/>
  <c r="W3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96" i="3"/>
  <c r="E140" i="3"/>
  <c r="E369" i="3"/>
  <c r="E405" i="3"/>
  <c r="E456" i="3"/>
  <c r="E408" i="3"/>
  <c r="E497" i="3"/>
  <c r="E13" i="3"/>
  <c r="E470" i="3"/>
  <c r="E41" i="3"/>
  <c r="E115" i="3"/>
  <c r="E225" i="3"/>
  <c r="E391" i="3"/>
  <c r="E356" i="3"/>
  <c r="E504" i="3"/>
  <c r="E110" i="3"/>
  <c r="E75" i="3"/>
  <c r="E462" i="3"/>
  <c r="E446" i="3"/>
  <c r="E18" i="3"/>
  <c r="E98" i="3"/>
  <c r="E138" i="3"/>
  <c r="E190" i="3"/>
  <c r="E163" i="3"/>
  <c r="E209" i="3"/>
  <c r="E235" i="3"/>
  <c r="E307" i="3"/>
  <c r="E354" i="3"/>
  <c r="E522" i="3"/>
  <c r="E66" i="3"/>
  <c r="E48" i="3"/>
  <c r="E49" i="3"/>
  <c r="E127" i="3"/>
  <c r="E284" i="3"/>
  <c r="E370" i="3"/>
  <c r="Y6" i="3"/>
  <c r="E19" i="3"/>
  <c r="E113" i="3"/>
  <c r="E179" i="3"/>
  <c r="E323" i="3"/>
  <c r="E326"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15"/>
  <c r="E13" i="76"/>
  <c r="F6" i="67"/>
  <c r="F38" i="67"/>
  <c r="D35" i="9"/>
  <c r="M28" i="15"/>
  <c r="M9" i="15"/>
  <c r="B13" i="76"/>
  <c r="C76" i="67"/>
  <c r="F7" i="67"/>
  <c r="M22" i="67"/>
  <c r="F5" i="73"/>
  <c r="D6" i="73"/>
  <c r="F9" i="15"/>
  <c r="M23" i="15"/>
  <c r="B9" i="76"/>
  <c r="F43" i="15"/>
  <c r="B12" i="76"/>
  <c r="B10" i="76"/>
  <c r="E12" i="76"/>
  <c r="M24" i="67"/>
  <c r="B8" i="76"/>
  <c r="E2" i="68"/>
  <c r="D34" i="9"/>
  <c r="F43" i="67"/>
  <c r="F4" i="73"/>
  <c r="F26" i="67"/>
  <c r="F16" i="67"/>
  <c r="F36" i="15"/>
  <c r="E9" i="76"/>
  <c r="F13" i="15"/>
  <c r="F13" i="67"/>
  <c r="M24" i="15"/>
  <c r="F7" i="15"/>
  <c r="F42" i="67"/>
  <c r="D7" i="73"/>
  <c r="F8" i="15"/>
  <c r="M29" i="15"/>
  <c r="L47" i="67"/>
  <c r="AO13" i="1"/>
  <c r="M9" i="67"/>
  <c r="M26" i="67"/>
  <c r="M8" i="67"/>
  <c r="E7" i="76"/>
  <c r="B7" i="76"/>
  <c r="L48" i="15"/>
  <c r="E8" i="76"/>
  <c r="E10" i="76"/>
  <c r="F40" i="15"/>
  <c r="F37" i="15"/>
  <c r="M8" i="15"/>
  <c r="F16" i="15"/>
  <c r="D4" i="73"/>
  <c r="M29" i="67"/>
  <c r="M6" i="15"/>
  <c r="F8" i="67"/>
  <c r="M23" i="67"/>
  <c r="B11" i="76"/>
  <c r="D3" i="73"/>
  <c r="F38" i="15"/>
  <c r="F6" i="73"/>
  <c r="E11" i="76"/>
  <c r="D5" i="73"/>
  <c r="F3" i="73"/>
  <c r="F40" i="67"/>
  <c r="M6" i="67"/>
  <c r="F26" i="15"/>
  <c r="M22" i="15"/>
  <c r="F7" i="73"/>
  <c r="F36" i="67"/>
  <c r="J15" i="67"/>
  <c r="C76" i="15"/>
  <c r="F37" i="67"/>
  <c r="E2" i="69"/>
  <c r="F20" i="31"/>
  <c r="M28" i="67"/>
  <c r="M26" i="15"/>
  <c r="L47" i="15"/>
  <c r="F42" i="15"/>
  <c r="L48" i="67"/>
  <c r="J15" i="15"/>
  <c r="F9" i="67"/>
  <c r="H23" i="40" l="1"/>
  <c r="U23" i="40" s="1"/>
  <c r="F23" i="40"/>
  <c r="AA23" i="40" s="1"/>
  <c r="J23" i="40"/>
  <c r="AC23" i="40" s="1"/>
  <c r="F92" i="40"/>
  <c r="G92" i="40" s="1"/>
  <c r="AC19" i="40"/>
  <c r="J17" i="40"/>
  <c r="W17" i="40" s="1"/>
  <c r="AB37" i="40"/>
  <c r="S36" i="40"/>
  <c r="S35" i="40"/>
  <c r="AC36" i="40"/>
  <c r="U36" i="40"/>
  <c r="U35" i="40"/>
  <c r="W35" i="40"/>
  <c r="W34" i="40"/>
  <c r="S30" i="40"/>
  <c r="AC30" i="40"/>
  <c r="AB33" i="40"/>
  <c r="AA27" i="40"/>
  <c r="AB23" i="40"/>
  <c r="W25" i="40"/>
  <c r="S25" i="40"/>
  <c r="S23" i="40"/>
  <c r="AC21" i="40"/>
  <c r="AB21" i="40"/>
  <c r="AA21" i="40"/>
  <c r="AB19" i="40"/>
  <c r="AA19" i="40"/>
  <c r="AA17" i="40"/>
  <c r="S15" i="40"/>
  <c r="U15" i="40"/>
  <c r="S14" i="40"/>
  <c r="AC9" i="40"/>
  <c r="AB9" i="40"/>
  <c r="U11" i="40"/>
  <c r="C18" i="9"/>
  <c r="D18" i="9" s="1"/>
  <c r="S34" i="40"/>
  <c r="AC11" i="40"/>
  <c r="C25" i="40"/>
  <c r="C24" i="12"/>
  <c r="B41" i="1"/>
  <c r="C21" i="68"/>
  <c r="C40" i="69"/>
  <c r="G22" i="69"/>
  <c r="G22" i="11"/>
  <c r="E1" i="73"/>
  <c r="G26" i="12"/>
  <c r="G22" i="68"/>
  <c r="E83" i="3"/>
  <c r="E287" i="3"/>
  <c r="E102" i="3"/>
  <c r="E232" i="3"/>
  <c r="E86" i="3"/>
  <c r="E383" i="3"/>
  <c r="E220" i="3"/>
  <c r="E78" i="3"/>
  <c r="E482" i="3"/>
  <c r="E42" i="3"/>
  <c r="E281" i="3"/>
  <c r="E420" i="3"/>
  <c r="E451" i="3"/>
  <c r="BB5" i="3"/>
  <c r="AZ15" i="3"/>
  <c r="BA5" i="3"/>
  <c r="BL5"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0" i="3"/>
  <c r="E300" i="3"/>
  <c r="E310" i="3"/>
  <c r="E23" i="3"/>
  <c r="E67" i="3"/>
  <c r="E33" i="3"/>
  <c r="E184" i="3"/>
  <c r="E355" i="3"/>
  <c r="E68" i="3"/>
  <c r="E63" i="3"/>
  <c r="E264" i="3"/>
  <c r="E309" i="3"/>
  <c r="E51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67" i="3"/>
  <c r="E249" i="3"/>
  <c r="E371" i="3"/>
  <c r="E492" i="3"/>
  <c r="E84" i="3"/>
  <c r="E144" i="3"/>
  <c r="E233" i="3"/>
  <c r="E381" i="3"/>
  <c r="E81" i="3"/>
  <c r="E118" i="3"/>
  <c r="E283" i="3"/>
  <c r="E21" i="3"/>
  <c r="E308" i="3"/>
  <c r="E158" i="3"/>
  <c r="E80" i="3"/>
  <c r="AF6" i="3"/>
  <c r="E251" i="3"/>
  <c r="E206" i="3"/>
  <c r="E34" i="3"/>
  <c r="E35" i="3"/>
  <c r="E342" i="3"/>
  <c r="E324" i="3"/>
  <c r="E275" i="3"/>
  <c r="E174" i="3"/>
  <c r="E129" i="3"/>
  <c r="E96" i="3"/>
  <c r="E412" i="3"/>
  <c r="E428" i="3"/>
  <c r="E94" i="3"/>
  <c r="AL6" i="3"/>
  <c r="E332" i="3"/>
  <c r="E139" i="3"/>
  <c r="E104" i="3"/>
  <c r="E452" i="3"/>
  <c r="E556" i="3"/>
  <c r="E512" i="3"/>
  <c r="T6" i="3"/>
  <c r="E173" i="3"/>
  <c r="E205" i="3"/>
  <c r="E22" i="3"/>
  <c r="E373" i="3"/>
  <c r="E222" i="3"/>
  <c r="E154" i="3"/>
  <c r="E51" i="3"/>
  <c r="E341" i="3"/>
  <c r="E250" i="3"/>
  <c r="E87" i="3"/>
  <c r="E24" i="3"/>
  <c r="E584" i="3"/>
  <c r="E386" i="3"/>
  <c r="E266" i="3"/>
  <c r="E248" i="3"/>
  <c r="E195" i="3"/>
  <c r="E65" i="3"/>
  <c r="E47" i="3"/>
  <c r="E521" i="3"/>
  <c r="E488" i="3"/>
  <c r="E58" i="3"/>
  <c r="E375" i="3"/>
  <c r="E243" i="3"/>
  <c r="E198" i="3"/>
  <c r="E26" i="3"/>
  <c r="E494" i="3"/>
  <c r="E360" i="3"/>
  <c r="E469" i="3"/>
  <c r="E534" i="3"/>
  <c r="E197" i="3"/>
  <c r="E329" i="3"/>
  <c r="G28" i="6"/>
  <c r="A15" i="62"/>
  <c r="B61" i="72"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G1" i="73"/>
  <c r="C16" i="67"/>
  <c r="F27" i="69"/>
  <c r="C16" i="15"/>
  <c r="D9" i="69"/>
  <c r="W23" i="40" l="1"/>
  <c r="AC17" i="40"/>
  <c r="F7" i="36"/>
  <c r="H7" i="36"/>
  <c r="F48" i="9"/>
  <c r="O52" i="9" s="1"/>
  <c r="F31" i="12"/>
  <c r="C31" i="12" s="1"/>
  <c r="F30" i="69"/>
  <c r="D68" i="9"/>
  <c r="F30" i="68"/>
  <c r="F52" i="9"/>
  <c r="F32" i="15"/>
  <c r="F60" i="15" s="1"/>
  <c r="F54" i="9"/>
  <c r="F28" i="67"/>
  <c r="C28" i="67" s="1"/>
  <c r="F32" i="67"/>
  <c r="F60" i="67" s="1"/>
  <c r="F28" i="15"/>
  <c r="C28" i="15" s="1"/>
  <c r="F30" i="11"/>
  <c r="M18" i="67"/>
  <c r="M18" i="15"/>
  <c r="P6" i="1"/>
  <c r="C13" i="12" s="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F48" i="68"/>
  <c r="C48" i="68"/>
  <c r="C30"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34" i="69"/>
  <c r="D10" i="69"/>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E6" i="76"/>
  <c r="C14" i="15"/>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C19" i="15"/>
  <c r="C20" i="15" s="1"/>
  <c r="C26" i="15" s="1"/>
  <c r="C33" i="68"/>
  <c r="C39" i="68" s="1"/>
  <c r="C30" i="12"/>
  <c r="C28" i="12" s="1"/>
  <c r="C38" i="11"/>
  <c r="C35" i="11"/>
  <c r="H27" i="6"/>
  <c r="R19" i="6"/>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J59" i="67"/>
  <c r="J60" i="67" s="1"/>
  <c r="Q48" i="67" s="1"/>
  <c r="AC7" i="21"/>
  <c r="V48" i="21" s="1"/>
  <c r="I48"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C33" i="67"/>
  <c r="M21" i="67"/>
  <c r="M21" i="15"/>
  <c r="F35" i="15"/>
  <c r="AC7" i="35" l="1"/>
  <c r="V38" i="35" s="1"/>
  <c r="I38" i="35" s="1"/>
  <c r="D5" i="71"/>
  <c r="M24" i="43" s="1"/>
  <c r="C56" i="67"/>
  <c r="C65" i="67" s="1"/>
  <c r="J22" i="67"/>
  <c r="C37" i="67"/>
  <c r="C75" i="67"/>
  <c r="C36" i="15"/>
  <c r="J59" i="15"/>
  <c r="J60" i="15" s="1"/>
  <c r="Q48" i="15" s="1"/>
  <c r="C46" i="11"/>
  <c r="C45" i="11" s="1"/>
  <c r="C43" i="11"/>
  <c r="C42" i="11"/>
  <c r="C31"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5"/>
  <c r="L51" i="15"/>
  <c r="D2" i="36"/>
  <c r="D2" i="37"/>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6" i="1"/>
  <c r="AO9" i="1"/>
  <c r="AO7" i="1"/>
  <c r="AO12" i="1"/>
  <c r="D20" i="9"/>
  <c r="AO10" i="1"/>
  <c r="AO11"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C6" i="69" s="1"/>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F61" i="40" l="1"/>
  <c r="B2" i="40" s="1"/>
  <c r="B3" i="40" s="1"/>
  <c r="C23" i="69"/>
  <c r="C20" i="69"/>
  <c r="C28" i="69" l="1"/>
  <c r="C27" i="69" s="1"/>
  <c r="C25" i="69"/>
  <c r="C22" i="69" s="1"/>
  <c r="C31" i="69" l="1"/>
  <c r="C52" i="69" s="1"/>
  <c r="C57" i="69" s="1"/>
  <c r="C56" i="69" s="1"/>
  <c r="B2" i="69" l="1"/>
  <c r="B3" i="69"/>
  <c r="C19" i="9"/>
  <c r="C20" i="9"/>
  <c r="D22" i="9" l="1"/>
  <c r="C21" i="9"/>
  <c r="G19" i="9"/>
  <c r="G21" i="9" s="1"/>
  <c r="C102" i="9"/>
  <c r="C103" i="9"/>
  <c r="G20" i="9"/>
  <c r="C32" i="9" s="1"/>
  <c r="C35" i="9" l="1"/>
  <c r="C34" i="9" s="1"/>
  <c r="I118" i="9"/>
  <c r="I4" i="52" s="1"/>
  <c r="G118" i="9" l="1"/>
  <c r="F118" i="9" s="1"/>
  <c r="F4" i="52" s="1"/>
  <c r="B51" i="72" s="1"/>
  <c r="H118" i="9"/>
  <c r="H101" i="9" s="1"/>
  <c r="C105" i="9"/>
  <c r="H102" i="9"/>
  <c r="E118" i="9" l="1"/>
  <c r="D118" i="9" s="1"/>
  <c r="D4" i="52" s="1"/>
  <c r="B47" i="72" s="1"/>
  <c r="F119" i="9"/>
  <c r="F5" i="52" s="1"/>
  <c r="B53" i="72" s="1"/>
  <c r="D5" i="53"/>
  <c r="B20" i="72" s="1"/>
  <c r="D14" i="74"/>
  <c r="G4" i="52"/>
  <c r="B52" i="72" s="1"/>
  <c r="M48" i="9"/>
  <c r="H4" i="52"/>
  <c r="H107" i="9"/>
  <c r="D119" i="9"/>
  <c r="D5" i="52" s="1"/>
  <c r="B49" i="72" s="1"/>
  <c r="H119" i="9"/>
  <c r="H5" i="52" s="1"/>
  <c r="D45" i="9"/>
  <c r="C78" i="9" s="1"/>
  <c r="C73" i="9" s="1"/>
  <c r="C104" i="9"/>
  <c r="E4" i="52"/>
  <c r="B48" i="72" s="1"/>
  <c r="D7" i="53"/>
  <c r="B21" i="72" s="1"/>
  <c r="D6" i="53"/>
  <c r="B22" i="72" s="1"/>
  <c r="D13" i="53" l="1"/>
  <c r="B30" i="72" s="1"/>
  <c r="G14" i="74"/>
  <c r="B6" i="74" s="1"/>
  <c r="D6" i="74" s="1"/>
  <c r="B5" i="74"/>
  <c r="E14" i="74"/>
  <c r="F14" i="74"/>
  <c r="D122" i="9"/>
  <c r="D8" i="52" s="1"/>
  <c r="H108" i="9"/>
  <c r="D15" i="53" s="1"/>
  <c r="B31" i="72" s="1"/>
  <c r="M49" i="9"/>
  <c r="L63" i="9" s="1"/>
  <c r="M63" i="9" s="1"/>
  <c r="D55" i="9"/>
  <c r="M53" i="9" s="1"/>
  <c r="C64" i="9"/>
  <c r="C63" i="9" s="1"/>
  <c r="C67" i="9" s="1"/>
  <c r="C68" i="9" s="1"/>
  <c r="D54" i="9" s="1"/>
  <c r="D48" i="9" s="1"/>
  <c r="M52" i="9" s="1"/>
  <c r="D53" i="9"/>
  <c r="C85" i="9"/>
  <c r="C93" i="9"/>
  <c r="C86" i="9" s="1"/>
  <c r="D52" i="9"/>
  <c r="C72" i="9"/>
  <c r="C79" i="9" s="1"/>
  <c r="C80" i="9" s="1"/>
  <c r="E80" i="9" s="1"/>
  <c r="E81" i="9" s="1"/>
  <c r="D59" i="9"/>
  <c r="M55" i="9" s="1"/>
  <c r="D14" i="53" l="1"/>
  <c r="B32" i="72" s="1"/>
  <c r="C6" i="74"/>
  <c r="D123" i="9"/>
  <c r="D9" i="52" s="1"/>
  <c r="L67" i="9"/>
  <c r="M67" i="9" s="1"/>
  <c r="L64" i="9"/>
  <c r="M64" i="9" s="1"/>
  <c r="D5" i="74"/>
  <c r="C5" i="74"/>
  <c r="L68" i="9"/>
  <c r="M68" i="9" s="1"/>
  <c r="L65" i="9"/>
  <c r="M65" i="9" s="1"/>
  <c r="L66" i="9"/>
  <c r="M66" i="9" s="1"/>
  <c r="C95" i="9"/>
  <c r="C96" i="9" s="1"/>
  <c r="E96" i="9" s="1"/>
  <c r="E97" i="9" s="1"/>
  <c r="C81" i="9"/>
  <c r="M69" i="9" l="1"/>
  <c r="N69" i="9" s="1"/>
  <c r="C97" i="9"/>
  <c r="D58" i="9" s="1"/>
  <c r="D56" i="9" s="1"/>
  <c r="M54" i="9" s="1"/>
  <c r="N57" i="9" s="1"/>
  <c r="P57" i="9" l="1"/>
  <c r="N58" i="9"/>
  <c r="N59" i="9"/>
  <c r="H111" i="9" l="1"/>
  <c r="I14" i="74" s="1"/>
  <c r="B8" i="74" s="1"/>
  <c r="D8" i="74" s="1"/>
  <c r="N60" i="9"/>
  <c r="N61" i="9"/>
  <c r="H112" i="9" s="1"/>
  <c r="C8" i="74" l="1"/>
  <c r="D21" i="53"/>
  <c r="B39" i="72" s="1"/>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<sst xmlns="http://schemas.openxmlformats.org/spreadsheetml/2006/main" count="8566" uniqueCount="3631">
  <si>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</si>
  <si>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</si>
  <si>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</si>
  <si>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</si>
  <si>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</si>
  <si>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</si>
  <si>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</si>
  <si>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</si>
  <si>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</si>
  <si>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</si>
  <si>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</si>
  <si>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</si>
  <si>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</si>
  <si>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</si>
  <si>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</si>
  <si>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</si>
  <si>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</si>
  <si>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</si>
  <si>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</si>
  <si>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</si>
  <si>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</si>
  <si>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</si>
  <si>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</si>
  <si>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</si>
  <si>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</si>
  <si>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</si>
  <si>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</si>
  <si>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</si>
  <si>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</si>
  <si>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</si>
  <si>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</si>
  <si>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</si>
  <si>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</si>
  <si>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</si>
  <si>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</si>
  <si>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</si>
  <si>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</si>
  <si>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</si>
  <si>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</si>
  <si>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</si>
  <si>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</si>
  <si>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</si>
  <si>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</si>
  <si>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</si>
  <si>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</si>
  <si>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</si>
  <si>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</si>
  <si>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</si>
  <si>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</si>
  <si>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</si>
  <si>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</si>
  <si>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</si>
  <si>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</si>
  <si>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</si>
  <si>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</si>
  <si>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</si>
  <si>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</si>
  <si>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</si>
  <si>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</si>
  <si>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</si>
  <si>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</si>
  <si>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</si>
  <si>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</si>
  <si>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</si>
  <si>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</si>
  <si>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</si>
  <si>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</si>
  <si>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</si>
  <si>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</si>
  <si>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</si>
  <si>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</si>
  <si>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</si>
  <si>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</si>
  <si>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</si>
  <si>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</si>
  <si>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</si>
  <si>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</si>
  <si>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</si>
  <si>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</si>
  <si>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</si>
  <si>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</si>
  <si>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</si>
  <si>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</si>
  <si>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</si>
  <si>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</si>
  <si>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</si>
  <si>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</si>
  <si>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</si>
  <si>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</si>
  <si>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</si>
  <si>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</si>
  <si>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</si>
  <si>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</si>
  <si>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</si>
  <si>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</si>
  <si>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</si>
  <si>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</si>
  <si>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</si>
  <si>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</si>
  <si>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</si>
  <si>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</si>
  <si>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</si>
  <si>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</si>
  <si>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</si>
  <si>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</si>
  <si>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</si>
  <si>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</si>
  <si>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</si>
  <si>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</si>
  <si>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</si>
  <si>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</si>
  <si>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</si>
  <si>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</si>
  <si>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</si>
  <si>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</si>
  <si>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</si>
  <si>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</si>
  <si>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</si>
  <si>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</si>
  <si>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</si>
  <si>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</si>
  <si>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</si>
  <si>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</si>
  <si>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</si>
  <si>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</si>
  <si>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</si>
  <si>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</si>
  <si>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</si>
  <si>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</si>
  <si>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</si>
  <si>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</si>
  <si>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</si>
  <si>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</si>
  <si>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</si>
  <si>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</si>
  <si>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</si>
  <si>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</si>
  <si>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</si>
  <si>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</si>
  <si>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</si>
  <si>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</si>
  <si>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</si>
  <si>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</si>
  <si>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</si>
  <si>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</si>
  <si>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</si>
  <si>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</si>
  <si>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</si>
  <si>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</si>
  <si>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</si>
  <si>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</si>
  <si>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</si>
  <si>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</si>
  <si>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</si>
  <si>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</si>
  <si>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</si>
  <si>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</si>
  <si>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</si>
  <si>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</si>
  <si>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</si>
  <si>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</si>
  <si>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</si>
  <si>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</si>
  <si>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</si>
  <si>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</si>
  <si>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</si>
  <si>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</si>
  <si>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</si>
  <si>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</si>
  <si>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</si>
  <si>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</si>
  <si>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</si>
  <si>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</si>
  <si>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</si>
  <si>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</si>
  <si>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</si>
  <si>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</si>
  <si>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</si>
  <si>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</si>
  <si>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</si>
  <si>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</si>
  <si>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</si>
  <si>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</si>
  <si>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</si>
  <si>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</si>
  <si>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</si>
  <si>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</si>
  <si>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</si>
  <si>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</si>
  <si>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</si>
  <si>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</si>
  <si>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</si>
  <si>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</si>
  <si>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</si>
  <si>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</si>
  <si>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</si>
  <si>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</si>
  <si>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</si>
  <si>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</si>
  <si>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</si>
  <si>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</si>
  <si>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</si>
  <si>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</si>
  <si>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</si>
  <si>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</si>
  <si>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</si>
  <si>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</si>
  <si>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</si>
  <si>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</si>
  <si>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</si>
  <si>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</si>
  <si>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</si>
  <si>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</si>
  <si>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</si>
  <si>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</si>
  <si>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</si>
  <si>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</si>
  <si>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</si>
  <si>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</si>
  <si>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</si>
  <si>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</si>
  <si>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</si>
  <si>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</si>
  <si>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</si>
  <si>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</si>
  <si>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</si>
  <si>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</si>
  <si>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</si>
  <si>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</si>
  <si>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</si>
  <si>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</si>
  <si>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</si>
  <si>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</si>
  <si>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</si>
  <si>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</si>
  <si>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</si>
  <si>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</si>
  <si>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</si>
  <si>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</si>
  <si>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</si>
  <si>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</si>
  <si>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</si>
  <si>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</si>
  <si>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</si>
  <si>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</si>
  <si>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</si>
  <si>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</si>
  <si>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</si>
  <si>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</si>
  <si>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</si>
  <si>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</si>
  <si>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</si>
  <si>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</si>
  <si>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</si>
  <si>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</si>
  <si>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</si>
  <si>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</si>
  <si>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</si>
  <si>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</si>
  <si>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</si>
  <si>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</si>
  <si>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</si>
  <si>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</si>
  <si>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</si>
  <si>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</si>
  <si>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</si>
  <si>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</si>
  <si>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</si>
  <si>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</si>
  <si>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</si>
  <si>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</si>
  <si>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</si>
  <si>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</si>
  <si>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</si>
  <si>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</si>
  <si>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</si>
  <si>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</si>
  <si>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</si>
  <si>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</si>
  <si>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</si>
  <si>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</si>
  <si>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</si>
  <si>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</si>
  <si>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</si>
  <si>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</si>
  <si>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</si>
  <si>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</si>
  <si>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</si>
  <si>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</si>
  <si>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</si>
  <si>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</si>
  <si>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</si>
  <si>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</si>
  <si>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</si>
  <si>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</si>
  <si>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</si>
  <si>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</si>
  <si>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</si>
  <si>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</si>
  <si>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</si>
  <si>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</si>
  <si>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</si>
  <si>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</si>
  <si>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</si>
  <si>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</si>
  <si>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</si>
  <si>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</si>
  <si>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</si>
  <si>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</si>
  <si>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</si>
  <si>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</si>
  <si>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</si>
  <si>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</si>
  <si>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</si>
  <si>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</si>
  <si>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</si>
  <si>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</si>
  <si>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</si>
  <si>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</si>
  <si>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</si>
  <si>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</si>
  <si>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</si>
  <si>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</si>
  <si>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</si>
  <si>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</si>
  <si>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</si>
  <si>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</si>
  <si>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</si>
  <si>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</si>
  <si>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</si>
  <si>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</si>
  <si>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</si>
  <si>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</si>
  <si>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</si>
  <si>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</si>
  <si>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</si>
  <si>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</si>
  <si>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</si>
  <si>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</si>
  <si>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</si>
  <si>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</si>
  <si>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</si>
  <si>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</si>
  <si>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</si>
  <si>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</si>
  <si>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</si>
  <si>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</si>
  <si>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</si>
  <si>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</si>
  <si>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</si>
  <si>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</si>
  <si>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</si>
  <si>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</si>
  <si>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</si>
  <si>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</si>
  <si>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</si>
  <si>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</si>
  <si>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</si>
  <si>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</si>
  <si>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</si>
  <si>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</si>
  <si>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</si>
  <si>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</si>
  <si>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</si>
  <si>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</si>
  <si>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</si>
  <si>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</si>
  <si>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</si>
  <si>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</si>
  <si>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</si>
  <si>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</si>
  <si>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</si>
  <si>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</si>
  <si>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</si>
  <si>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</si>
  <si>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</si>
  <si>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</si>
  <si>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</si>
  <si>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</si>
  <si>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</si>
  <si>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</si>
  <si>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</si>
  <si>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</si>
  <si>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</si>
  <si>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</si>
  <si>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</si>
  <si>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</si>
  <si>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</si>
  <si>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</si>
  <si>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</si>
  <si>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</si>
  <si>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</si>
  <si>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</si>
  <si>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</si>
  <si>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</si>
  <si>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</si>
  <si>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</si>
  <si>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</si>
  <si>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</si>
  <si>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</si>
  <si>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</si>
  <si>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</si>
  <si>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</si>
  <si>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</si>
  <si>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</si>
  <si>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</si>
  <si>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</si>
  <si>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</si>
  <si>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</si>
  <si>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</si>
  <si>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</si>
  <si>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</si>
  <si>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</si>
  <si>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</si>
  <si>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</si>
  <si>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</si>
  <si>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</si>
  <si>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</si>
  <si>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</si>
  <si>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</si>
  <si>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</si>
  <si>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</si>
  <si>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</si>
  <si>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</si>
  <si>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</si>
  <si>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</si>
  <si>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</si>
  <si>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</si>
  <si>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</si>
  <si>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</si>
  <si>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</si>
  <si>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</si>
  <si>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</si>
  <si>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</si>
  <si>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</si>
  <si>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</si>
  <si>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</si>
  <si>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</si>
  <si>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</si>
  <si>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</si>
  <si>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</si>
  <si>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</si>
  <si>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</si>
  <si>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</si>
  <si>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</si>
  <si>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</si>
  <si>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</si>
  <si>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</si>
  <si>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</si>
  <si>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</si>
  <si>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</si>
  <si>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</si>
  <si>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</si>
  <si>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</si>
  <si>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</si>
  <si>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</si>
  <si>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</si>
  <si>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</si>
  <si>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</si>
  <si>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</si>
  <si>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</si>
  <si>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</si>
  <si>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</si>
  <si>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</si>
  <si>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</si>
  <si>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</si>
  <si>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</si>
  <si>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</si>
  <si>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</si>
  <si>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</si>
  <si>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</si>
  <si>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</si>
  <si>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</si>
  <si>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</si>
  <si>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</si>
  <si>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</si>
  <si>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</si>
  <si>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</si>
  <si>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</si>
  <si>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</si>
  <si>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</si>
  <si>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</si>
  <si>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</si>
  <si>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</si>
  <si>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</si>
  <si>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</si>
  <si>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</si>
  <si>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</si>
  <si>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</si>
  <si>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</si>
  <si>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</si>
  <si>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</si>
  <si>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</si>
  <si>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</si>
  <si>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</si>
  <si>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</si>
  <si>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</si>
  <si>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</si>
  <si>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</si>
  <si>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</si>
  <si>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</si>
  <si>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</si>
  <si>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</si>
  <si>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</si>
  <si>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</si>
  <si>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</si>
  <si>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</si>
  <si>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</si>
  <si>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</si>
  <si>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</si>
  <si>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</si>
  <si>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</si>
  <si>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</si>
  <si>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</si>
  <si>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</si>
  <si>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</si>
  <si>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</si>
  <si>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</si>
  <si>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</si>
  <si>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</si>
  <si>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</si>
  <si>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</si>
  <si>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</si>
  <si>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</si>
  <si>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</si>
  <si>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</si>
  <si>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</si>
  <si>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</si>
  <si>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</si>
  <si>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</si>
  <si>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</si>
  <si>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</si>
  <si>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</si>
  <si>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</si>
  <si>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</si>
  <si>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</si>
  <si>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</si>
  <si>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</si>
  <si>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</si>
  <si>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</si>
  <si>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</si>
  <si>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</si>
  <si>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</si>
  <si>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</si>
  <si>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</si>
  <si>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</si>
  <si>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</si>
  <si>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</si>
  <si>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</si>
  <si>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</si>
  <si>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</si>
  <si>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</si>
  <si>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</si>
  <si>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</si>
  <si>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</si>
  <si>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</si>
  <si>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</si>
  <si>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</si>
  <si>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</si>
  <si>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</si>
  <si>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</si>
  <si>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</si>
  <si>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</si>
  <si>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</si>
  <si>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</si>
  <si>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</si>
  <si>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</si>
  <si>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</si>
  <si>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</si>
  <si>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</si>
  <si>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</si>
  <si>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</si>
  <si>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</si>
  <si>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</si>
  <si>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</si>
  <si>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</si>
  <si>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</si>
  <si>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</si>
  <si>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</si>
  <si>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</si>
  <si>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</si>
  <si>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</si>
  <si>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</si>
  <si>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</si>
  <si>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</si>
  <si>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</si>
  <si>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</si>
  <si>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</si>
  <si>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</si>
  <si>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</si>
  <si>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</si>
  <si>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</si>
  <si>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</si>
  <si>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</si>
  <si>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</si>
  <si>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</si>
  <si>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</si>
  <si>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</si>
  <si>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</si>
  <si>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</si>
  <si>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</si>
  <si>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</si>
  <si>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</si>
  <si>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</si>
  <si>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</si>
  <si>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</si>
  <si>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</si>
  <si>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</si>
  <si>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</si>
  <si>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</si>
  <si>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</si>
  <si>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</si>
  <si>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</si>
  <si>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</si>
  <si>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</si>
  <si>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</si>
  <si>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</si>
  <si>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</si>
  <si>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</si>
  <si>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</si>
  <si>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</si>
  <si>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</si>
  <si>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</si>
  <si>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</si>
  <si>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</si>
  <si>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</si>
  <si>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</si>
  <si>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</si>
  <si>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</si>
  <si>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</si>
  <si>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</si>
  <si>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</si>
  <si>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</si>
  <si>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</si>
  <si>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</si>
  <si>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</si>
  <si>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</si>
  <si>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</si>
  <si>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</si>
  <si>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</si>
  <si>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</si>
  <si>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</si>
  <si>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</si>
  <si>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</si>
  <si>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</si>
  <si>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</si>
  <si>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</si>
  <si>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</si>
  <si>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</si>
  <si>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</si>
  <si>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</si>
  <si>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</si>
  <si>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</si>
  <si>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</si>
  <si>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</si>
  <si>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</si>
  <si>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</si>
  <si>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</si>
  <si>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</si>
  <si>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</si>
  <si>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</si>
  <si>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</si>
  <si>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</si>
  <si>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</si>
  <si>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</si>
  <si>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</si>
  <si>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</si>
  <si>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</si>
  <si>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</si>
  <si>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</si>
  <si>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</si>
  <si>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</si>
  <si>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</si>
  <si>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</si>
  <si>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</si>
  <si>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</si>
  <si>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</si>
  <si>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</si>
  <si>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</si>
  <si>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</si>
  <si>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</si>
  <si>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</si>
  <si>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</si>
  <si>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</si>
  <si>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</si>
  <si>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</si>
  <si>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</si>
  <si>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</si>
  <si>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</si>
  <si>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</si>
  <si>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</si>
  <si>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</si>
  <si>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</si>
  <si>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</si>
  <si>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</si>
  <si>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</si>
  <si>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</si>
  <si>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</si>
  <si>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</si>
  <si>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</si>
  <si>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</si>
  <si>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</si>
  <si>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</si>
  <si>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</si>
  <si>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</si>
  <si>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</si>
  <si>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</si>
  <si>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</si>
  <si>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</si>
  <si>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</si>
  <si>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</si>
  <si>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</si>
  <si>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</si>
  <si>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</si>
  <si>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</si>
  <si>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</si>
  <si>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</si>
  <si>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</si>
  <si>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</si>
  <si>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</si>
  <si>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</si>
  <si>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</si>
  <si>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</si>
  <si>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</si>
  <si>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</si>
  <si>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</si>
  <si>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</si>
  <si>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</si>
  <si>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</si>
  <si>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</si>
  <si>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</si>
  <si>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</si>
  <si>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</si>
  <si>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</si>
  <si>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</si>
  <si>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</si>
  <si>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</si>
  <si>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</si>
  <si>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</si>
  <si>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</si>
  <si>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</si>
  <si>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</si>
  <si>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</si>
  <si>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</si>
  <si>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</si>
  <si>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</si>
  <si>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</si>
  <si>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</si>
  <si>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</si>
  <si>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</si>
  <si>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</si>
  <si>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</si>
  <si>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</si>
  <si>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</si>
  <si>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</si>
  <si>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</si>
  <si>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</si>
  <si>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</si>
  <si>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</si>
  <si>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</si>
  <si>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</si>
  <si>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</si>
  <si>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</si>
  <si>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</si>
  <si>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</si>
  <si>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</si>
  <si>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</si>
  <si>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</si>
  <si>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</si>
  <si>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</si>
  <si>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</si>
  <si>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</si>
  <si>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</si>
  <si>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</si>
  <si>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</si>
  <si>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</si>
  <si>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</si>
  <si>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</si>
  <si>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</si>
  <si>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</si>
  <si>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</si>
  <si>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</si>
  <si>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</si>
  <si>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</si>
  <si>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</si>
  <si>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</si>
  <si>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</si>
  <si>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</si>
  <si>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</si>
  <si>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</si>
  <si>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</si>
  <si>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</si>
  <si>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</si>
  <si>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</si>
  <si>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</si>
  <si>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</si>
  <si>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</si>
  <si>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</si>
  <si>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</si>
  <si>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</si>
  <si>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</si>
  <si>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</si>
  <si>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</si>
  <si>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</si>
  <si>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</si>
  <si>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</si>
  <si>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</si>
  <si>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</si>
  <si>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</si>
  <si>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</si>
  <si>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</si>
  <si>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</si>
  <si>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</si>
  <si>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</si>
  <si>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</si>
  <si>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</si>
  <si>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</si>
  <si>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</si>
  <si>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</si>
  <si>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</si>
  <si>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</si>
  <si>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</si>
  <si>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</si>
  <si>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</si>
  <si>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</si>
  <si>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</si>
  <si>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</si>
  <si>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</si>
  <si>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</si>
  <si>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</si>
  <si>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</si>
  <si>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</si>
  <si>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</si>
  <si>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</si>
  <si>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</si>
  <si>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</si>
  <si>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</si>
  <si>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</si>
  <si>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</si>
  <si>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</si>
  <si>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</si>
  <si>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</si>
  <si>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</si>
  <si>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</si>
  <si>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</si>
  <si>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</si>
  <si>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</si>
  <si>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</si>
  <si>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</si>
  <si>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</si>
  <si>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</si>
  <si>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</si>
  <si>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</si>
  <si>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</si>
  <si>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</si>
  <si>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</si>
  <si>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</si>
  <si>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</si>
  <si>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</si>
  <si>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</si>
  <si>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</si>
  <si>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</si>
  <si>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</si>
  <si>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</si>
  <si>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</si>
  <si>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</si>
  <si>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</si>
  <si>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</si>
  <si>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</si>
  <si>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</si>
  <si>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</si>
  <si>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</si>
  <si>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</si>
  <si>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</si>
  <si>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</si>
  <si>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</si>
  <si>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</si>
  <si>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</si>
  <si>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</si>
  <si>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</si>
  <si>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</si>
  <si>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</si>
  <si>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</si>
  <si>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</si>
  <si>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</si>
  <si>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</si>
  <si>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</si>
  <si>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</si>
  <si>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</si>
  <si>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</si>
  <si>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</si>
  <si>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</si>
  <si>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</si>
  <si>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</si>
  <si>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</si>
  <si>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</si>
  <si>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</si>
  <si>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</si>
  <si>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</si>
  <si>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</si>
  <si>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</si>
  <si>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</si>
  <si>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</si>
  <si>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</si>
  <si>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</si>
  <si>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</si>
  <si>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</si>
  <si>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</si>
  <si>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</si>
  <si>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</si>
  <si>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</si>
  <si>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</si>
  <si>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</si>
  <si>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</si>
  <si>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</si>
  <si>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</si>
  <si>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</si>
  <si>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</si>
  <si>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</si>
  <si>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</si>
  <si>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</si>
  <si>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</si>
  <si>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</si>
  <si>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</si>
  <si>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</si>
  <si>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</si>
  <si>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</si>
  <si>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</si>
  <si>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</si>
  <si>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</si>
  <si>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</si>
  <si>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</si>
  <si>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</si>
  <si>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</si>
  <si>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</si>
  <si>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</si>
  <si>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</si>
  <si>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</si>
  <si>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</si>
  <si>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</si>
  <si>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</si>
  <si>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</si>
  <si>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</si>
  <si>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</si>
  <si>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</si>
  <si>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</si>
  <si>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</si>
  <si>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</si>
  <si>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</si>
  <si>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</si>
  <si>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</si>
  <si>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</si>
  <si>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</si>
  <si>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</si>
  <si>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</si>
  <si>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</si>
  <si>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</si>
  <si>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</si>
  <si>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</si>
  <si>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</si>
  <si>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</si>
  <si>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</si>
  <si>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</si>
  <si>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</si>
  <si>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</si>
  <si>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</si>
  <si>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</si>
  <si>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</si>
  <si>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</si>
  <si>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</si>
  <si>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</si>
  <si>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</si>
  <si>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</si>
  <si>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</si>
  <si>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</si>
  <si>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</si>
  <si>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</si>
  <si>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</si>
  <si>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</si>
  <si>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</si>
  <si>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</si>
  <si>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</si>
  <si>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</si>
  <si>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</si>
  <si>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</si>
  <si>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</si>
  <si>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</si>
  <si>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</si>
  <si>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</si>
  <si>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</si>
  <si>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</si>
  <si>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</si>
  <si>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</si>
  <si>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</si>
  <si>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</si>
  <si>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</si>
  <si>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</si>
  <si>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</si>
  <si>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</si>
  <si>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</si>
  <si>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</si>
  <si>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</si>
  <si>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</si>
  <si>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</si>
  <si>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</si>
  <si>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</si>
  <si>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</si>
  <si>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</si>
  <si>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</si>
  <si>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</si>
  <si>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</si>
  <si>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</si>
  <si>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</si>
  <si>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</si>
  <si>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</si>
  <si>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</si>
  <si>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</si>
  <si>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</si>
  <si>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</si>
  <si>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</si>
  <si>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</si>
  <si>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</si>
  <si>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</si>
  <si>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</si>
  <si>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</si>
  <si>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</si>
  <si>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</si>
  <si>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</si>
  <si>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</si>
  <si>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</si>
  <si>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</si>
  <si>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</si>
  <si>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</si>
  <si>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</si>
  <si>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</si>
  <si>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</si>
  <si>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</si>
  <si>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</si>
  <si>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</si>
  <si>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</si>
  <si>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</si>
  <si>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</si>
  <si>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</si>
  <si>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</si>
  <si>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</si>
  <si>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</si>
  <si>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</si>
  <si>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</si>
  <si>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</si>
  <si>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</si>
  <si>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</si>
  <si>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</si>
  <si>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</si>
  <si>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</si>
  <si>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</si>
  <si>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</si>
  <si>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</si>
  <si>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</si>
  <si>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</si>
  <si>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</si>
  <si>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</si>
  <si>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</si>
  <si>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</si>
  <si>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</si>
  <si>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</si>
  <si>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</si>
  <si>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</si>
  <si>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</si>
  <si>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</si>
  <si>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</si>
  <si>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</si>
  <si>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</si>
  <si>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</si>
  <si>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</si>
  <si>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</si>
  <si>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</si>
  <si>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</si>
  <si>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</si>
  <si>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</si>
  <si>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</si>
  <si>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</si>
  <si>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</si>
  <si>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</si>
  <si>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</si>
  <si>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</si>
  <si>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</si>
  <si>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</si>
  <si>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</si>
  <si>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</si>
  <si>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</si>
  <si>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</si>
  <si>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</si>
  <si>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</si>
  <si>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</si>
  <si>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</si>
  <si>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</si>
  <si>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</si>
  <si>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</si>
  <si>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</si>
  <si>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</si>
  <si>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</si>
  <si>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</si>
  <si>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</si>
  <si>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</si>
  <si>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</si>
  <si>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</si>
  <si>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</si>
  <si>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</si>
  <si>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</si>
  <si>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</si>
  <si>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</si>
  <si>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</si>
  <si>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</si>
  <si>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</si>
  <si>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</si>
  <si>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</si>
  <si>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</si>
  <si>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</si>
  <si>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</si>
  <si>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</si>
  <si>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</si>
  <si>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</si>
  <si>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</si>
  <si>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</si>
  <si>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</si>
  <si>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</si>
  <si>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</si>
  <si>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</si>
  <si>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</si>
  <si>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</si>
  <si>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</si>
  <si>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</si>
  <si>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</si>
  <si>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</si>
  <si>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</si>
  <si>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</si>
  <si>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</si>
  <si>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</si>
  <si>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</si>
  <si>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</si>
  <si>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</si>
  <si>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</si>
  <si>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</si>
  <si>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</si>
  <si>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</si>
  <si>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</si>
  <si>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</si>
  <si>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</si>
  <si>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</si>
  <si>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</si>
  <si>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</si>
  <si>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</si>
  <si>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</si>
  <si>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</si>
  <si>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</si>
  <si>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</si>
  <si>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</si>
  <si>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</si>
  <si>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</si>
  <si>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</si>
  <si>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</si>
  <si>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</si>
  <si>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</si>
  <si>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</si>
  <si>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</si>
  <si>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</si>
  <si>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</si>
  <si>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</si>
  <si>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</si>
  <si>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</si>
  <si>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</si>
  <si>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</si>
  <si>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</si>
  <si>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</si>
  <si>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</si>
  <si>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</si>
  <si>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</si>
  <si>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</si>
  <si>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</si>
  <si>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</si>
  <si>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</si>
  <si>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</si>
  <si>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</si>
  <si>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</si>
  <si>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</si>
  <si>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</si>
  <si>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</si>
  <si>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</si>
  <si>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</si>
  <si>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</si>
  <si>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</si>
  <si>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</si>
  <si>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</si>
  <si>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</si>
  <si>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</si>
  <si>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</si>
  <si>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</si>
  <si>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</si>
  <si>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</si>
  <si>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</si>
  <si>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</si>
  <si>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</si>
  <si>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</si>
  <si>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</si>
  <si>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</si>
  <si>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</si>
  <si>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</si>
  <si>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</si>
  <si>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</si>
  <si>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</si>
  <si>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</si>
  <si>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</si>
  <si>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</si>
  <si>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</si>
  <si>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</si>
  <si>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</si>
  <si>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</si>
  <si>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</si>
  <si>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</si>
  <si>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</si>
  <si>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</si>
  <si>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</si>
  <si>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</si>
  <si>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</si>
  <si>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</si>
  <si>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</si>
  <si>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</si>
  <si>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</si>
  <si>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</si>
  <si>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</si>
  <si>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</si>
  <si>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</si>
  <si>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</si>
  <si>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</si>
  <si>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</si>
  <si>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</si>
  <si>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</si>
  <si>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</si>
  <si>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</si>
  <si>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</si>
  <si>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</si>
  <si>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</si>
  <si>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</si>
  <si>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</si>
  <si>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</si>
  <si>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</si>
  <si>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</si>
  <si>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</si>
  <si>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</si>
  <si>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</si>
  <si>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</si>
  <si>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</si>
  <si>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</si>
  <si>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</si>
  <si>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</si>
  <si>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</si>
  <si>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</si>
  <si>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</si>
  <si>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</si>
  <si>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</si>
  <si>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</si>
  <si>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</si>
  <si>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</si>
  <si>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</si>
  <si>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</si>
  <si>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</si>
  <si>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</si>
  <si>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</si>
  <si>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</si>
  <si>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</si>
  <si>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</si>
  <si>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</si>
  <si>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</si>
  <si>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</si>
  <si>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</si>
  <si>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</si>
  <si>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</si>
  <si>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</si>
  <si>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</si>
  <si>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</si>
  <si>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</si>
  <si>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</si>
  <si>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</si>
  <si>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</si>
  <si>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</si>
  <si>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</si>
  <si>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</si>
  <si>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</si>
  <si>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</si>
  <si>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</si>
  <si>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</si>
  <si>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</si>
  <si>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</si>
  <si>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</si>
  <si>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</si>
  <si>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</si>
  <si>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</si>
  <si>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</si>
  <si>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</si>
  <si>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</si>
  <si>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</si>
  <si>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</si>
  <si>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</si>
  <si>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</si>
  <si>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</si>
  <si>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</si>
  <si>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</si>
  <si>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</si>
  <si>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</si>
  <si>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</si>
  <si>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</si>
  <si>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</si>
  <si>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</si>
  <si>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</si>
  <si>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</si>
  <si>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</si>
  <si>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</si>
  <si>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</si>
  <si>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</si>
  <si>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</si>
  <si>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</si>
  <si>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</si>
  <si>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</si>
  <si>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</si>
  <si>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</si>
  <si>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</si>
  <si>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</si>
  <si>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</si>
  <si>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</si>
  <si>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</si>
  <si>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</si>
  <si>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</si>
  <si>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</si>
  <si>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</si>
  <si>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</si>
  <si>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</si>
  <si>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</si>
  <si>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</si>
  <si>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</si>
  <si>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</si>
  <si>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</si>
  <si>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</si>
  <si>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</si>
  <si>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</si>
  <si>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</si>
  <si>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</si>
  <si>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</si>
  <si>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</si>
  <si>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</si>
  <si>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</si>
  <si>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</si>
  <si>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</si>
  <si>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</si>
  <si>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</si>
  <si>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</si>
  <si>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</si>
  <si>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</si>
  <si>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</si>
  <si>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</si>
  <si>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</si>
  <si>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</si>
  <si>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</si>
  <si>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</si>
  <si>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</si>
  <si>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</si>
  <si>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</si>
  <si>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</si>
  <si>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</si>
  <si>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</si>
  <si>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</si>
  <si>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</si>
  <si>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</si>
  <si>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</si>
  <si>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</si>
  <si>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</si>
  <si>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</si>
  <si>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</si>
  <si>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</si>
  <si>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</si>
  <si>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</si>
  <si>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</si>
  <si>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</si>
  <si>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</si>
  <si>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</si>
  <si>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</si>
  <si>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</si>
  <si>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</si>
  <si>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</si>
  <si>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</si>
  <si>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</si>
  <si>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</si>
  <si>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</si>
  <si>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</si>
  <si>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</si>
  <si>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</si>
  <si>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</si>
  <si>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</si>
  <si>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</si>
  <si>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</si>
  <si>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</si>
  <si>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</si>
  <si>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</si>
  <si>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</si>
  <si>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</si>
  <si>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</si>
  <si>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</si>
  <si>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</si>
  <si>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</si>
  <si>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</si>
  <si>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</si>
  <si>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</si>
  <si>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</si>
  <si>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</si>
  <si>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</si>
  <si>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</si>
  <si>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</si>
  <si>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</si>
  <si>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</si>
  <si>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</si>
  <si>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</si>
  <si>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</si>
  <si>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</si>
  <si>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</si>
  <si>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</si>
  <si>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</si>
  <si>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</si>
  <si>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</si>
  <si>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</si>
  <si>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</si>
  <si>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</si>
  <si>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</si>
  <si>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</si>
  <si>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</si>
  <si>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</si>
  <si>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</si>
  <si>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</si>
  <si>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</si>
  <si>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</si>
  <si>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</si>
  <si>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</si>
  <si>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</si>
  <si>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</si>
  <si>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</si>
  <si>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</si>
  <si>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</si>
  <si>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</si>
  <si>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</si>
  <si>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</si>
  <si>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</si>
  <si>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</si>
  <si>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</si>
  <si>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</si>
  <si>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</si>
  <si>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</si>
  <si>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</si>
  <si>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</si>
  <si>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</si>
  <si>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</si>
  <si>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</si>
  <si>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</si>
  <si>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</si>
  <si>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</si>
  <si>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</si>
  <si>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</si>
  <si>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</si>
  <si>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</si>
  <si>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</si>
  <si>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</si>
  <si>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</si>
  <si>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</si>
  <si>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</si>
  <si>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</si>
  <si>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</si>
  <si>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</si>
  <si>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</si>
  <si>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</si>
  <si>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</si>
  <si>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</si>
  <si>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</si>
  <si>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</si>
  <si>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</si>
  <si>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</si>
  <si>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</si>
  <si>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</si>
  <si>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</si>
  <si>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</si>
  <si>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</si>
  <si>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</si>
  <si>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</si>
  <si>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</si>
  <si>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</si>
  <si>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</si>
  <si>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</si>
  <si>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</si>
  <si>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</si>
  <si>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</si>
  <si>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</si>
  <si>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</si>
  <si>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</si>
  <si>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</si>
  <si>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</si>
  <si>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</si>
  <si>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</si>
  <si>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</si>
  <si>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</si>
  <si>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</si>
  <si>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</si>
  <si>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</si>
  <si>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</si>
  <si>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</si>
  <si>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</si>
  <si>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</si>
  <si>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</si>
  <si>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</si>
  <si>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</si>
  <si>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</si>
  <si>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</si>
  <si>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</si>
  <si>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</si>
  <si>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</si>
  <si>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</si>
  <si>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</si>
  <si>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</si>
  <si>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</si>
  <si>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</si>
  <si>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</si>
  <si>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</si>
  <si>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</si>
  <si>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</si>
  <si>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</si>
  <si>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</si>
  <si>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</si>
  <si>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</si>
  <si>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</si>
  <si>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</si>
  <si>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</si>
  <si>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</si>
  <si>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</si>
  <si>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</si>
  <si>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</si>
  <si>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</si>
  <si>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</si>
  <si>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</si>
  <si>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</si>
  <si>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</si>
  <si>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</si>
  <si>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</si>
  <si>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</si>
  <si>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</si>
  <si>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</si>
  <si>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</si>
  <si>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</si>
  <si>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</si>
  <si>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</si>
  <si>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</si>
  <si>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</si>
  <si>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</si>
  <si>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</si>
  <si>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</si>
  <si>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</si>
  <si>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</si>
  <si>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</si>
  <si>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</si>
  <si>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</si>
  <si>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</si>
  <si>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</si>
  <si>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</si>
  <si>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</si>
  <si>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</si>
  <si>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</si>
  <si>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</si>
  <si>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</si>
  <si>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</si>
  <si>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</si>
  <si>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</si>
  <si>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</si>
  <si>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</si>
  <si>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</si>
  <si>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</si>
  <si>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</si>
  <si>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</si>
  <si>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</si>
  <si>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</si>
  <si>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</si>
  <si>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</si>
  <si>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</si>
  <si>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</si>
  <si>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</si>
  <si>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</si>
  <si>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</si>
  <si>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</si>
  <si>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</si>
  <si>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</si>
  <si>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</si>
  <si>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</si>
  <si>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</si>
  <si>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</si>
  <si>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</si>
  <si>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</si>
  <si>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</si>
  <si>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</si>
  <si>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</si>
  <si>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</si>
  <si>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</si>
  <si>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</si>
  <si>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</si>
  <si>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</si>
  <si>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</si>
  <si>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</si>
  <si>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</si>
  <si>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</si>
  <si>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</si>
  <si>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</si>
  <si>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</si>
  <si>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</si>
  <si>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</si>
  <si>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</si>
  <si>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</si>
  <si>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</si>
  <si>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</si>
  <si>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</si>
  <si>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</si>
  <si>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</si>
  <si>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</si>
  <si>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</si>
  <si>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</si>
  <si>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</si>
  <si>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</si>
  <si>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</si>
  <si>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</si>
  <si>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</si>
  <si>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</si>
  <si>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</si>
  <si>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</si>
  <si>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</si>
  <si>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</si>
  <si>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</si>
  <si>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</si>
  <si>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</si>
  <si>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</si>
  <si>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</si>
  <si>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</si>
  <si>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</si>
  <si>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</si>
  <si>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</si>
  <si>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</si>
  <si>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</si>
  <si>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</si>
  <si>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</si>
  <si>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</si>
  <si>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</si>
  <si>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</si>
  <si>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</si>
  <si>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</si>
  <si>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</si>
  <si>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</si>
  <si>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</si>
  <si>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</si>
  <si>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</si>
  <si>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</si>
  <si>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</si>
  <si>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</si>
  <si>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</si>
  <si>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</si>
  <si>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</si>
  <si>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</si>
  <si>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</si>
  <si>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</si>
  <si>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</si>
  <si>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</si>
  <si>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</si>
  <si>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</si>
  <si>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</si>
  <si>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</si>
  <si>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</si>
  <si>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</si>
  <si>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</si>
  <si>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</si>
  <si>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</si>
  <si>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</si>
  <si>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</si>
  <si>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</si>
  <si>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</si>
  <si>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</si>
  <si>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</si>
  <si>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</si>
  <si>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</si>
  <si>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</si>
  <si>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</si>
  <si>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</si>
  <si>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</si>
  <si>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</si>
  <si>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</si>
  <si>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</si>
  <si>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</si>
  <si>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</si>
  <si>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</si>
  <si>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</si>
  <si>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</si>
  <si>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</si>
  <si>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</si>
  <si>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</si>
  <si>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</si>
  <si>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</si>
  <si>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</si>
  <si>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</si>
  <si>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</si>
  <si>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</si>
  <si>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</si>
  <si>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</si>
  <si>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</si>
  <si>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</si>
  <si>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</si>
  <si>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</si>
  <si>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</si>
  <si>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</si>
  <si>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</si>
  <si>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</si>
  <si>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</si>
  <si>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</si>
  <si>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</si>
  <si>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</si>
  <si>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</si>
  <si>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</si>
  <si>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</si>
  <si>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</si>
  <si>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</si>
  <si>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</si>
  <si>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</si>
  <si>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</si>
  <si>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</si>
  <si>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</si>
  <si>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</si>
  <si>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</si>
  <si>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</si>
  <si>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</si>
  <si>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</si>
  <si>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</si>
  <si>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</si>
  <si>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</si>
  <si>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</si>
  <si>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</si>
  <si>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</si>
  <si>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</si>
  <si>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</si>
  <si>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</si>
  <si>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</si>
  <si>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</si>
  <si>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</si>
  <si>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</si>
  <si>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</si>
  <si>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</si>
  <si>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</si>
  <si>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</si>
  <si>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</si>
  <si>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</si>
  <si>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</si>
  <si>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</si>
  <si>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</si>
  <si>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</si>
  <si>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</si>
  <si>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</si>
  <si>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</si>
  <si>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</si>
  <si>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</si>
  <si>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</si>
  <si>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</si>
  <si>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</si>
  <si>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</si>
  <si>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</si>
  <si>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</si>
  <si>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</si>
  <si>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</si>
  <si>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</si>
  <si>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</si>
  <si>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</si>
  <si>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</si>
  <si>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</si>
  <si>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</si>
  <si>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</si>
  <si>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</si>
  <si>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</si>
  <si>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</si>
  <si>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</si>
  <si>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</si>
  <si>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</si>
  <si>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</si>
  <si>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</si>
  <si>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</si>
  <si>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</si>
  <si>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</si>
  <si>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</si>
  <si>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</si>
  <si>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</si>
  <si>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</si>
  <si>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</si>
  <si>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</si>
  <si>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</si>
  <si>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</si>
  <si>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</si>
  <si>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</si>
  <si>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</si>
  <si>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</si>
  <si>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</si>
  <si>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</si>
  <si>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</si>
  <si>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</si>
  <si>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</si>
  <si>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</si>
  <si>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</si>
  <si>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</si>
  <si>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</si>
  <si>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</si>
  <si>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</si>
  <si>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</si>
  <si>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</si>
  <si>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</si>
  <si>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</si>
  <si>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</si>
  <si>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</si>
  <si>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</si>
  <si>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</si>
  <si>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</si>
  <si>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</si>
  <si>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</si>
  <si>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</si>
  <si>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</si>
  <si>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</si>
  <si>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</si>
  <si>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</si>
  <si>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</si>
  <si>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</si>
  <si>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</si>
  <si>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</si>
  <si>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</si>
  <si>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</si>
  <si>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</si>
  <si>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</si>
  <si>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</si>
  <si>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</si>
  <si>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</si>
  <si>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</si>
  <si>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</si>
  <si>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</si>
  <si>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</si>
  <si>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</si>
  <si>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</si>
  <si>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</si>
  <si>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</si>
  <si>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</si>
  <si>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</si>
  <si>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</si>
  <si>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</si>
  <si>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</si>
  <si>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</si>
  <si>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</si>
  <si>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</si>
  <si>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</si>
  <si>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</si>
  <si>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</si>
  <si>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</si>
  <si>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</si>
  <si>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</si>
  <si>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</si>
  <si>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</si>
  <si>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</si>
  <si>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</si>
  <si>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</si>
  <si>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</si>
  <si>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</si>
  <si>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</si>
  <si>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</si>
  <si>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</si>
  <si>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</si>
  <si>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</si>
  <si>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</si>
  <si>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</si>
  <si>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</si>
  <si>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</si>
  <si>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</si>
  <si>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</si>
  <si>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</si>
  <si>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</si>
  <si>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</si>
  <si>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</si>
  <si>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</si>
  <si>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</si>
  <si>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</si>
  <si>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</si>
  <si>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</si>
  <si>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</si>
  <si>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</si>
  <si>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</si>
  <si>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</si>
  <si>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</si>
  <si>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</si>
  <si>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</si>
  <si>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</si>
  <si>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</si>
  <si>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</si>
  <si>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</si>
  <si>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</si>
  <si>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</si>
  <si>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</si>
  <si>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</si>
  <si>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</si>
  <si>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</si>
  <si>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</si>
  <si>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</si>
  <si>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</si>
  <si>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</si>
  <si>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</si>
  <si>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</si>
  <si>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</si>
  <si>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</si>
  <si>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</si>
  <si>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</si>
  <si>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</si>
  <si>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</si>
  <si>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</si>
  <si>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</si>
  <si>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</si>
  <si>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</si>
  <si>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</si>
  <si>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</si>
  <si>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</si>
  <si>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</si>
  <si>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</si>
  <si>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</si>
  <si>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</si>
  <si>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</si>
  <si>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</si>
  <si>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</si>
  <si>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</si>
  <si>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</si>
  <si>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</si>
  <si>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</si>
  <si>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</si>
  <si>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</si>
  <si>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</si>
  <si>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</si>
  <si>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</si>
  <si>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</si>
  <si>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</si>
  <si>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</si>
  <si>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</si>
  <si>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</si>
  <si>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</si>
  <si>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</si>
  <si>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</si>
  <si>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</si>
  <si>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</si>
  <si>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</si>
  <si>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</si>
  <si>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</si>
  <si>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</si>
  <si>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</si>
  <si>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</si>
  <si>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</si>
  <si>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</si>
  <si>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</si>
  <si>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</si>
  <si>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</si>
  <si>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</si>
  <si>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</si>
  <si>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</si>
  <si>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</si>
  <si>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</si>
  <si>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</si>
  <si>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</si>
  <si>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</si>
  <si>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</si>
  <si>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</si>
  <si>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</si>
  <si>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</si>
  <si>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</si>
  <si>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</si>
  <si>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</si>
  <si>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</si>
  <si>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</si>
  <si>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</si>
  <si>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</si>
  <si>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</si>
  <si>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</si>
  <si>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</si>
  <si>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</si>
  <si>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</si>
  <si>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</si>
  <si>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</si>
  <si>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</si>
  <si>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</si>
  <si>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</si>
  <si>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</si>
  <si>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</si>
  <si>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</si>
  <si>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</si>
  <si>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</si>
  <si>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</si>
  <si>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</si>
  <si>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</si>
  <si>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</si>
  <si>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</si>
  <si>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</si>
  <si>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</si>
  <si>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</si>
  <si>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</si>
  <si>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</si>
  <si>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</si>
  <si>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</si>
  <si>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</si>
  <si>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</si>
  <si>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</si>
  <si>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</si>
  <si>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</si>
  <si>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</si>
  <si>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</si>
  <si>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</si>
  <si>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</si>
  <si>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</si>
  <si>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</si>
  <si>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</si>
  <si>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</si>
  <si>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</si>
  <si>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</si>
  <si>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</si>
  <si>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</si>
  <si>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</si>
  <si>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</si>
  <si>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</si>
  <si>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</si>
  <si>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</si>
  <si>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</si>
  <si>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</si>
  <si>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</si>
  <si>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</si>
  <si>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</si>
  <si>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</si>
  <si>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</si>
  <si>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</si>
  <si>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</si>
  <si>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</si>
  <si>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</si>
  <si>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</si>
  <si>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</si>
  <si>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</si>
  <si>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</si>
  <si>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</si>
  <si>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</si>
  <si>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</si>
  <si>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</si>
  <si>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</si>
  <si>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</si>
  <si>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</si>
  <si>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</si>
  <si>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</si>
  <si>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</si>
  <si>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</si>
  <si>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</si>
  <si>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</si>
  <si>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</si>
  <si>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</si>
  <si>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</si>
  <si>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</si>
  <si>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</si>
  <si>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</si>
  <si>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</si>
  <si>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</si>
  <si>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</si>
  <si>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</si>
  <si>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</si>
  <si>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</si>
  <si>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</si>
  <si>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</si>
  <si>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</si>
  <si>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</si>
  <si>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</si>
  <si>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</si>
  <si>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</si>
  <si>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</si>
  <si>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</si>
  <si>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</si>
  <si>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</si>
  <si>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</si>
  <si>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</si>
  <si>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</si>
  <si>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</si>
  <si>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</si>
  <si>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</si>
  <si>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</si>
  <si>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</si>
  <si>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</si>
  <si>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</si>
  <si>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</si>
  <si>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</si>
  <si>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</si>
  <si>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</si>
  <si>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</si>
  <si>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</si>
  <si>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</si>
  <si>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</si>
  <si>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</si>
  <si>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</si>
  <si>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</si>
  <si>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</si>
  <si>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</si>
  <si>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</si>
  <si>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</si>
  <si>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</si>
  <si>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</si>
  <si>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</si>
  <si>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</si>
  <si>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</si>
  <si>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</si>
  <si>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</si>
  <si>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</si>
  <si>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</si>
  <si>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</si>
  <si>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</si>
  <si>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</si>
  <si>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</si>
  <si>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</si>
  <si>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</si>
  <si>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</si>
  <si>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</si>
  <si>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</si>
  <si>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</si>
  <si>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</si>
  <si>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</si>
  <si>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</si>
  <si>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</si>
  <si>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</si>
  <si>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</si>
  <si>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</si>
  <si>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</si>
  <si>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</si>
  <si>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</si>
  <si>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</si>
  <si>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</si>
  <si>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</si>
  <si>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</si>
  <si>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</si>
  <si>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</si>
  <si>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</si>
  <si>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</si>
  <si>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</si>
  <si>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</si>
  <si>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</si>
  <si>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</si>
  <si>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</si>
  <si>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</si>
  <si>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</si>
  <si>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</si>
  <si>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</si>
  <si>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</si>
  <si>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</si>
  <si>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</si>
  <si>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</si>
  <si>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</si>
  <si>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</si>
  <si>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</si>
  <si>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</si>
  <si>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</si>
  <si>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</si>
  <si>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</si>
  <si>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</si>
  <si>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</si>
  <si>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</si>
  <si>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</si>
  <si>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</si>
  <si>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</si>
  <si>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</si>
  <si>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</si>
  <si>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</si>
  <si>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</si>
  <si>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</si>
  <si>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</si>
  <si>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</si>
  <si>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</si>
  <si>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</si>
  <si>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</si>
  <si>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</si>
  <si>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</si>
  <si>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</si>
  <si>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</si>
  <si>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</si>
  <si>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</si>
  <si>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</si>
  <si>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</si>
  <si>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</si>
  <si>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</si>
  <si>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</si>
  <si>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</si>
  <si>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</si>
  <si>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</si>
  <si>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</si>
  <si>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</si>
  <si>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</si>
  <si>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</si>
  <si>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</si>
  <si>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</si>
  <si>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</si>
  <si>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</si>
  <si>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</si>
  <si>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</si>
  <si>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</si>
  <si>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</si>
  <si>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</si>
  <si>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</si>
  <si>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</si>
  <si>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</si>
  <si>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</si>
  <si>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</si>
  <si>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</si>
  <si>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</si>
  <si>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</si>
  <si>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</si>
  <si>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</si>
  <si>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</si>
  <si>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</si>
  <si>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</si>
  <si>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</si>
  <si>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</si>
  <si>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</si>
  <si>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</si>
  <si>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</si>
  <si>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</si>
  <si>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</si>
  <si>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</si>
  <si>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</si>
  <si>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</si>
  <si>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</si>
  <si>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</si>
  <si>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</si>
  <si>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</si>
  <si>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</si>
  <si>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</si>
  <si>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</si>
  <si>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</si>
  <si>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</si>
  <si>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</si>
  <si>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</si>
  <si>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</si>
  <si>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</si>
  <si>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</si>
  <si>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</si>
  <si>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</si>
  <si>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</si>
  <si>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</si>
  <si>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</si>
  <si>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</si>
  <si>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</si>
  <si>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</si>
  <si>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</si>
  <si>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</si>
  <si>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</si>
  <si>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</si>
  <si>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</si>
  <si>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</si>
  <si>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</si>
  <si>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</si>
  <si>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</si>
  <si>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</si>
  <si>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</si>
  <si>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</si>
  <si>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</si>
  <si>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</si>
  <si>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</si>
  <si>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</si>
  <si>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</si>
  <si>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</si>
  <si>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</si>
  <si>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</si>
  <si>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</si>
  <si>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</si>
  <si>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</si>
  <si>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</si>
  <si>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</si>
  <si>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</si>
  <si>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</si>
  <si>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</si>
  <si>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</si>
  <si>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</si>
  <si>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</si>
  <si>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</si>
  <si>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</si>
  <si>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</si>
  <si>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</si>
  <si>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</si>
  <si>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</si>
  <si>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</si>
  <si>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</si>
  <si>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</si>
  <si>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</si>
  <si>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</si>
  <si>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</si>
  <si>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</si>
  <si>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</si>
  <si>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</si>
  <si>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</si>
  <si>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</si>
  <si>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</si>
  <si>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</si>
  <si>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</si>
  <si>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</si>
  <si>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</si>
  <si>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</si>
  <si>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</si>
  <si>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</si>
  <si>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</si>
  <si>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</si>
  <si>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</si>
  <si>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</si>
  <si>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</si>
  <si>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</si>
  <si>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</si>
  <si>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</si>
  <si>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</si>
  <si>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</si>
  <si>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</si>
  <si>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</si>
  <si>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</si>
  <si>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</si>
  <si>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</si>
  <si>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</si>
  <si>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</si>
  <si>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</si>
  <si>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</si>
  <si>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</si>
  <si>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</si>
  <si>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</si>
  <si>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</si>
  <si>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</si>
  <si>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</si>
  <si>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</si>
  <si>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</si>
  <si>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</si>
  <si>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</si>
  <si>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</si>
  <si>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</si>
  <si>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</si>
  <si>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</si>
  <si>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</si>
  <si>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</si>
  <si>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</si>
  <si>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</si>
  <si>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</si>
  <si>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</si>
  <si>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</si>
  <si>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</si>
  <si>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</si>
  <si>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</si>
  <si>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</si>
  <si>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</si>
  <si>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</si>
  <si>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</si>
  <si>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</si>
  <si>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</si>
  <si>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</si>
  <si>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</si>
  <si>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</si>
  <si>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</si>
  <si>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</si>
  <si>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</si>
  <si>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</si>
  <si>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</si>
  <si>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</si>
  <si>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</si>
  <si>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</si>
  <si>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</si>
  <si>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</si>
  <si>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</si>
  <si>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</si>
  <si>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</si>
  <si>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</si>
  <si>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</si>
  <si>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</si>
  <si>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</si>
  <si>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</si>
  <si>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</si>
  <si>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</si>
  <si>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</si>
  <si>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</si>
  <si>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</si>
  <si>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</si>
  <si>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</si>
  <si>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</si>
  <si>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</si>
  <si>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</si>
  <si>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</si>
  <si>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</si>
  <si>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</si>
  <si>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</si>
  <si>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</si>
  <si>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</si>
  <si>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</si>
  <si>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</si>
  <si>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</si>
  <si>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</si>
  <si>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</si>
  <si>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</si>
  <si>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</si>
  <si>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</si>
  <si>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</si>
  <si>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</si>
  <si>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</si>
  <si>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</si>
  <si>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</si>
  <si>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</si>
  <si>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</si>
  <si>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</si>
  <si>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</si>
  <si>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</si>
  <si>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</si>
  <si>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</si>
  <si>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</si>
  <si>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</si>
  <si>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</si>
  <si>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</si>
  <si>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</si>
  <si>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</si>
  <si>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</si>
  <si>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</si>
  <si>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</si>
  <si>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</si>
  <si>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</si>
  <si>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</si>
  <si>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</si>
  <si>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</si>
  <si>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</si>
  <si>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</si>
  <si>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</si>
  <si>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</si>
  <si>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</si>
  <si>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</si>
  <si>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</si>
  <si>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</si>
  <si>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</si>
  <si>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</si>
  <si>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</si>
  <si>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</si>
  <si>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</si>
  <si>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</si>
  <si>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</si>
  <si>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</si>
  <si>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</si>
  <si>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</si>
  <si>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</si>
  <si>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</si>
  <si>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</si>
  <si>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</si>
  <si>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</si>
  <si>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</si>
  <si>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</si>
  <si>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</si>
  <si>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</si>
  <si>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</si>
  <si>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</si>
  <si>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</si>
  <si>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</si>
  <si>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</si>
  <si>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</si>
  <si>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</si>
  <si>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</si>
  <si>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</si>
  <si>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</si>
  <si>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</si>
  <si>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</si>
  <si>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</si>
  <si>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</si>
  <si>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</si>
  <si>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</si>
  <si>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</si>
  <si>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</si>
  <si>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</si>
  <si>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</si>
  <si>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</si>
  <si>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</si>
  <si>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</si>
  <si>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</si>
  <si>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</si>
  <si>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</si>
  <si>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</si>
  <si>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</si>
  <si>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</si>
  <si>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</si>
  <si>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</si>
  <si>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</si>
  <si>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</si>
  <si>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</si>
  <si>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</si>
  <si>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</si>
  <si>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</si>
  <si>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</si>
  <si>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</si>
  <si>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</si>
  <si>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</si>
  <si>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</si>
  <si>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</si>
  <si>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</si>
  <si>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</si>
  <si>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</si>
  <si>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</si>
  <si>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</si>
  <si>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</si>
  <si>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</si>
  <si>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</si>
  <si>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</si>
  <si>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</si>
  <si>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</si>
  <si>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</si>
  <si>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</si>
  <si>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</si>
  <si>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</si>
  <si>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</si>
  <si>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</si>
  <si>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</si>
  <si>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</si>
  <si>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</si>
  <si>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</si>
  <si>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</si>
  <si>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</si>
  <si>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</si>
  <si>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</si>
  <si>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</si>
  <si>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</si>
  <si>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</si>
  <si>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</si>
  <si>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</si>
  <si>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</si>
  <si>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</si>
  <si>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</si>
  <si>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</si>
  <si>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</si>
  <si>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</si>
  <si>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</si>
  <si>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</si>
  <si>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</si>
  <si>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</si>
  <si>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</si>
  <si>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</si>
  <si>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</si>
  <si>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</si>
  <si>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</si>
  <si>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</si>
  <si>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</si>
  <si>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</si>
  <si>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</si>
  <si>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</si>
  <si>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</si>
  <si>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</si>
  <si>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</si>
  <si>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</si>
  <si>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</si>
  <si>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</si>
  <si>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</si>
  <si>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</si>
  <si>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</si>
  <si>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</si>
  <si>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</si>
  <si>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</si>
  <si>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</si>
  <si>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</si>
  <si>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</si>
  <si>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</si>
  <si>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</si>
  <si>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</si>
  <si>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</si>
  <si>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</si>
  <si>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</si>
  <si>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</si>
  <si>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</si>
  <si>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</si>
  <si>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</si>
  <si>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</si>
  <si>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</si>
  <si>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</si>
  <si>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</si>
  <si>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</si>
  <si>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</si>
  <si>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</si>
  <si>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</si>
  <si>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</si>
  <si>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</si>
  <si>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</si>
  <si>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</si>
  <si>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</si>
  <si>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</si>
  <si>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</si>
  <si>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</si>
  <si>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</si>
  <si>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</si>
  <si>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</si>
  <si>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</si>
  <si>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</si>
  <si>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</si>
  <si>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</si>
  <si>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</si>
  <si>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</si>
  <si>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</si>
  <si>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</si>
  <si>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</si>
  <si>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</si>
  <si>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</si>
  <si>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</si>
  <si>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</si>
  <si>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</si>
  <si>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</si>
  <si>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</si>
  <si>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</si>
  <si>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</si>
  <si>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</si>
  <si>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</si>
  <si>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</si>
  <si>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</si>
  <si>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</si>
  <si>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</si>
  <si>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</si>
  <si>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</si>
  <si>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</si>
  <si>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</si>
  <si>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</si>
  <si>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</si>
  <si>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</si>
  <si>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</si>
  <si>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</si>
  <si>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</si>
  <si>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</si>
  <si>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</si>
  <si>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</si>
  <si>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</si>
  <si>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</si>
  <si>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</si>
  <si>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</si>
  <si>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</si>
  <si>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</si>
  <si>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</si>
  <si>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</si>
  <si>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</si>
  <si>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</si>
  <si>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</si>
  <si>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</si>
  <si>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</si>
  <si>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</si>
  <si>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</si>
  <si>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</si>
  <si>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</si>
  <si>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</si>
  <si>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</si>
  <si>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</si>
  <si>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</si>
  <si>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</si>
  <si>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</si>
  <si>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</si>
  <si>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</si>
  <si>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</si>
  <si>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</si>
  <si>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</si>
  <si>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</si>
  <si>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</si>
  <si>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</si>
  <si>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</si>
  <si>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</si>
  <si>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</si>
  <si>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</si>
  <si>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</si>
  <si>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</si>
  <si>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</si>
  <si>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</si>
  <si>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</si>
  <si>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</si>
  <si>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</si>
  <si>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</si>
  <si>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</si>
  <si>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</si>
  <si>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</si>
  <si>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</si>
  <si>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</si>
  <si>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</si>
  <si>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</si>
  <si>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</si>
  <si>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</si>
  <si>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</si>
  <si>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</si>
  <si>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</si>
  <si>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</si>
  <si>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</si>
  <si>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</si>
  <si>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</si>
  <si>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</si>
  <si>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</si>
  <si>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</si>
  <si>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</si>
  <si>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</si>
  <si>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</si>
  <si>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</si>
  <si>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</si>
  <si>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</si>
  <si>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</si>
  <si>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</si>
  <si>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</si>
  <si>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</si>
  <si>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</si>
  <si>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</si>
  <si>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</si>
  <si>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</si>
  <si>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</si>
  <si>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</si>
  <si>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</si>
  <si>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</si>
  <si>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</si>
  <si>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</si>
  <si>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</si>
  <si>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</si>
  <si>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</si>
  <si>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</si>
  <si>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</si>
  <si>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</si>
  <si>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</si>
  <si>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</si>
  <si>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</si>
  <si>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</si>
  <si>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</si>
  <si>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</si>
  <si>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</si>
  <si>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</si>
  <si>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</si>
  <si>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</si>
  <si>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</si>
  <si>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</si>
  <si>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</si>
  <si>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</si>
  <si>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</si>
  <si>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</si>
  <si>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</si>
  <si>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</si>
  <si>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</si>
  <si>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</si>
  <si>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</si>
  <si>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</si>
  <si>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</si>
  <si>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</si>
  <si>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</si>
  <si>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</si>
  <si>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</si>
  <si>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</si>
  <si>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</si>
  <si>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</si>
  <si>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</si>
  <si>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</si>
  <si>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</si>
  <si>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</si>
  <si>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</si>
  <si>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</si>
  <si>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</si>
  <si>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</si>
  <si>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</si>
  <si>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</si>
  <si>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</si>
  <si>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</si>
  <si>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</si>
  <si>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</si>
  <si>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</si>
  <si>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</si>
  <si>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</si>
  <si>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</si>
  <si>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</si>
  <si>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</si>
  <si>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</si>
  <si>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</si>
  <si>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</si>
  <si>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</si>
  <si>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</si>
  <si>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</si>
  <si>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</si>
  <si>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</si>
  <si>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</si>
  <si>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</si>
  <si>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</si>
  <si>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</si>
  <si>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</si>
  <si>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</si>
  <si>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</si>
  <si>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</si>
  <si>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</si>
  <si>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</si>
  <si>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</si>
  <si>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</si>
  <si>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</si>
  <si>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</si>
  <si>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</si>
  <si>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</si>
  <si>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</si>
  <si>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</si>
  <si>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</si>
  <si>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</si>
  <si>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</si>
  <si>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</si>
  <si>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</si>
  <si>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</si>
  <si>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</si>
  <si>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</si>
  <si>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</si>
  <si>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</si>
  <si>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</si>
  <si>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</si>
  <si>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</si>
  <si>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</si>
  <si>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</si>
  <si>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</si>
  <si>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</si>
  <si>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</si>
  <si>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</si>
  <si>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</si>
  <si>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</si>
  <si>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</si>
  <si>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</si>
  <si>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</si>
  <si>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</si>
  <si>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</si>
  <si>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</si>
  <si>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</si>
  <si>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</si>
  <si>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</si>
  <si>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</si>
  <si>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</si>
  <si>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</si>
  <si>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</si>
  <si>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</si>
  <si>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</si>
  <si>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</si>
  <si>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</si>
  <si>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</si>
  <si>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</si>
  <si>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</si>
  <si>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</si>
  <si>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</si>
  <si>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</si>
  <si>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</si>
  <si>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</si>
  <si>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</si>
  <si>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</si>
  <si>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</si>
  <si>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</si>
  <si>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</si>
  <si>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</si>
  <si>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</si>
  <si>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</si>
  <si>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</si>
  <si>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</si>
  <si>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</si>
  <si>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</si>
  <si>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</si>
  <si>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</si>
  <si>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</si>
  <si>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</si>
  <si>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</si>
  <si>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</si>
  <si>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</si>
  <si>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</si>
  <si>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</si>
  <si>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</si>
  <si>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</si>
  <si>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</si>
  <si>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</si>
  <si>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</si>
  <si>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</si>
  <si>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</si>
  <si>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</si>
  <si>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</si>
  <si>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</si>
  <si>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</si>
  <si>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</si>
  <si>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</si>
  <si>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</si>
  <si>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</si>
  <si>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</si>
  <si>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</si>
  <si>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</si>
  <si>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</si>
  <si>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</si>
  <si>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</si>
  <si>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</si>
  <si>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</si>
  <si>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</si>
  <si>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</si>
  <si>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</si>
  <si>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</si>
  <si>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</si>
  <si>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</si>
  <si>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</si>
  <si>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</si>
  <si>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</si>
  <si>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</si>
  <si>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</si>
  <si>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</si>
  <si>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</si>
  <si>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</si>
  <si>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</si>
  <si>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</si>
  <si>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</si>
  <si>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</si>
  <si>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</si>
  <si>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</si>
  <si>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</si>
  <si>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</si>
  <si>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</si>
  <si>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</si>
  <si>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</si>
  <si>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</si>
  <si>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</si>
  <si>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</si>
  <si>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</si>
  <si>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</si>
  <si>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</si>
  <si>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</si>
  <si>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</si>
  <si>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</si>
  <si>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</si>
  <si>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</si>
  <si>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</si>
  <si>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</si>
  <si>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</si>
  <si>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</si>
  <si>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</si>
  <si>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</si>
  <si>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</si>
  <si>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</si>
  <si>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</si>
  <si>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</si>
  <si>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</si>
  <si>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</si>
  <si>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</si>
  <si>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</si>
  <si>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</si>
  <si>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</si>
  <si>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</si>
  <si>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</si>
  <si>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</si>
  <si>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</si>
  <si>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</si>
  <si>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</si>
  <si>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</si>
  <si>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</si>
  <si>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</si>
  <si>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</si>
  <si>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</si>
  <si>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</si>
  <si>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</si>
  <si>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</si>
  <si>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</si>
  <si>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</si>
  <si>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</si>
  <si>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</si>
  <si>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</si>
  <si>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</si>
  <si>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</si>
  <si>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</si>
  <si>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</si>
  <si>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</si>
  <si>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</si>
  <si>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</si>
  <si>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</si>
  <si>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</si>
  <si>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</si>
  <si>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</si>
  <si>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</si>
  <si>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</si>
  <si>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</si>
  <si>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</si>
  <si>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</si>
  <si>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</si>
  <si>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</si>
  <si>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</si>
  <si>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</si>
  <si>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</si>
  <si>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</si>
  <si>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</si>
  <si>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</si>
  <si>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</si>
  <si>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</si>
  <si>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</si>
  <si>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</si>
  <si>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</si>
  <si>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</si>
  <si>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</si>
  <si>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</si>
  <si>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</si>
  <si>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</si>
  <si>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</si>
  <si>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</si>
  <si>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</si>
  <si>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</si>
  <si>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</si>
  <si>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</si>
  <si>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</si>
  <si>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</si>
  <si>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</si>
  <si>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</si>
  <si>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</si>
  <si>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</si>
  <si>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</si>
  <si>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</si>
  <si>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</si>
  <si>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</si>
  <si>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</si>
  <si>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</si>
  <si>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</si>
  <si>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</si>
  <si>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</si>
  <si>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</si>
  <si>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</si>
  <si>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</si>
  <si>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</si>
  <si>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</si>
  <si>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</si>
  <si>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</si>
  <si>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</si>
  <si>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</si>
  <si>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</si>
  <si>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</si>
  <si>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</si>
  <si>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</si>
  <si>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</si>
  <si>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</si>
  <si>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</si>
  <si>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</si>
  <si>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</si>
  <si>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</si>
  <si>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</si>
  <si>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</si>
  <si>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</si>
  <si>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</si>
  <si>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</si>
  <si>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</si>
  <si>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</si>
  <si>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</si>
  <si>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</si>
  <si>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</si>
  <si>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</si>
  <si>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</si>
  <si>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</si>
  <si>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</si>
  <si>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</si>
  <si>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</si>
  <si>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</si>
  <si>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</si>
  <si>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</si>
  <si>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</si>
  <si>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</si>
  <si>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</si>
  <si>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</si>
  <si>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</si>
  <si>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</si>
  <si>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</si>
  <si>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</si>
  <si>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</si>
  <si>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</si>
  <si>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</si>
  <si>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</si>
  <si>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</si>
  <si>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</si>
  <si>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</si>
  <si>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</si>
  <si>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</si>
  <si>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</si>
  <si>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</si>
  <si>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</si>
  <si>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</si>
  <si>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</si>
  <si>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</si>
  <si>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</si>
  <si>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</si>
  <si>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</si>
  <si>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</si>
  <si>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</si>
  <si>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</si>
  <si>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</si>
  <si>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</si>
  <si>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</si>
  <si>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</si>
  <si>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</si>
  <si>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</si>
  <si>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</si>
  <si>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</si>
  <si>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</si>
  <si>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</si>
  <si>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</si>
  <si>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</si>
  <si>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</si>
  <si>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</si>
  <si>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</si>
  <si>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</si>
  <si>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</si>
  <si>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</si>
  <si>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</si>
  <si>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</si>
  <si>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</si>
  <si>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</si>
  <si>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</si>
  <si>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</si>
  <si>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</si>
  <si>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</si>
  <si>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</si>
  <si>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</si>
  <si>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</si>
  <si>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</si>
  <si>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</si>
  <si>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</si>
  <si>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</si>
  <si>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</si>
  <si>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</si>
  <si>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</si>
  <si>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</si>
  <si>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</si>
  <si>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</si>
  <si>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</si>
  <si>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</si>
  <si>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</si>
  <si>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</si>
  <si>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</si>
  <si>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</si>
  <si>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</si>
  <si>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</si>
  <si>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</si>
  <si>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</si>
  <si>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</si>
  <si>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</si>
  <si>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</si>
  <si>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</si>
  <si>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</si>
  <si>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</si>
  <si>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</si>
  <si>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</si>
  <si>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</si>
  <si>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</si>
  <si>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</si>
  <si>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</si>
  <si>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</si>
  <si>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</si>
  <si>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</si>
  <si>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</si>
  <si>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</si>
  <si>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</si>
  <si>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</si>
  <si>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</si>
  <si>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</si>
  <si>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</si>
  <si>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</si>
  <si>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</si>
  <si>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</si>
  <si>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</si>
  <si>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</si>
  <si>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</si>
  <si>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</si>
  <si>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</si>
  <si>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</si>
  <si>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</si>
  <si>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</si>
  <si>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</si>
  <si>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</si>
  <si>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</si>
  <si>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</si>
  <si>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</si>
  <si>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</si>
  <si>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</si>
  <si>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</si>
  <si>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</si>
  <si>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</si>
  <si>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</si>
  <si>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</si>
  <si>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</si>
  <si>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</si>
  <si>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</si>
  <si>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</si>
  <si>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</si>
  <si>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</si>
  <si>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</si>
  <si>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</si>
  <si>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</si>
  <si>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</si>
  <si>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</si>
  <si>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</si>
  <si>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</si>
  <si>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</si>
  <si>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</si>
  <si>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</si>
  <si>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</si>
  <si>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</si>
  <si>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</si>
  <si>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</si>
  <si>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</si>
  <si>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</si>
  <si>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</si>
  <si>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</si>
  <si>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</si>
  <si>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</si>
  <si>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</si>
  <si>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</si>
  <si>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</si>
  <si>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</si>
  <si>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</si>
  <si>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</si>
  <si>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</si>
  <si>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</si>
  <si>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</si>
  <si>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</si>
  <si>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</si>
  <si>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</si>
  <si>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</si>
  <si>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</si>
  <si>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</si>
  <si>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</si>
  <si>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</si>
  <si>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</si>
  <si>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</si>
  <si>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</si>
  <si>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</si>
  <si>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</si>
  <si>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</si>
  <si>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</si>
  <si>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</si>
  <si>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</si>
  <si>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</si>
  <si>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</si>
  <si>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</si>
  <si>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</si>
  <si>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</si>
  <si>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</si>
  <si>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</si>
  <si>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</si>
  <si>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</si>
  <si>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</si>
  <si>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</si>
  <si>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</si>
  <si>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</si>
  <si>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</si>
  <si>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</si>
  <si>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</si>
  <si>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</si>
  <si>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</si>
  <si>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</si>
  <si>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</si>
  <si>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</si>
  <si>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</si>
  <si>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</si>
  <si>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</si>
  <si>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</si>
  <si>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</si>
  <si>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</si>
  <si>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</si>
  <si>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</si>
  <si>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</si>
  <si>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</si>
  <si>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</si>
  <si>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</si>
  <si>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</si>
  <si>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</si>
  <si>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</si>
  <si>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</si>
  <si>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</si>
  <si>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</si>
  <si>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</si>
  <si>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</si>
  <si>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</si>
  <si>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</si>
  <si>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</si>
  <si>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</si>
  <si>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</si>
  <si>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</si>
  <si>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</si>
  <si>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</si>
  <si>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</si>
  <si>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</si>
  <si>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</si>
  <si>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</si>
  <si>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</si>
  <si>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</si>
  <si>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</si>
  <si>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</si>
  <si>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</si>
  <si>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</si>
  <si>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</si>
  <si>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</si>
  <si>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</si>
  <si>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</si>
  <si>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</si>
  <si>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</si>
  <si>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</si>
  <si>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</si>
  <si>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</si>
  <si>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</si>
  <si>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</si>
  <si>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</si>
  <si>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</si>
  <si>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</si>
  <si>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</si>
  <si>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</si>
  <si>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</si>
  <si>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</si>
  <si>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</si>
  <si>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</si>
  <si>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</si>
  <si>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</si>
  <si>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</si>
  <si>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</si>
  <si>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</si>
  <si>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</si>
  <si>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</si>
  <si>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</si>
  <si>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</si>
  <si>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</si>
  <si>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</si>
  <si>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</si>
  <si>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</si>
  <si>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</si>
  <si>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</si>
  <si>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</si>
  <si>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</si>
  <si>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</si>
  <si>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</si>
  <si>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</si>
  <si>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</si>
  <si>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</si>
  <si>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</si>
  <si>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</si>
  <si>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</si>
  <si>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</si>
  <si>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</si>
  <si>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</si>
  <si>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</si>
  <si>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</si>
  <si>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</si>
  <si>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</si>
  <si>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</si>
  <si>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</si>
  <si>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</si>
  <si>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</si>
  <si>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</si>
  <si>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</si>
  <si>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</si>
  <si>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</si>
  <si>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</si>
  <si>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</si>
  <si>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</si>
  <si>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</si>
  <si>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</si>
  <si>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</si>
  <si>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</si>
  <si>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</si>
  <si>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</si>
  <si>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</si>
  <si>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</si>
  <si>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</si>
  <si>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</si>
  <si>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</si>
  <si>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</si>
  <si>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</si>
  <si>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</si>
  <si>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</si>
  <si>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</si>
  <si>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</si>
  <si>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</si>
  <si>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</si>
  <si>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</si>
  <si>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</si>
  <si>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</si>
  <si>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</si>
  <si>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</si>
  <si>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</si>
  <si>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</si>
  <si>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</si>
  <si>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</si>
  <si>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</si>
  <si>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</si>
  <si>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</si>
  <si>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</si>
  <si>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</si>
  <si>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</si>
  <si>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天津金鹏振兴铜业有限公司</t>
    <phoneticPr fontId="6" type="noConversion"/>
  </si>
  <si>
    <t>房地产抵押价值</t>
  </si>
  <si>
    <t>其他：</t>
  </si>
  <si>
    <t>天津市</t>
  </si>
  <si>
    <t>天津市</t>
    <phoneticPr fontId="6" type="noConversion"/>
  </si>
  <si>
    <t>企业</t>
  </si>
  <si>
    <t>《不动产权证书》</t>
  </si>
  <si>
    <t>复印件</t>
  </si>
  <si>
    <t>工业项目</t>
  </si>
  <si>
    <t>无</t>
  </si>
  <si>
    <t>否</t>
  </si>
  <si>
    <t>现房</t>
  </si>
  <si>
    <t>通路</t>
  </si>
  <si>
    <t>通电</t>
  </si>
  <si>
    <t>通讯</t>
  </si>
  <si>
    <t>通上水</t>
  </si>
  <si>
    <t>通下水</t>
  </si>
  <si>
    <t>平整</t>
  </si>
  <si>
    <t>4-102</t>
    <phoneticPr fontId="3" type="noConversion"/>
  </si>
  <si>
    <t>是</t>
  </si>
  <si>
    <t>地上</t>
  </si>
  <si>
    <t>4-103</t>
    <phoneticPr fontId="3" type="noConversion"/>
  </si>
  <si>
    <t>4-202</t>
    <phoneticPr fontId="3" type="noConversion"/>
  </si>
  <si>
    <t>工业用房</t>
  </si>
  <si>
    <t>工业用房</t>
    <phoneticPr fontId="7" type="noConversion"/>
  </si>
  <si>
    <t>成新度</t>
  </si>
  <si>
    <t>收益法 (元)</t>
  </si>
  <si>
    <t>较好</t>
    <phoneticPr fontId="40" type="noConversion"/>
  </si>
  <si>
    <t>较好</t>
    <phoneticPr fontId="40" type="noConversion"/>
  </si>
  <si>
    <t>一般</t>
    <phoneticPr fontId="40" type="noConversion"/>
  </si>
  <si>
    <t>七通</t>
    <phoneticPr fontId="2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</si>
  <si>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</si>
  <si>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</si>
  <si>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</si>
  <si>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</si>
  <si>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</si>
  <si>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</si>
  <si>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</si>
  <si>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</si>
  <si>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</si>
  <si>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</si>
  <si>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</si>
  <si>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</si>
  <si>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</si>
  <si>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</si>
  <si>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</si>
  <si>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</si>
  <si>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</si>
  <si>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</si>
  <si>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</si>
  <si>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</si>
  <si>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</si>
  <si>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</si>
  <si>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</si>
  <si>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</si>
  <si>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</si>
  <si>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</si>
  <si>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</si>
  <si>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</si>
  <si>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</si>
  <si>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</si>
  <si>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</si>
  <si>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</si>
  <si>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</si>
  <si>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</si>
  <si>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</si>
  <si>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</si>
  <si>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</si>
  <si>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</si>
  <si>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</si>
  <si>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</si>
  <si>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</si>
  <si>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</si>
  <si>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</si>
  <si>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</si>
  <si>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</si>
  <si>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</si>
  <si>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</si>
  <si>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</si>
  <si>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</si>
  <si>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</si>
  <si>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</si>
  <si>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</si>
  <si>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</si>
  <si>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</si>
  <si>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</si>
  <si>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</si>
  <si>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</si>
  <si>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</si>
  <si>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</si>
  <si>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</si>
  <si>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</si>
  <si>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津西青(挂)G2024-01号</t>
  </si>
  <si>
    <t xml:space="preserve"> 天津 </t>
  </si>
  <si>
    <t xml:space="preserve"> 西青区 </t>
  </si>
  <si>
    <t xml:space="preserve"> -- </t>
  </si>
  <si>
    <t xml:space="preserve"> 西青区中北镇紫光路以西 </t>
  </si>
  <si>
    <t xml:space="preserve"> 工业用地 </t>
  </si>
  <si>
    <t xml:space="preserve"> 挂牌 </t>
  </si>
  <si>
    <t xml:space="preserve"> M工业用地 </t>
  </si>
  <si>
    <t xml:space="preserve">-- </t>
  </si>
  <si>
    <t xml:space="preserve"> 津西青(挂)G2024-01号 </t>
  </si>
  <si>
    <t xml:space="preserve"> 已成交 </t>
  </si>
  <si>
    <t xml:space="preserve"> 兴华检测有限公司  </t>
  </si>
  <si>
    <t xml:space="preserve"> 兴华检测有限公司 </t>
  </si>
  <si>
    <t>2024-04-12 00:00</t>
  </si>
  <si>
    <t xml:space="preserve"> 未开工 </t>
  </si>
  <si>
    <t xml:space="preserve"> 否 </t>
  </si>
  <si>
    <t xml:space="preserve"> --</t>
  </si>
  <si>
    <t>津西青(挂)G2023-09号</t>
  </si>
  <si>
    <t xml:space="preserve"> 西青区大寺镇赛达一大道北侧 </t>
  </si>
  <si>
    <t xml:space="preserve"> 大于等于30% </t>
  </si>
  <si>
    <t xml:space="preserve"> 津西青(挂)G2023-09号 </t>
  </si>
  <si>
    <t xml:space="preserve"> 天津氟膜新材料有限公司  </t>
  </si>
  <si>
    <t>2024-01-19 00:00</t>
  </si>
  <si>
    <t xml:space="preserve"> 已开工 </t>
  </si>
  <si>
    <t>西青区精武镇创源道南侧</t>
  </si>
  <si>
    <t>津西青(挂)G2023-07号</t>
  </si>
  <si>
    <t xml:space="preserve"> 精武镇 </t>
  </si>
  <si>
    <t xml:space="preserve"> 西青区精武镇创源道南侧 </t>
  </si>
  <si>
    <t xml:space="preserve"> 茶饮料及其他饮料制造 </t>
  </si>
  <si>
    <t xml:space="preserve"> 大于等于55% </t>
  </si>
  <si>
    <t xml:space="preserve"> 津西青(挂)G2023-07号 </t>
  </si>
  <si>
    <t xml:space="preserve"> 天津东鹏维他命饮料有限公司  </t>
  </si>
  <si>
    <t>2023-12-04 16:30</t>
  </si>
  <si>
    <t>天津开发区微电子工业区</t>
  </si>
  <si>
    <t>津滨开(挂)G2023-29号</t>
  </si>
  <si>
    <t xml:space="preserve"> 大寺 </t>
  </si>
  <si>
    <t xml:space="preserve"> 天津开发区微电子工业区 </t>
  </si>
  <si>
    <t xml:space="preserve"> 0.8-2.0 </t>
  </si>
  <si>
    <t xml:space="preserve"> 铁路专用设备及器材、配件制造 </t>
  </si>
  <si>
    <t xml:space="preserve"> ≥40% </t>
  </si>
  <si>
    <t xml:space="preserve"> 津滨开(挂)G2023-29号 </t>
  </si>
  <si>
    <t xml:space="preserve"> 天津七一二移动通信有限公司  </t>
  </si>
  <si>
    <t>2023-11-22 16:00</t>
  </si>
  <si>
    <t>西青区精武镇慧成路以北,民兴北路以西</t>
  </si>
  <si>
    <t>津西青(挂)G2023-01号</t>
  </si>
  <si>
    <t xml:space="preserve"> 西青区精武镇慧成路以北,民兴北路以西 </t>
  </si>
  <si>
    <t xml:space="preserve"> 0.8-2.5 </t>
  </si>
  <si>
    <t xml:space="preserve"> 医疗、外科及兽医用器械制造 </t>
  </si>
  <si>
    <t xml:space="preserve"> 津西青(挂)G2023-01号 </t>
  </si>
  <si>
    <t xml:space="preserve"> 天津路顺大健康产业发展有限公司  </t>
  </si>
  <si>
    <t>2023-10-13 16:30</t>
  </si>
  <si>
    <t xml:space="preserve"> 工业用地50年 </t>
  </si>
  <si>
    <t>西青区张家窝镇天华路与安福道交口东北侧</t>
  </si>
  <si>
    <t>津西青(挂)G2023-06号</t>
  </si>
  <si>
    <t xml:space="preserve"> 张家窝 </t>
  </si>
  <si>
    <t xml:space="preserve"> 西青区张家窝镇天华路与安福道交口东北侧 </t>
  </si>
  <si>
    <t xml:space="preserve"> 0.8-1.8 </t>
  </si>
  <si>
    <t xml:space="preserve"> 其他专用设备制造 </t>
  </si>
  <si>
    <t xml:space="preserve"> 津西青(挂)G2023-06号 </t>
  </si>
  <si>
    <t xml:space="preserve"> 海源(天津)智能制造有限责任公司  </t>
  </si>
  <si>
    <t>西青区赛达新兴产业园赛达三经路东侧</t>
  </si>
  <si>
    <t>津西青(挂)G2023-05号</t>
  </si>
  <si>
    <t xml:space="preserve"> 西青区赛达新兴产业园赛达三经路东侧 </t>
  </si>
  <si>
    <t xml:space="preserve"> 0.47-2.0 </t>
  </si>
  <si>
    <t xml:space="preserve"> 工业 </t>
  </si>
  <si>
    <t xml:space="preserve"> 津西青(挂)G2023-05号 </t>
  </si>
  <si>
    <t xml:space="preserve"> 金宏气体(天津)有限公司  </t>
  </si>
  <si>
    <t>2023-06-30 16:30</t>
  </si>
  <si>
    <t xml:space="preserve"> 50年 </t>
  </si>
  <si>
    <t>西青区精武镇津涞辅道南侧</t>
  </si>
  <si>
    <t>津西青(挂)G2023-02号</t>
  </si>
  <si>
    <t xml:space="preserve"> 西青区精武镇津涞辅道南侧 </t>
  </si>
  <si>
    <t xml:space="preserve"> 0.8-1.2 </t>
  </si>
  <si>
    <t xml:space="preserve"> W物流仓储用地 </t>
  </si>
  <si>
    <t xml:space="preserve"> 仓储用地 </t>
  </si>
  <si>
    <t xml:space="preserve"> 津西青(挂)G2023-02号 </t>
  </si>
  <si>
    <t xml:space="preserve"> 天津童联供应链管理有限公司  </t>
  </si>
  <si>
    <t>2023-05-16 16:30</t>
  </si>
  <si>
    <t>西青区张家窝镇安泽道北侧</t>
  </si>
  <si>
    <t>津西青(挂)G2023-04号</t>
  </si>
  <si>
    <t xml:space="preserve"> 东至现状空地,南至安泽道,西至现状企业,北至现状空地 </t>
  </si>
  <si>
    <t xml:space="preserve"> 1.0-1.5 </t>
  </si>
  <si>
    <t xml:space="preserve"> 津西青(挂)G2023-04号 </t>
  </si>
  <si>
    <t xml:space="preserve"> 北京金印联国际供应链管理有限公司  </t>
  </si>
  <si>
    <t>2023-04-18 15:59</t>
  </si>
  <si>
    <t>西青区张家窝镇天华路西侧</t>
  </si>
  <si>
    <t>津西青(挂)G2023-03号</t>
  </si>
  <si>
    <t xml:space="preserve"> 西青区张家窝镇天华路西侧 </t>
  </si>
  <si>
    <t xml:space="preserve"> 1.0-1.8 </t>
  </si>
  <si>
    <t xml:space="preserve"> 津西青(挂)G2023-03号 </t>
  </si>
  <si>
    <t xml:space="preserve"> 天津市威匡电气设备有限公司  </t>
  </si>
  <si>
    <t>2023-03-28 15:59</t>
  </si>
  <si>
    <t>西青区王稳庄镇盛达三支路与盛源道交口东南侧</t>
  </si>
  <si>
    <t>津西青(挂)G2022-06号</t>
  </si>
  <si>
    <t xml:space="preserve"> 西青区王稳庄镇盛达三支路与盛源道交口东南侧 </t>
  </si>
  <si>
    <t xml:space="preserve"> 0.8-1.5 </t>
  </si>
  <si>
    <t xml:space="preserve"> 津西青(挂)G2022-06号 </t>
  </si>
  <si>
    <t xml:space="preserve"> 天津市赛达伟业有限公司  </t>
  </si>
  <si>
    <t>2023-03-03 16:30</t>
  </si>
  <si>
    <t>西青开发区新兴一支路西侧</t>
  </si>
  <si>
    <t>津西青(挂)G2022-05号</t>
  </si>
  <si>
    <t xml:space="preserve"> 西青开发区新兴一支路西侧 </t>
  </si>
  <si>
    <t xml:space="preserve"> 津西青(挂)G2022-05号 </t>
  </si>
  <si>
    <t xml:space="preserve"> 友成(天津)塑料模具有限公司  </t>
  </si>
  <si>
    <t>2022-12-02 16:30</t>
  </si>
  <si>
    <t>西青区张家窝镇福保路与安福道交口西南侧</t>
  </si>
  <si>
    <t>津西青(挂)G2022-04号</t>
  </si>
  <si>
    <t xml:space="preserve"> 西青区张家窝镇福保路与安福道交口西南侧 </t>
  </si>
  <si>
    <t xml:space="preserve"> 1.0-1.7 </t>
  </si>
  <si>
    <t xml:space="preserve"> 津西青(挂)G2022-04号 </t>
  </si>
  <si>
    <t xml:space="preserve"> 天津经纬恒润科技有限公司  </t>
  </si>
  <si>
    <t>2022-10-08 16:30</t>
  </si>
  <si>
    <t>西青区西青开发区赛达九纬路以南</t>
  </si>
  <si>
    <t>津西青(挂)G2022-03号</t>
  </si>
  <si>
    <t xml:space="preserve"> 西青区西青开发区赛达九纬路以南 </t>
  </si>
  <si>
    <t xml:space="preserve"> 1.0-2.5 </t>
  </si>
  <si>
    <t xml:space="preserve"> 津西青(挂)G2022-03号 </t>
  </si>
  <si>
    <t xml:space="preserve"> 中芯西青集成电路制造有限公司  </t>
  </si>
  <si>
    <t xml:space="preserve"> 中芯西青集成电路制造有限公司 </t>
  </si>
  <si>
    <t>2022-09-02 16:30</t>
  </si>
  <si>
    <t>天津市西青汽车工业园(中北示范园区)聚源道以南</t>
  </si>
  <si>
    <t>津西青(挂)G2022-02号</t>
  </si>
  <si>
    <t xml:space="preserve"> 天津市西青汽车工业园(中北示范园区)聚源道以南 </t>
  </si>
  <si>
    <t xml:space="preserve"> 津西青(挂)G2022-02号 </t>
  </si>
  <si>
    <t xml:space="preserve"> 天津星谷科技产业园服务有限公司  </t>
  </si>
  <si>
    <t>2022-06-21 16:30</t>
  </si>
  <si>
    <t>正常</t>
  </si>
  <si>
    <t>楼面地价</t>
  </si>
  <si>
    <t>未包含在土地购买价格中</t>
  </si>
  <si>
    <t>已包含在土地取得成本中</t>
  </si>
  <si>
    <t>押一</t>
  </si>
  <si>
    <t>钢混</t>
  </si>
  <si>
    <t>非生产用房</t>
  </si>
  <si>
    <t>成本法 (元)</t>
  </si>
  <si>
    <r>
      <rPr>
        <sz val="10"/>
        <color theme="9" tint="-0.249977111117893"/>
        <rFont val="宋体"/>
        <family val="3"/>
        <charset val="134"/>
      </rPr>
      <t>西青区张家窝镇安福道</t>
    </r>
    <r>
      <rPr>
        <sz val="10"/>
        <color theme="9" tint="-0.249977111117893"/>
        <rFont val="Arial"/>
        <family val="2"/>
      </rPr>
      <t>10</t>
    </r>
    <r>
      <rPr>
        <sz val="10"/>
        <color theme="9" tint="-0.249977111117893"/>
        <rFont val="宋体"/>
        <family val="3"/>
        <charset val="134"/>
      </rPr>
      <t>号</t>
    </r>
    <r>
      <rPr>
        <sz val="10"/>
        <color theme="9" tint="-0.249977111117893"/>
        <rFont val="Arial"/>
        <family val="2"/>
      </rPr>
      <t>4-102</t>
    </r>
    <r>
      <rPr>
        <sz val="10"/>
        <color theme="9" tint="-0.249977111117893"/>
        <rFont val="宋体"/>
        <family val="3"/>
        <charset val="134"/>
      </rPr>
      <t>、</t>
    </r>
    <r>
      <rPr>
        <sz val="10"/>
        <color theme="9" tint="-0.249977111117893"/>
        <rFont val="Arial"/>
        <family val="2"/>
      </rPr>
      <t>103</t>
    </r>
    <r>
      <rPr>
        <sz val="10"/>
        <color theme="9" tint="-0.249977111117893"/>
        <rFont val="宋体"/>
        <family val="3"/>
        <charset val="134"/>
      </rPr>
      <t>、</t>
    </r>
    <r>
      <rPr>
        <sz val="10"/>
        <color theme="9" tint="-0.249977111117893"/>
        <rFont val="Arial"/>
        <family val="2"/>
      </rPr>
      <t>202</t>
    </r>
    <phoneticPr fontId="6" type="noConversion"/>
  </si>
  <si>
    <t>建成</t>
    <phoneticPr fontId="3" type="noConversion"/>
  </si>
  <si>
    <t>直线</t>
    <phoneticPr fontId="3" type="noConversion"/>
  </si>
  <si>
    <t>工业</t>
    <phoneticPr fontId="32" type="noConversion"/>
  </si>
  <si>
    <t>较好</t>
  </si>
  <si>
    <t>一般</t>
  </si>
  <si>
    <t>七通</t>
  </si>
  <si>
    <t>西青区中北镇紫光路以西</t>
    <phoneticPr fontId="134" type="noConversion"/>
  </si>
  <si>
    <t>西青区大寺镇赛达一大道北侧</t>
    <phoneticPr fontId="134" type="noConversion"/>
  </si>
  <si>
    <t>规则</t>
    <phoneticPr fontId="32" type="noConversion"/>
  </si>
  <si>
    <t>较规则</t>
  </si>
  <si>
    <t>较规则</t>
    <phoneticPr fontId="32" type="noConversion"/>
  </si>
  <si>
    <t>好</t>
    <phoneticPr fontId="32" type="noConversion"/>
  </si>
  <si>
    <t>较好</t>
    <phoneticPr fontId="32" type="noConversion"/>
  </si>
  <si>
    <t>六通</t>
  </si>
  <si>
    <r>
      <rPr>
        <sz val="11"/>
        <color indexed="62"/>
        <rFont val="宋体"/>
        <family val="3"/>
        <charset val="134"/>
      </rPr>
      <t>园区占地约</t>
    </r>
    <r>
      <rPr>
        <sz val="11"/>
        <color indexed="62"/>
        <rFont val="Arial"/>
        <family val="2"/>
      </rPr>
      <t>175</t>
    </r>
    <r>
      <rPr>
        <sz val="11"/>
        <color indexed="62"/>
        <rFont val="宋体"/>
        <family val="3"/>
        <charset val="134"/>
      </rPr>
      <t>亩</t>
    </r>
    <r>
      <rPr>
        <sz val="11"/>
        <color indexed="62"/>
        <rFont val="Arial"/>
        <family val="2"/>
      </rPr>
      <t>,</t>
    </r>
    <r>
      <rPr>
        <sz val="11"/>
        <color indexed="62"/>
        <rFont val="宋体"/>
        <family val="3"/>
        <charset val="134"/>
      </rPr>
      <t>总建筑面积</t>
    </r>
    <r>
      <rPr>
        <sz val="11"/>
        <color indexed="62"/>
        <rFont val="Arial"/>
        <family val="2"/>
      </rPr>
      <t>17.5</t>
    </r>
    <r>
      <rPr>
        <sz val="11"/>
        <color indexed="62"/>
        <rFont val="宋体"/>
        <family val="3"/>
        <charset val="134"/>
      </rPr>
      <t>万平方米。</t>
    </r>
    <phoneticPr fontId="32" type="noConversion"/>
  </si>
  <si>
    <t>楼面单价</t>
  </si>
  <si>
    <t>按票据</t>
  </si>
  <si>
    <t>情况4</t>
  </si>
  <si>
    <t>转让取得</t>
  </si>
  <si>
    <t>非个人房产</t>
  </si>
  <si>
    <t>购房款</t>
    <phoneticPr fontId="8" type="noConversion"/>
  </si>
  <si>
    <t xml:space="preserve"> </t>
    <phoneticPr fontId="8" type="noConversion"/>
  </si>
  <si>
    <t>装修款</t>
    <phoneticPr fontId="8" type="noConversion"/>
  </si>
  <si>
    <t>购房发票</t>
  </si>
  <si>
    <t>2016年5月1日后购买</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</si>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</sst>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269" fillId="0" borderId="0" xfId="19" applyNumberFormat="1"/>
    <xf numFmtId="14" fontId="269" fillId="0" borderId="0" xfId="19" applyNumberFormat="1"/>
    <xf numFmtId="0" fontId="269" fillId="5" borderId="0" xfId="19" applyNumberFormat="1" applyFill="1"/>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27543</xdr:colOff>
      <xdr:row>40</xdr:row>
      <xdr:rowOff>161048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57143"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天津市西青区张家窝镇安福道10号4-102、103、202房地产抵押价值预评估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受贵公司委托，我公司对天津市西青区张家窝镇安福道10号4-102、103、202房地产抵押价值进行了预评估。</v>
      </c>
    </row>
    <row r="7" spans="1:2" s="1203" customFormat="1">
      <c r="A7" s="1201" t="s">
        <v>566</v>
      </c>
      <c r="B7" s="1202" t="str">
        <f>'预评函-1'!A7</f>
        <v>估价对象为天津市西青区张家窝镇安福道10号4-102、103、202房地产，为天津金鹏振兴铜业有限公司所有。根据《国有土地使用证》[]，估价对象（分摊）出让国有建设用地使用权面积为0平方米，建筑面积为2069.34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2024年5月28日（评估专业人员实地查勘之日）</v>
      </c>
    </row>
    <row r="13" spans="1:2" s="1203" customFormat="1">
      <c r="A13" s="1201" t="s">
        <v>529</v>
      </c>
      <c r="B13" s="1202"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1423</v>
      </c>
    </row>
    <row r="21" spans="1:2" s="1203" customFormat="1">
      <c r="A21" s="1201" t="s">
        <v>537</v>
      </c>
      <c r="B21" s="1202">
        <f ca="1">'预评函-2'!D7</f>
        <v>6879</v>
      </c>
    </row>
    <row r="22" spans="1:2" s="1203" customFormat="1">
      <c r="A22" s="1201" t="s">
        <v>538</v>
      </c>
      <c r="B22" s="1202" t="str">
        <f ca="1">'预评函-2'!D6</f>
        <v>壹仟肆佰贰拾叁万元整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1423</v>
      </c>
    </row>
    <row r="31" spans="1:2" s="1203" customFormat="1">
      <c r="A31" s="1201" t="s">
        <v>576</v>
      </c>
      <c r="B31" s="1202">
        <f ca="1">'预评函-2'!D15</f>
        <v>6879</v>
      </c>
    </row>
    <row r="32" spans="1:2" s="1203" customFormat="1">
      <c r="A32" s="1201" t="s">
        <v>543</v>
      </c>
      <c r="B32" s="1202" t="str">
        <f ca="1">'预评函-2'!D14</f>
        <v>壹仟肆佰贰拾叁万元整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1361</v>
      </c>
    </row>
    <row r="39" spans="1:2" s="1203" customFormat="1">
      <c r="A39" s="1201" t="s">
        <v>545</v>
      </c>
      <c r="B39" s="1202">
        <f ca="1">'预评函-2'!D21</f>
        <v>6577</v>
      </c>
    </row>
    <row r="40" spans="1:2" s="1203" customFormat="1">
      <c r="A40" s="1201" t="s">
        <v>546</v>
      </c>
      <c r="B40" s="1202" t="str">
        <f ca="1">'预评函-2'!D20</f>
        <v>壹仟叁佰陆拾壹万元整</v>
      </c>
    </row>
    <row r="41" spans="1:2" s="1203" customFormat="1">
      <c r="A41" s="1201" t="s">
        <v>592</v>
      </c>
      <c r="B41" s="1202" t="str">
        <f>'预评函-3'!A4</f>
        <v>天津市西青区张家窝镇安福道10号4-102、103、202房地产</v>
      </c>
    </row>
    <row r="42" spans="1:2" s="1203" customFormat="1">
      <c r="A42" s="1201" t="s">
        <v>590</v>
      </c>
      <c r="B42" s="1202" t="str">
        <f>'预评函-3'!B2</f>
        <v>建筑面积</v>
      </c>
    </row>
    <row r="43" spans="1:2" s="1203" customFormat="1">
      <c r="A43" s="1201" t="s">
        <v>591</v>
      </c>
      <c r="B43" s="1202">
        <f>'预评函-3'!B4</f>
        <v>2069.34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2285</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499" t="s">
        <v>2576</v>
      </c>
      <c r="J2" s="3499"/>
      <c r="K2" s="3499"/>
      <c r="L2" s="3499"/>
      <c r="M2" s="3499"/>
      <c r="N2" s="3499"/>
      <c r="O2" s="3499"/>
      <c r="P2" s="3499"/>
      <c r="Q2" s="3499"/>
      <c r="R2" s="3499"/>
    </row>
    <row r="3" spans="1:18">
      <c r="A3" s="3016" t="s">
        <v>2497</v>
      </c>
      <c r="B3" s="3017">
        <f>项目基本情况!D3</f>
        <v>45440</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2.56</v>
      </c>
      <c r="D5" s="3021">
        <f>IF(ISERROR(ROUND(POWER(1+E5,A5-C5)*(POWER(1+E5,C5)-1)/(POWER(1+E5,A5)-1),3)),0,ROUND(POWER(1+E5,A5-C5)*(POWER(1+E5,C5)-1)/(POWER(1+E5,A5)-1),4))</f>
        <v>0.1207</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50028</v>
      </c>
      <c r="C6" s="3019">
        <f>ROUNDDOWN(MIN((B6-B3)/365,A6),2)</f>
        <v>12.56</v>
      </c>
      <c r="D6" s="3021">
        <f>IF(ISERROR(ROUND(POWER(1+E6,A6-C6)*(POWER(1+E6,C6)-1)/(POWER(1+E6,A6)-1),3)),0,ROUND(POWER(1+E6,A6-C6)*(POWER(1+E6,C6)-1)/(POWER(1+E6,A6)-1),4))</f>
        <v>0.45269999999999999</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32.58</v>
      </c>
      <c r="D7" s="3021">
        <f>IF(ISERROR(ROUND(POWER(1+E7,A7-C7)*(POWER(1+E7,C7)-1)/(POWER(1+E7,A7)-1),3)),0,ROUND(POWER(1+E7,A7-C7)*(POWER(1+E7,C7)-1)/(POWER(1+E7,A7)-1),4))</f>
        <v>0.77090000000000003</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70</v>
      </c>
      <c r="C11" s="3019" t="s">
        <v>2506</v>
      </c>
      <c r="D11" s="3025">
        <v>4.4999999999999998E-2</v>
      </c>
      <c r="E11" s="3019" t="s">
        <v>2507</v>
      </c>
      <c r="F11" s="3026">
        <f>ROUND(1-(1/(POWER(1+D11,B11))),4)</f>
        <v>0.95409999999999995</v>
      </c>
    </row>
    <row r="12" spans="1:18">
      <c r="A12" s="3016" t="s">
        <v>2508</v>
      </c>
      <c r="B12" s="3024">
        <v>40</v>
      </c>
      <c r="C12" s="3019" t="s">
        <v>2509</v>
      </c>
      <c r="D12" s="3025">
        <v>4.4999999999999998E-2</v>
      </c>
      <c r="E12" s="3019" t="s">
        <v>2510</v>
      </c>
      <c r="F12" s="3026">
        <f>ROUND(1-(1/(POWER(1+D12,B12))),4)</f>
        <v>0.82809999999999995</v>
      </c>
    </row>
    <row r="13" spans="1:18">
      <c r="A13" s="3016" t="s">
        <v>2511</v>
      </c>
      <c r="B13" s="3019"/>
      <c r="C13" s="3019"/>
      <c r="D13" s="3014"/>
      <c r="E13" s="3014"/>
      <c r="F13" s="3015"/>
    </row>
    <row r="14" spans="1:18">
      <c r="A14" s="3016" t="s">
        <v>2512</v>
      </c>
      <c r="B14" s="3024">
        <v>5000</v>
      </c>
      <c r="C14" s="3018"/>
      <c r="D14" s="3014"/>
      <c r="E14" s="3014"/>
      <c r="F14" s="3015"/>
    </row>
    <row r="15" spans="1:18">
      <c r="A15" s="3016" t="s">
        <v>2513</v>
      </c>
      <c r="B15" s="3019">
        <f>ROUND(B14*F12/F11,2)</f>
        <v>4339.6899999999996</v>
      </c>
      <c r="C15" s="3019">
        <f>ROUND(F12/F11,4)</f>
        <v>0.8679</v>
      </c>
      <c r="D15" s="3014"/>
      <c r="E15" s="3014"/>
      <c r="F15" s="3015"/>
    </row>
    <row r="16" spans="1:18">
      <c r="A16" s="3016" t="s">
        <v>2514</v>
      </c>
      <c r="B16" s="3019"/>
      <c r="C16" s="3019"/>
      <c r="D16" s="3014"/>
      <c r="E16" s="3014"/>
      <c r="F16" s="3015"/>
    </row>
    <row r="17" spans="1:13">
      <c r="A17" s="3016" t="s">
        <v>2513</v>
      </c>
      <c r="B17" s="3025">
        <v>4810</v>
      </c>
      <c r="C17" s="3018"/>
      <c r="D17" s="3014"/>
      <c r="E17" s="3014"/>
      <c r="F17" s="3015"/>
    </row>
    <row r="18" spans="1:13" ht="14.25" thickBot="1">
      <c r="A18" s="3027" t="s">
        <v>2512</v>
      </c>
      <c r="B18" s="3028">
        <f>ROUND(B17*F11/F12,2)</f>
        <v>5541.87</v>
      </c>
      <c r="C18" s="3028">
        <f>ROUND(F11/F12,4)</f>
        <v>1.1521999999999999</v>
      </c>
      <c r="D18" s="3029"/>
      <c r="E18" s="3029"/>
      <c r="F18" s="3030"/>
    </row>
    <row r="19" spans="1:13" ht="14.25" thickBot="1"/>
    <row r="20" spans="1:13" s="3065" customFormat="1" ht="14.25" thickTop="1">
      <c r="A20" s="3062" t="s">
        <v>2515</v>
      </c>
      <c r="B20" s="3063"/>
      <c r="C20" s="3063"/>
      <c r="D20" s="3063"/>
      <c r="E20" s="3063"/>
      <c r="F20" s="3063"/>
      <c r="G20" s="3064"/>
      <c r="I20" s="3066" t="s">
        <v>2560</v>
      </c>
      <c r="J20" s="3066" t="s">
        <v>2565</v>
      </c>
      <c r="K20" s="3066"/>
      <c r="L20" s="3066"/>
      <c r="M20" s="3066"/>
    </row>
    <row r="21" spans="1:13">
      <c r="A21" s="3031"/>
      <c r="B21" s="3032" t="s">
        <v>2516</v>
      </c>
      <c r="C21" s="3032" t="s">
        <v>2517</v>
      </c>
      <c r="D21" s="3032" t="s">
        <v>2518</v>
      </c>
      <c r="E21" s="3032" t="s">
        <v>2519</v>
      </c>
      <c r="F21" s="3032" t="s">
        <v>2520</v>
      </c>
      <c r="G21" s="3033" t="s">
        <v>2521</v>
      </c>
      <c r="I21" s="3054">
        <v>5</v>
      </c>
      <c r="J21" s="3054">
        <v>54.2</v>
      </c>
    </row>
    <row r="22" spans="1:13">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M23" s="3054" t="s">
        <v>2564</v>
      </c>
    </row>
    <row r="24" spans="1:13">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M24" s="3054">
        <v>10</v>
      </c>
    </row>
    <row r="25" spans="1:13">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M25" s="3054">
        <v>8</v>
      </c>
    </row>
    <row r="26" spans="1:13">
      <c r="A26" s="3036"/>
      <c r="B26" s="3037"/>
      <c r="C26" s="3037"/>
      <c r="D26" s="3037"/>
      <c r="E26" s="3037"/>
      <c r="F26" s="3037"/>
      <c r="G26" s="3038"/>
      <c r="I26" s="3054">
        <v>30</v>
      </c>
      <c r="J26" s="3054">
        <v>90.5</v>
      </c>
      <c r="K26" s="3054">
        <f t="shared" si="2"/>
        <v>4.2000000000000028</v>
      </c>
      <c r="L26" s="3054" t="s">
        <v>2567</v>
      </c>
      <c r="M26" s="3054">
        <v>5</v>
      </c>
    </row>
    <row r="27" spans="1:13">
      <c r="A27" s="3036" t="s">
        <v>2526</v>
      </c>
      <c r="B27" s="3037"/>
      <c r="C27" s="3037"/>
      <c r="D27" s="3037"/>
      <c r="E27" s="3037"/>
      <c r="F27" s="3037"/>
      <c r="G27" s="3038"/>
      <c r="I27" s="3054">
        <v>35</v>
      </c>
      <c r="J27" s="3054">
        <v>93.8</v>
      </c>
      <c r="K27" s="3054">
        <f t="shared" si="2"/>
        <v>3.2999999999999972</v>
      </c>
      <c r="L27" s="3054" t="s">
        <v>2568</v>
      </c>
      <c r="M27" s="3054">
        <v>3</v>
      </c>
    </row>
    <row r="28" spans="1:13">
      <c r="A28" s="3036" t="s">
        <v>2527</v>
      </c>
      <c r="B28" s="3037"/>
      <c r="C28" s="3037"/>
      <c r="D28" s="3037"/>
      <c r="E28" s="3037"/>
      <c r="F28" s="3037"/>
      <c r="G28" s="3038"/>
      <c r="I28" s="3054">
        <v>40</v>
      </c>
      <c r="J28" s="3054">
        <v>96.4</v>
      </c>
      <c r="K28" s="3054">
        <f t="shared" si="2"/>
        <v>2.6000000000000085</v>
      </c>
      <c r="L28" s="3054" t="s">
        <v>2569</v>
      </c>
      <c r="M28" s="3054">
        <v>2</v>
      </c>
    </row>
    <row r="29" spans="1:13">
      <c r="A29" s="3036" t="s">
        <v>2528</v>
      </c>
      <c r="B29" s="3037"/>
      <c r="C29" s="3037"/>
      <c r="D29" s="3037"/>
      <c r="E29" s="3037"/>
      <c r="F29" s="3037"/>
      <c r="G29" s="3038"/>
      <c r="I29" s="3054">
        <v>45</v>
      </c>
      <c r="J29" s="3054">
        <v>98.4</v>
      </c>
      <c r="K29" s="3054">
        <f t="shared" si="2"/>
        <v>2</v>
      </c>
    </row>
    <row r="30" spans="1:13">
      <c r="A30" s="3036" t="s">
        <v>2529</v>
      </c>
      <c r="B30" s="3037"/>
      <c r="C30" s="3037"/>
      <c r="D30" s="3037"/>
      <c r="E30" s="3037"/>
      <c r="F30" s="3037"/>
      <c r="G30" s="3038"/>
      <c r="I30" s="3054">
        <v>50</v>
      </c>
      <c r="J30" s="3054">
        <v>100</v>
      </c>
      <c r="K30" s="3054">
        <f t="shared" si="2"/>
        <v>1.5999999999999943</v>
      </c>
    </row>
    <row r="31" spans="1:13">
      <c r="A31" s="3036" t="s">
        <v>2530</v>
      </c>
      <c r="B31" s="3037"/>
      <c r="C31" s="3037"/>
      <c r="D31" s="3037"/>
      <c r="E31" s="3037"/>
      <c r="F31" s="3037"/>
      <c r="G31" s="3038"/>
      <c r="I31" s="3054" t="s">
        <v>2561</v>
      </c>
    </row>
    <row r="32" spans="1:13">
      <c r="A32" s="3036" t="s">
        <v>2531</v>
      </c>
      <c r="B32" s="3037"/>
      <c r="C32" s="3037"/>
      <c r="D32" s="3037"/>
      <c r="E32" s="3037"/>
      <c r="F32" s="3037"/>
      <c r="G32" s="3038"/>
    </row>
    <row r="33" spans="1:13">
      <c r="A33" s="3036" t="s">
        <v>2532</v>
      </c>
      <c r="B33" s="3037"/>
      <c r="C33" s="3037"/>
      <c r="D33" s="3037"/>
      <c r="E33" s="3037"/>
      <c r="F33" s="3037"/>
      <c r="G33" s="3038"/>
      <c r="I33" s="3054" t="s">
        <v>2560</v>
      </c>
      <c r="J33" s="3054" t="s">
        <v>2570</v>
      </c>
    </row>
    <row r="34" spans="1:13">
      <c r="A34" s="3036" t="s">
        <v>2533</v>
      </c>
      <c r="B34" s="3037"/>
      <c r="C34" s="3037"/>
      <c r="D34" s="3037"/>
      <c r="E34" s="3037"/>
      <c r="F34" s="3037"/>
      <c r="G34" s="3038"/>
      <c r="I34" s="3054">
        <v>5</v>
      </c>
      <c r="J34" s="3054">
        <v>55.1</v>
      </c>
    </row>
    <row r="35" spans="1:13">
      <c r="A35" s="3036" t="s">
        <v>2534</v>
      </c>
      <c r="B35" s="3037"/>
      <c r="C35" s="3037"/>
      <c r="D35" s="3037"/>
      <c r="E35" s="3037"/>
      <c r="F35" s="3037"/>
      <c r="G35" s="3038"/>
      <c r="I35" s="3054">
        <v>10</v>
      </c>
      <c r="J35" s="3054">
        <v>67</v>
      </c>
      <c r="K35" s="3054">
        <f>J35-J34</f>
        <v>11.899999999999999</v>
      </c>
    </row>
    <row r="36" spans="1:13">
      <c r="A36" s="3036" t="s">
        <v>2535</v>
      </c>
      <c r="B36" s="3037"/>
      <c r="C36" s="3037"/>
      <c r="D36" s="3037"/>
      <c r="E36" s="3037"/>
      <c r="F36" s="3037"/>
      <c r="G36" s="3038"/>
      <c r="I36" s="3054">
        <v>15</v>
      </c>
      <c r="J36" s="3054">
        <v>76.3</v>
      </c>
      <c r="K36" s="3054">
        <f t="shared" ref="K36:K41" si="3">J36-J35</f>
        <v>9.2999999999999972</v>
      </c>
      <c r="L36" s="3054" t="s">
        <v>2563</v>
      </c>
      <c r="M36" s="3054" t="s">
        <v>2564</v>
      </c>
    </row>
    <row r="37" spans="1:13">
      <c r="A37" s="3036" t="s">
        <v>2536</v>
      </c>
      <c r="B37" s="3037"/>
      <c r="C37" s="3037"/>
      <c r="D37" s="3037"/>
      <c r="E37" s="3037"/>
      <c r="F37" s="3037"/>
      <c r="G37" s="3038"/>
      <c r="I37" s="3054">
        <v>20</v>
      </c>
      <c r="J37" s="3054">
        <v>83.6</v>
      </c>
      <c r="K37" s="3054">
        <f t="shared" si="3"/>
        <v>7.2999999999999972</v>
      </c>
      <c r="L37" s="3054" t="s">
        <v>2562</v>
      </c>
      <c r="M37" s="3054">
        <v>10</v>
      </c>
    </row>
    <row r="38" spans="1:13">
      <c r="A38" s="3036" t="s">
        <v>2537</v>
      </c>
      <c r="B38" s="3037"/>
      <c r="C38" s="3037"/>
      <c r="D38" s="3037"/>
      <c r="E38" s="3037"/>
      <c r="F38" s="3037"/>
      <c r="G38" s="3038"/>
      <c r="I38" s="3054">
        <v>25</v>
      </c>
      <c r="J38" s="3054">
        <v>89.3</v>
      </c>
      <c r="K38" s="3054">
        <f t="shared" si="3"/>
        <v>5.7000000000000028</v>
      </c>
      <c r="L38" s="3054" t="s">
        <v>2566</v>
      </c>
      <c r="M38" s="3054">
        <v>8</v>
      </c>
    </row>
    <row r="39" spans="1:13">
      <c r="A39" s="3036"/>
      <c r="B39" s="3037"/>
      <c r="C39" s="3037"/>
      <c r="D39" s="3037"/>
      <c r="E39" s="3037"/>
      <c r="F39" s="3037"/>
      <c r="G39" s="3038"/>
      <c r="I39" s="3054">
        <v>30</v>
      </c>
      <c r="J39" s="3054">
        <v>93.8</v>
      </c>
      <c r="K39" s="3054">
        <f t="shared" si="3"/>
        <v>4.5</v>
      </c>
      <c r="L39" s="3054" t="s">
        <v>2567</v>
      </c>
      <c r="M39" s="3054">
        <v>6</v>
      </c>
    </row>
    <row r="40" spans="1:13">
      <c r="A40" s="3039" t="s">
        <v>2538</v>
      </c>
      <c r="B40" s="3040"/>
      <c r="C40" s="3040"/>
      <c r="D40" s="3040"/>
      <c r="E40" s="3040"/>
      <c r="F40" s="3040"/>
      <c r="G40" s="3041"/>
      <c r="I40" s="3054">
        <v>35</v>
      </c>
      <c r="J40" s="3054">
        <v>97.2</v>
      </c>
      <c r="K40" s="3054">
        <f t="shared" si="3"/>
        <v>3.4000000000000057</v>
      </c>
      <c r="L40" s="3054" t="s">
        <v>2568</v>
      </c>
      <c r="M40" s="3054">
        <v>3</v>
      </c>
    </row>
    <row r="41" spans="1:13">
      <c r="A41" s="3042" t="s">
        <v>2539</v>
      </c>
      <c r="B41" s="3043" t="s">
        <v>2540</v>
      </c>
      <c r="C41" s="3044" t="s">
        <v>2541</v>
      </c>
      <c r="D41" s="3044" t="s">
        <v>2542</v>
      </c>
      <c r="E41" s="3045"/>
      <c r="F41" s="3046"/>
      <c r="G41" s="3047"/>
      <c r="I41" s="3054">
        <v>40</v>
      </c>
      <c r="J41" s="3054">
        <v>100</v>
      </c>
      <c r="K41" s="3054">
        <f t="shared" si="3"/>
        <v>2.7999999999999972</v>
      </c>
    </row>
    <row r="42" spans="1:13">
      <c r="A42" s="3042" t="s">
        <v>2543</v>
      </c>
      <c r="B42" s="3043" t="s">
        <v>2544</v>
      </c>
      <c r="C42" s="3044" t="s">
        <v>2545</v>
      </c>
      <c r="D42" s="3048" t="s">
        <v>2546</v>
      </c>
      <c r="E42" s="3040" t="s">
        <v>2547</v>
      </c>
      <c r="F42" s="3040"/>
      <c r="G42" s="3041"/>
    </row>
    <row r="43" spans="1:13">
      <c r="A43" s="3042" t="s">
        <v>2548</v>
      </c>
      <c r="B43" s="3043" t="s">
        <v>2549</v>
      </c>
      <c r="C43" s="3044" t="s">
        <v>2550</v>
      </c>
      <c r="D43" s="3044" t="s">
        <v>2551</v>
      </c>
      <c r="E43" s="3045" t="s">
        <v>2552</v>
      </c>
      <c r="F43" s="3046"/>
      <c r="G43" s="3047"/>
      <c r="I43" s="3054" t="s">
        <v>2560</v>
      </c>
      <c r="J43" s="3054" t="s">
        <v>2571</v>
      </c>
    </row>
    <row r="44" spans="1:13">
      <c r="A44" s="3042" t="s">
        <v>2553</v>
      </c>
      <c r="B44" s="3043" t="s">
        <v>2554</v>
      </c>
      <c r="C44" s="3044" t="s">
        <v>2555</v>
      </c>
      <c r="D44" s="3048">
        <v>0.5</v>
      </c>
      <c r="E44" s="3045" t="s">
        <v>2556</v>
      </c>
      <c r="F44" s="3046"/>
      <c r="G44" s="3047"/>
      <c r="I44" s="3054">
        <v>30</v>
      </c>
      <c r="J44" s="3054">
        <v>81.7</v>
      </c>
    </row>
    <row r="45" spans="1:13" ht="14.25" thickBot="1">
      <c r="A45" s="3049" t="s">
        <v>2557</v>
      </c>
      <c r="B45" s="3050" t="s">
        <v>2544</v>
      </c>
      <c r="C45" s="3051" t="s">
        <v>2544</v>
      </c>
      <c r="D45" s="3051" t="s">
        <v>2558</v>
      </c>
      <c r="E45" s="3052" t="s">
        <v>2559</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6" sqref="L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00" t="str">
        <f>IF(B10="北京市","北京市",C10)&amp;F10&amp;IF(结果表!G1="在建","出让国有建设用地使用权及在建建筑物",IF(结果表!G1="土地","出让国有建设用地使用权",))&amp;B9&amp;"预评估"</f>
        <v>天津市西青区张家窝镇安福道10号4-102、103、202房地产抵押价值预评估</v>
      </c>
      <c r="C1" s="3501"/>
      <c r="D1" s="3501"/>
      <c r="E1" s="3501"/>
      <c r="F1" s="3501"/>
      <c r="G1" s="3501"/>
      <c r="H1" s="3501"/>
      <c r="I1" s="3502"/>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天津市西青区张家窝镇安福道10号4-102、103、202房地产抵押价值</v>
      </c>
      <c r="T1" s="1745"/>
      <c r="U1" s="1745"/>
      <c r="V1" s="1745"/>
      <c r="W1" s="1745"/>
      <c r="X1" s="1745"/>
      <c r="Y1" s="1745"/>
      <c r="Z1" s="1745"/>
      <c r="AA1" s="1745"/>
      <c r="AB1" s="1745"/>
    </row>
    <row r="2" spans="1:30">
      <c r="A2" s="2367" t="s">
        <v>2166</v>
      </c>
      <c r="B2" s="2371"/>
      <c r="C2" s="2372"/>
      <c r="D2" s="2666"/>
      <c r="E2" s="2658"/>
      <c r="F2" s="2658"/>
      <c r="G2" s="2659"/>
      <c r="H2" s="2659"/>
      <c r="I2" s="2659"/>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天津市西青区张家窝镇安福道10号4-102、103、202房地产</v>
      </c>
      <c r="T2" s="1745"/>
      <c r="U2" s="1745"/>
      <c r="V2" s="1745"/>
      <c r="W2" s="1745"/>
      <c r="X2" s="1745"/>
      <c r="Y2" s="1745"/>
      <c r="Z2" s="1745"/>
      <c r="AA2" s="1745"/>
      <c r="AB2" s="1745"/>
    </row>
    <row r="3" spans="1:30">
      <c r="A3" s="302" t="s">
        <v>2167</v>
      </c>
      <c r="B3" s="2373">
        <v>45440</v>
      </c>
      <c r="C3" s="2374" t="s">
        <v>2168</v>
      </c>
      <c r="D3" s="2373">
        <f>B3</f>
        <v>45440</v>
      </c>
      <c r="E3" s="2659"/>
      <c r="F3" s="2659"/>
      <c r="G3" s="2659"/>
      <c r="H3" s="2659"/>
      <c r="I3" s="2659"/>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3376</v>
      </c>
      <c r="C4" s="2376">
        <f ca="1">SUMIF(注册房地产估价师,B4,估价师及机构信息!B3:B24)</f>
        <v>1120100036</v>
      </c>
      <c r="D4" s="2375" t="s">
        <v>3377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58"/>
      <c r="F6" s="2660"/>
      <c r="G6" s="2660"/>
      <c r="H6" s="2660"/>
      <c r="I6" s="2660"/>
      <c r="J6" s="2437"/>
      <c r="K6" s="2611" t="str">
        <f>IF(COUNTIF(B6,"*上海银行*"),"上海银行","")</f>
        <v/>
      </c>
      <c r="L6" s="2609"/>
      <c r="M6" s="2609"/>
      <c r="N6" s="2437"/>
      <c r="O6" s="2448"/>
      <c r="P6" s="2437"/>
      <c r="Q6" s="2437"/>
      <c r="R6" s="2437"/>
    </row>
    <row r="7" spans="1:30" ht="36">
      <c r="A7" s="2383" t="s">
        <v>2172</v>
      </c>
      <c r="B7" s="3445" t="s">
        <v>3378</v>
      </c>
      <c r="C7" s="2385"/>
      <c r="D7" s="2386"/>
      <c r="E7" s="2658"/>
      <c r="F7" s="2660"/>
      <c r="G7" s="2660"/>
      <c r="H7" s="2660"/>
      <c r="I7" s="2660"/>
      <c r="J7" s="2437"/>
      <c r="K7" s="2612"/>
      <c r="L7" s="2609"/>
      <c r="M7" s="2609"/>
      <c r="N7" s="2437"/>
      <c r="O7" s="2448"/>
      <c r="P7" s="2437"/>
      <c r="Q7" s="2437"/>
      <c r="R7" s="2437"/>
    </row>
    <row r="8" spans="1:30">
      <c r="A8" s="2387" t="s">
        <v>2173</v>
      </c>
      <c r="B8" s="2388" t="s">
        <v>3372</v>
      </c>
      <c r="C8" s="2389"/>
      <c r="D8" s="3503" t="s">
        <v>2174</v>
      </c>
      <c r="E8" s="2390" t="s">
        <v>3379</v>
      </c>
      <c r="F8" s="2391"/>
      <c r="G8" s="2659"/>
      <c r="H8" s="2659"/>
      <c r="I8" s="2659"/>
      <c r="J8" s="2437"/>
      <c r="K8" s="2610"/>
      <c r="L8" s="2609"/>
      <c r="M8" s="2609"/>
      <c r="N8" s="2437"/>
      <c r="O8" s="2448"/>
      <c r="P8" s="2437"/>
      <c r="Q8" s="2437"/>
      <c r="R8" s="2437"/>
    </row>
    <row r="9" spans="1:30" ht="13.5" thickBot="1">
      <c r="A9" s="2392" t="s">
        <v>2175</v>
      </c>
      <c r="B9" s="2393" t="s">
        <v>3379</v>
      </c>
      <c r="C9" s="2394"/>
      <c r="D9" s="3504"/>
      <c r="E9" s="2393" t="s">
        <v>587</v>
      </c>
      <c r="F9" s="2395"/>
      <c r="G9" s="2661"/>
      <c r="H9" s="2661"/>
      <c r="I9" s="2661"/>
      <c r="J9" s="2437"/>
      <c r="K9" s="2612"/>
      <c r="L9" s="2609"/>
      <c r="M9" s="2609"/>
      <c r="N9" s="2437"/>
      <c r="O9" s="2448"/>
      <c r="P9" s="2437"/>
      <c r="Q9" s="2437"/>
      <c r="R9" s="2437"/>
    </row>
    <row r="10" spans="1:30" ht="13.5" thickTop="1">
      <c r="A10" s="2396" t="s">
        <v>2176</v>
      </c>
      <c r="B10" s="2397" t="s">
        <v>3380</v>
      </c>
      <c r="C10" s="3446" t="s">
        <v>3382</v>
      </c>
      <c r="D10" s="2382"/>
      <c r="E10" s="2398" t="s">
        <v>2177</v>
      </c>
      <c r="F10" s="2662" t="s">
        <v>3604</v>
      </c>
      <c r="G10" s="2663"/>
      <c r="H10" s="2664"/>
      <c r="I10" s="2665"/>
      <c r="J10" s="2437"/>
      <c r="K10" s="2612"/>
      <c r="L10" s="2609"/>
      <c r="M10" s="2609"/>
      <c r="N10" s="2437"/>
      <c r="O10" s="2448"/>
      <c r="P10" s="2437"/>
      <c r="Q10" s="2437"/>
      <c r="R10" s="2437"/>
    </row>
    <row r="11" spans="1:30" ht="25.5">
      <c r="A11" s="2399" t="s">
        <v>2178</v>
      </c>
      <c r="B11" s="2400" t="s">
        <v>3383</v>
      </c>
      <c r="C11" s="2401" t="str">
        <f>B7</f>
        <v>天津金鹏振兴铜业有限公司</v>
      </c>
      <c r="D11" s="2402"/>
      <c r="E11" s="2370"/>
      <c r="F11" s="2370"/>
      <c r="G11" s="2370"/>
      <c r="H11" s="2370"/>
      <c r="I11" s="2370"/>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2572</v>
      </c>
      <c r="J12" s="3058"/>
      <c r="K12" s="2609"/>
      <c r="L12" s="2609"/>
      <c r="M12" s="2437"/>
      <c r="N12" s="2448"/>
      <c r="O12" s="2437"/>
      <c r="P12" s="2437"/>
      <c r="Q12" s="2437"/>
      <c r="AD12" s="1745"/>
    </row>
    <row r="13" spans="1:30">
      <c r="A13" s="3419" t="s">
        <v>3328</v>
      </c>
      <c r="B13" s="2405" t="s">
        <v>2187</v>
      </c>
      <c r="C13" s="856"/>
      <c r="D13" s="856"/>
      <c r="E13" s="856"/>
      <c r="F13" s="856"/>
      <c r="G13" s="856"/>
      <c r="H13" s="856">
        <v>62745</v>
      </c>
      <c r="I13" s="856"/>
      <c r="J13" s="3058"/>
      <c r="K13" s="2609"/>
      <c r="L13" s="2609"/>
      <c r="M13" s="2437"/>
      <c r="N13" s="2448"/>
      <c r="O13" s="2437"/>
      <c r="P13" s="2437"/>
      <c r="Q13" s="2437"/>
      <c r="AD13" s="1745"/>
    </row>
    <row r="14" spans="1:30">
      <c r="A14" s="1081"/>
      <c r="B14" s="2405" t="s">
        <v>2188</v>
      </c>
      <c r="C14" s="2406"/>
      <c r="D14" s="2406"/>
      <c r="E14" s="2406"/>
      <c r="F14" s="2406"/>
      <c r="G14" s="2406"/>
      <c r="H14" s="2406">
        <v>50</v>
      </c>
      <c r="I14" s="2406"/>
      <c r="J14" s="3059"/>
      <c r="K14" s="2609"/>
      <c r="L14" s="2609"/>
      <c r="M14" s="2437"/>
      <c r="N14" s="2448"/>
      <c r="O14" s="2437"/>
      <c r="P14" s="2437"/>
      <c r="Q14" s="2437"/>
      <c r="AD14" s="1745"/>
    </row>
    <row r="15" spans="1:30">
      <c r="A15" s="320"/>
      <c r="B15" s="2407" t="s">
        <v>2189</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47.41</v>
      </c>
      <c r="I15" s="2408" t="str">
        <f>IF(A13="出让",IF(I13="","",ROUNDDOWN(MIN((I13-$D$3)/365,I14),2)),I14)</f>
        <v/>
      </c>
      <c r="J15" s="3060"/>
      <c r="K15" s="2449"/>
      <c r="L15" s="2449"/>
      <c r="M15" s="2505"/>
      <c r="N15" s="2449"/>
      <c r="O15" s="2505"/>
      <c r="P15" s="2437"/>
      <c r="Q15" s="2437"/>
      <c r="AD15" s="1745"/>
    </row>
    <row r="16" spans="1:30">
      <c r="A16" s="2398" t="s">
        <v>2190</v>
      </c>
      <c r="B16" s="3510"/>
      <c r="C16" s="3511"/>
      <c r="D16" s="3512"/>
      <c r="E16" s="2411" t="s">
        <v>2191</v>
      </c>
      <c r="F16" s="3513"/>
      <c r="G16" s="3514"/>
      <c r="H16" s="3514"/>
      <c r="I16" s="3515"/>
      <c r="J16" s="2437"/>
      <c r="K16" s="2613"/>
      <c r="L16" s="2449"/>
      <c r="M16" s="2449"/>
      <c r="N16" s="2505"/>
      <c r="O16" s="2449"/>
      <c r="P16" s="2505"/>
      <c r="Q16" s="2437"/>
      <c r="R16" s="2437"/>
    </row>
    <row r="17" spans="1:28">
      <c r="A17" s="313" t="s">
        <v>2192</v>
      </c>
      <c r="B17" s="302" t="s">
        <v>2193</v>
      </c>
      <c r="C17" s="8">
        <f>'数据-汇总表'!E3</f>
        <v>2069.34</v>
      </c>
      <c r="D17" s="2322" t="s">
        <v>2194</v>
      </c>
      <c r="E17" s="3516" t="s">
        <v>2195</v>
      </c>
      <c r="F17" s="3517"/>
      <c r="G17" s="3517"/>
      <c r="H17" s="3517"/>
      <c r="I17" s="3518"/>
      <c r="J17" s="2437"/>
      <c r="K17" s="2614"/>
      <c r="L17" s="2449"/>
      <c r="M17" s="2449"/>
      <c r="N17" s="2505"/>
      <c r="O17" s="2449"/>
      <c r="P17" s="2505"/>
      <c r="Q17" s="2437"/>
      <c r="R17" s="2437"/>
      <c r="S17" s="2437"/>
      <c r="T17" s="2437"/>
      <c r="U17" s="2437"/>
      <c r="V17" s="2437"/>
    </row>
    <row r="18" spans="1:28" ht="24.75" thickBot="1">
      <c r="A18" s="2412" t="s">
        <v>2196</v>
      </c>
      <c r="B18" s="1090" t="s">
        <v>2197</v>
      </c>
      <c r="C18" s="2413">
        <f>'数据-汇总表'!D3</f>
        <v>0</v>
      </c>
      <c r="D18" s="1092" t="s">
        <v>2198</v>
      </c>
      <c r="E18" s="3519" t="s">
        <v>2199</v>
      </c>
      <c r="F18" s="3520"/>
      <c r="G18" s="3520"/>
      <c r="H18" s="3520"/>
      <c r="I18" s="3521"/>
      <c r="J18" s="2437"/>
      <c r="K18" s="2614"/>
      <c r="L18" s="2449"/>
      <c r="M18" s="2449"/>
      <c r="N18" s="2505"/>
      <c r="O18" s="2449"/>
      <c r="P18" s="2505"/>
      <c r="Q18" s="2437"/>
      <c r="R18" s="2437"/>
      <c r="S18" s="2437"/>
      <c r="T18" s="2437"/>
      <c r="U18" s="2437"/>
      <c r="V18" s="2437"/>
    </row>
    <row r="19" spans="1:28" ht="37.5" thickTop="1" thickBot="1">
      <c r="A19" s="327" t="s">
        <v>1055</v>
      </c>
      <c r="B19" s="307" t="s">
        <v>2200</v>
      </c>
      <c r="C19" s="1563"/>
      <c r="D19" s="1564" t="s">
        <v>2201</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2202</v>
      </c>
      <c r="B20" s="3506" t="s">
        <v>2203</v>
      </c>
      <c r="C20" s="3507"/>
      <c r="D20" s="3508" t="s">
        <v>2204</v>
      </c>
      <c r="E20" s="3509"/>
      <c r="F20" s="2643" t="s">
        <v>1056</v>
      </c>
      <c r="G20" s="2660"/>
      <c r="H20" s="2660"/>
      <c r="I20" s="2660"/>
      <c r="J20" s="2437"/>
      <c r="K20" s="3505" t="s">
        <v>2205</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28"/>
      <c r="B21" s="2629" t="s">
        <v>3384</v>
      </c>
      <c r="C21" s="2630" t="s">
        <v>3385</v>
      </c>
      <c r="D21" s="1568"/>
      <c r="E21" s="2631"/>
      <c r="F21" s="2644"/>
      <c r="G21" s="2660"/>
      <c r="H21" s="2660"/>
      <c r="I21" s="2660"/>
      <c r="J21" s="2437"/>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13.5" thickBot="1">
      <c r="A22" s="2628"/>
      <c r="B22" s="2632"/>
      <c r="C22" s="2630"/>
      <c r="D22" s="2659"/>
      <c r="E22" s="2659"/>
      <c r="F22" s="2659"/>
      <c r="G22" s="2660"/>
      <c r="H22" s="2660"/>
      <c r="I22" s="2660"/>
      <c r="J22" s="2437"/>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2206</v>
      </c>
      <c r="B23" s="2498" t="s">
        <v>2207</v>
      </c>
      <c r="C23" s="2634"/>
      <c r="D23" s="2635" t="s">
        <v>2207</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23" t="s">
        <v>2208</v>
      </c>
      <c r="B27" s="320" t="s">
        <v>2209</v>
      </c>
      <c r="C27" s="2414" t="s">
        <v>3386</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23"/>
      <c r="B28" s="302" t="s">
        <v>2210</v>
      </c>
      <c r="C28" s="2416" t="s">
        <v>3387</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23"/>
      <c r="B29" s="302" t="s">
        <v>2211</v>
      </c>
      <c r="C29" s="2418" t="s">
        <v>3388</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24"/>
      <c r="B30" s="302" t="s">
        <v>2212</v>
      </c>
      <c r="C30" s="3525"/>
      <c r="D30" s="3526"/>
      <c r="E30" s="2660"/>
      <c r="F30" s="2660"/>
      <c r="G30" s="2660"/>
      <c r="H30" s="2660"/>
      <c r="I30" s="2660"/>
      <c r="J30" s="2437"/>
      <c r="K30" s="2612"/>
      <c r="L30" s="2609"/>
      <c r="M30" s="2609"/>
      <c r="N30" s="2437"/>
      <c r="O30" s="2448"/>
      <c r="P30" s="2437"/>
      <c r="Q30" s="2437"/>
      <c r="R30" s="2437"/>
      <c r="S30" s="2437"/>
      <c r="T30" s="2437"/>
      <c r="U30" s="2437"/>
      <c r="V30" s="2437"/>
    </row>
    <row r="31" spans="1:28">
      <c r="A31" s="3527" t="s">
        <v>2213</v>
      </c>
      <c r="B31" s="2420" t="s">
        <v>3389</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28"/>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28"/>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2214</v>
      </c>
      <c r="B34" s="2026" t="s">
        <v>3390</v>
      </c>
      <c r="C34" s="2026" t="s">
        <v>3391</v>
      </c>
      <c r="D34" s="2026" t="s">
        <v>3392</v>
      </c>
      <c r="E34" s="2026" t="s">
        <v>3393</v>
      </c>
      <c r="F34" s="2026" t="s">
        <v>3394</v>
      </c>
      <c r="G34" s="2026" t="s">
        <v>3395</v>
      </c>
      <c r="H34" s="2026"/>
      <c r="I34" s="2660"/>
      <c r="J34" s="2437"/>
      <c r="K34" s="2425">
        <f>COUNTIF(B34:H34,"——")</f>
        <v>0</v>
      </c>
      <c r="L34" s="323" t="s">
        <v>2215</v>
      </c>
      <c r="M34" s="323" t="s">
        <v>2216</v>
      </c>
      <c r="N34" s="323" t="s">
        <v>2217</v>
      </c>
      <c r="O34" s="323" t="s">
        <v>2218</v>
      </c>
      <c r="P34" s="323" t="s">
        <v>2219</v>
      </c>
      <c r="Q34" s="323" t="s">
        <v>2220</v>
      </c>
      <c r="R34" s="323" t="s">
        <v>2221</v>
      </c>
      <c r="S34" s="3522" t="s">
        <v>2222</v>
      </c>
      <c r="T34" s="2426" t="str">
        <f>NUMBERSTRING(7-K34,1)&amp;"通"</f>
        <v>七通</v>
      </c>
      <c r="U34" s="2437"/>
      <c r="V34" s="2437"/>
    </row>
    <row r="35" spans="1:30">
      <c r="A35" s="2427"/>
      <c r="B35" s="3529" t="s">
        <v>2223</v>
      </c>
      <c r="C35" s="3529"/>
      <c r="D35" s="3529"/>
      <c r="E35" s="3529"/>
      <c r="F35" s="664" t="str">
        <f>C10</f>
        <v>天津市</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2"/>
      <c r="T35" s="329" t="str">
        <f>IF(T34="一通",L35,IF(T34="二通",M35,IF(T34="三通",N35,IF(T34="四通",O35,IF(T34="五通",P35,IF(T34="六通",Q35,R35))))))</f>
        <v>通路、通电、通讯、通上水、通下水、平整、</v>
      </c>
      <c r="U35" s="2437"/>
      <c r="V35" s="2437"/>
    </row>
    <row r="36" spans="1:30">
      <c r="A36" s="2428"/>
      <c r="B36" s="664" t="s">
        <v>2182</v>
      </c>
      <c r="C36" s="664" t="s">
        <v>2183</v>
      </c>
      <c r="D36" s="664" t="s">
        <v>2181</v>
      </c>
      <c r="E36" s="664" t="s">
        <v>2186</v>
      </c>
      <c r="F36" s="3061" t="s">
        <v>2575</v>
      </c>
      <c r="G36" s="2660"/>
      <c r="H36" s="2660"/>
      <c r="I36" s="2660"/>
      <c r="J36" s="2437"/>
      <c r="K36" s="2612"/>
      <c r="L36" s="2609"/>
      <c r="M36" s="2609"/>
      <c r="N36" s="2437"/>
      <c r="O36" s="2448"/>
      <c r="P36" s="2437"/>
      <c r="Q36" s="2437"/>
      <c r="R36" s="2437"/>
      <c r="S36" s="2437"/>
      <c r="T36" s="2437"/>
      <c r="U36" s="2437"/>
      <c r="V36" s="2437"/>
    </row>
    <row r="37" spans="1:30">
      <c r="A37" s="2626" t="s">
        <v>2224</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2225</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2226</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2227</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2228</v>
      </c>
      <c r="B42" s="8" t="s">
        <v>2229</v>
      </c>
      <c r="C42" s="8" t="s">
        <v>2230</v>
      </c>
      <c r="D42" s="8" t="s">
        <v>2231</v>
      </c>
      <c r="E42" s="8" t="s">
        <v>2232</v>
      </c>
      <c r="F42" s="8" t="s">
        <v>2233</v>
      </c>
      <c r="G42" s="8" t="s">
        <v>2234</v>
      </c>
      <c r="H42" s="8" t="s">
        <v>2235</v>
      </c>
      <c r="I42" s="8" t="s">
        <v>2236</v>
      </c>
      <c r="J42" s="2622" t="s">
        <v>2237</v>
      </c>
      <c r="K42" s="2623" t="s">
        <v>2238</v>
      </c>
      <c r="L42" s="2623" t="s">
        <v>2239</v>
      </c>
      <c r="M42" s="2623" t="s">
        <v>2240</v>
      </c>
      <c r="N42" s="2616" t="s">
        <v>2241</v>
      </c>
      <c r="O42" s="2616" t="s">
        <v>2242</v>
      </c>
      <c r="P42" s="2616" t="s">
        <v>2243</v>
      </c>
      <c r="Q42" s="2617" t="s">
        <v>2244</v>
      </c>
      <c r="R42" s="2617" t="s">
        <v>2245</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2069.34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2069.34</v>
      </c>
      <c r="H5" s="13">
        <f t="shared" ref="H5:AT5" si="0">SUM(H13:H656)</f>
        <v>2069.34</v>
      </c>
      <c r="I5" s="13">
        <f t="shared" si="0"/>
        <v>2069.34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2069.34</v>
      </c>
      <c r="BA5" s="15">
        <f t="shared" si="1"/>
        <v>2069.34</v>
      </c>
      <c r="BB5" s="15">
        <f t="shared" si="1"/>
        <v>2069.34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3398</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3396</v>
      </c>
      <c r="D13" s="1625" t="s">
        <v>3397</v>
      </c>
      <c r="E13" s="13">
        <f>IF($C$3="是",ROUND($A$3*G13/$B$3,2),ROUND($A$3*(G13-AT13)/$B$3,2))</f>
        <v>0</v>
      </c>
      <c r="F13" s="29"/>
      <c r="G13" s="30">
        <f>H13+AC13+AT13</f>
        <v>721.66</v>
      </c>
      <c r="H13" s="17">
        <f>SUMIF(I$12:AB$12,"总值",I13:AB13)</f>
        <v>721.66</v>
      </c>
      <c r="I13" s="1626">
        <v>721.66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4-102</v>
      </c>
      <c r="AY13" s="1349">
        <f>ROUND($AY$6*AZ13/$AZ$5,2)</f>
        <v>0</v>
      </c>
      <c r="AZ13" s="13">
        <f>BA13+BL13</f>
        <v>721.66</v>
      </c>
      <c r="BA13" s="13">
        <f>SUM(BB13:BK13)</f>
        <v>721.66</v>
      </c>
      <c r="BB13" s="13">
        <f>IF($D13="是",I13-J13,0)</f>
        <v>721.66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3397</v>
      </c>
      <c r="E14" s="13">
        <f>IF($C$3="是",ROUND($A$3*G14/$B$3,2),ROUND($A$3*(G14-AT14)/$B$3,2))</f>
        <v>0</v>
      </c>
      <c r="F14" s="29"/>
      <c r="G14" s="30">
        <f>H14+AC14+AT14</f>
        <v>721.66</v>
      </c>
      <c r="H14" s="17">
        <f>SUMIF(I$12:AB$12,"总值",I14:AB14)</f>
        <v>721.66</v>
      </c>
      <c r="I14" s="1626">
        <v>721.66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4-103</v>
      </c>
      <c r="AY14" s="1349">
        <f>ROUND($AY$6*AZ14/$AZ$5,2)</f>
        <v>0</v>
      </c>
      <c r="AZ14" s="13">
        <f>BA14+BL14</f>
        <v>721.66</v>
      </c>
      <c r="BA14" s="13">
        <f>SUM(BB14:BK14)</f>
        <v>721.66</v>
      </c>
      <c r="BB14" s="13">
        <f>IF($D14="是",I14-J14,0)</f>
        <v>721.66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3397</v>
      </c>
      <c r="E15" s="13">
        <f>IF($C$3="是",ROUND($A$3*G15/$B$3,2),ROUND($A$3*(G15-AT15)/$B$3,2))</f>
        <v>0</v>
      </c>
      <c r="F15" s="29"/>
      <c r="G15" s="30">
        <f>H15+AC15+AT15</f>
        <v>626.02</v>
      </c>
      <c r="H15" s="17">
        <f>SUMIF(I$12:AB$12,"总值",I15:AB15)</f>
        <v>626.02</v>
      </c>
      <c r="I15" s="1626">
        <v>626.02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4-202</v>
      </c>
      <c r="AY15" s="1349">
        <f>ROUND($AY$6*AZ15/$AZ$5,2)</f>
        <v>0</v>
      </c>
      <c r="AZ15" s="13">
        <f>BA15+BL15</f>
        <v>626.02</v>
      </c>
      <c r="BA15" s="13">
        <f>SUM(BB15:BK15)</f>
        <v>626.02</v>
      </c>
      <c r="BB15" s="13">
        <f>IF($D15="是",I15-J15,0)</f>
        <v>626.02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9" t="s">
        <v>1129</v>
      </c>
      <c r="B2" s="3539"/>
      <c r="C2" s="3539"/>
      <c r="D2" s="796" t="s">
        <v>1105</v>
      </c>
      <c r="E2" s="1639" t="s">
        <v>1106</v>
      </c>
      <c r="F2" s="2655"/>
      <c r="G2" s="2646"/>
      <c r="H2" s="2647"/>
      <c r="I2" s="2325" t="s">
        <v>1130</v>
      </c>
      <c r="J2" s="2655"/>
      <c r="K2" s="2655"/>
      <c r="L2" s="2655"/>
      <c r="M2" s="2655"/>
      <c r="N2" s="2657"/>
      <c r="O2" s="2655"/>
      <c r="P2" s="2655"/>
    </row>
    <row r="3" spans="1:16" ht="15.75" thickBot="1">
      <c r="A3" s="3540" t="s">
        <v>1103</v>
      </c>
      <c r="B3" s="3540"/>
      <c r="C3" s="3540"/>
      <c r="D3" s="43">
        <f>'数据-基础表'!AY6</f>
        <v>0</v>
      </c>
      <c r="E3" s="43">
        <f>'数据-基础表'!AZ5</f>
        <v>2069.34</v>
      </c>
      <c r="F3" s="2655"/>
      <c r="G3" s="1145"/>
      <c r="H3" s="1026" t="s">
        <v>1104</v>
      </c>
      <c r="I3" s="855" t="e">
        <f>ROUND('数据-基础表'!B3/'数据-基础表'!A3,2)</f>
        <v>#DIV/0!</v>
      </c>
      <c r="J3" s="2655"/>
      <c r="K3" s="2655"/>
      <c r="L3" s="2655"/>
      <c r="M3" s="2655"/>
      <c r="N3" s="2657"/>
      <c r="O3" s="2655"/>
      <c r="P3" s="2655"/>
    </row>
    <row r="4" spans="1:16" ht="15">
      <c r="A4" s="3541"/>
      <c r="B4" s="3542"/>
      <c r="C4" s="3543"/>
      <c r="D4" s="1641" t="s">
        <v>1105</v>
      </c>
      <c r="E4" s="1642" t="s">
        <v>1106</v>
      </c>
      <c r="F4" s="2655"/>
      <c r="G4" s="2648" t="s">
        <v>1131</v>
      </c>
      <c r="H4" s="1026" t="s">
        <v>1111</v>
      </c>
      <c r="I4" s="855" t="e">
        <f>ROUND(SUMIF('数据-基础表'!I9:AS9,"地上",'数据-基础表'!I5:AS5)/'数据-基础表'!A3,2)</f>
        <v>#DIV/0!</v>
      </c>
      <c r="J4" s="2655"/>
      <c r="K4" s="2655"/>
      <c r="L4" s="2655"/>
      <c r="M4" s="2655"/>
      <c r="N4" s="2657"/>
      <c r="O4" s="2655"/>
      <c r="P4" s="2655"/>
    </row>
    <row r="5" spans="1:16">
      <c r="A5" s="44" t="s">
        <v>1107</v>
      </c>
      <c r="B5" s="3544" t="s">
        <v>1108</v>
      </c>
      <c r="C5" s="3544"/>
      <c r="D5" s="45">
        <f>ROUND($D$3*E5/$E$3,2)</f>
        <v>0</v>
      </c>
      <c r="E5" s="46">
        <f>SUMIF('数据-基础表'!$11:$11,"住宅",'数据-基础表'!$5:$5)</f>
        <v>0</v>
      </c>
      <c r="F5" s="2655"/>
      <c r="G5" s="1145"/>
      <c r="H5" s="1026" t="s">
        <v>1104</v>
      </c>
      <c r="I5" s="855" t="e">
        <f>ROUND(E31/D31,2)</f>
        <v>#DIV/0!</v>
      </c>
      <c r="J5" s="2655"/>
      <c r="K5" s="2655"/>
      <c r="L5" s="2655"/>
      <c r="M5" s="2655"/>
      <c r="N5" s="2655"/>
      <c r="O5" s="2655"/>
      <c r="P5" s="2655"/>
    </row>
    <row r="6" spans="1:16" ht="15" thickBot="1">
      <c r="A6" s="1644"/>
      <c r="B6" s="3544" t="s">
        <v>1109</v>
      </c>
      <c r="C6" s="3544"/>
      <c r="D6" s="45">
        <f>ROUND($D$3*E6/$E$3,2)</f>
        <v>0</v>
      </c>
      <c r="E6" s="46">
        <f>E3-E5</f>
        <v>2069.34</v>
      </c>
      <c r="F6" s="2655"/>
      <c r="G6" s="2649" t="s">
        <v>1110</v>
      </c>
      <c r="H6" s="1146" t="s">
        <v>1111</v>
      </c>
      <c r="I6" s="2650" t="e">
        <f>ROUND(F31/D31,2)</f>
        <v>#DIV/0!</v>
      </c>
      <c r="J6" s="2655"/>
      <c r="K6" s="2655"/>
      <c r="L6" s="2655"/>
      <c r="M6" s="2655"/>
      <c r="N6" s="2655"/>
      <c r="O6" s="2655"/>
      <c r="P6" s="2655"/>
    </row>
    <row r="7" spans="1:16" ht="15.75" thickBot="1">
      <c r="A7" s="3536"/>
      <c r="B7" s="3537"/>
      <c r="C7" s="3538"/>
      <c r="D7" s="1641" t="s">
        <v>1105</v>
      </c>
      <c r="E7" s="1645"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0</v>
      </c>
      <c r="E8" s="48">
        <f>SUMIF('数据-基础表'!BB10:BK10,"地上",'数据-基础表'!BB5:BK5)</f>
        <v>2069.34</v>
      </c>
      <c r="F8" s="2655"/>
      <c r="G8" s="2656"/>
      <c r="H8" s="2656"/>
      <c r="I8" s="2655"/>
      <c r="J8" s="2655"/>
      <c r="K8" s="2655"/>
      <c r="L8" s="2655"/>
      <c r="M8" s="2655"/>
      <c r="N8" s="2655"/>
      <c r="O8" s="2655"/>
      <c r="P8" s="2655"/>
    </row>
    <row r="9" spans="1:16">
      <c r="A9" s="1646"/>
      <c r="B9" s="1647"/>
      <c r="C9" s="45" t="s">
        <v>1117</v>
      </c>
      <c r="D9" s="45">
        <f t="shared" si="0"/>
        <v>0</v>
      </c>
      <c r="E9" s="49">
        <v>0</v>
      </c>
      <c r="F9" s="2655"/>
      <c r="G9" s="2656"/>
      <c r="H9" s="2656"/>
      <c r="I9" s="2655"/>
      <c r="J9" s="2655"/>
      <c r="K9" s="2655"/>
      <c r="L9" s="2655"/>
      <c r="M9" s="2655"/>
      <c r="N9" s="2655"/>
      <c r="O9" s="2655"/>
      <c r="P9" s="2655"/>
    </row>
    <row r="10" spans="1:16">
      <c r="A10" s="1646"/>
      <c r="B10" s="1647"/>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1121</v>
      </c>
      <c r="D16" s="47">
        <f>SUM(D8:D15)</f>
        <v>0</v>
      </c>
      <c r="E16" s="50">
        <f>SUM(E8:E15)</f>
        <v>2069.34</v>
      </c>
      <c r="F16" s="2655"/>
      <c r="G16" s="2656"/>
      <c r="H16" s="1648" t="s">
        <v>1133</v>
      </c>
      <c r="I16" s="1649"/>
      <c r="J16" s="1139"/>
      <c r="K16" s="3533" t="s">
        <v>1133</v>
      </c>
      <c r="L16" s="3534"/>
      <c r="M16" s="3534"/>
      <c r="N16" s="3534"/>
      <c r="O16" s="3534"/>
      <c r="P16" s="3535"/>
    </row>
    <row r="17" spans="1:19" ht="15">
      <c r="A17" s="1650" t="s">
        <v>1134</v>
      </c>
      <c r="B17" s="1651" t="s">
        <v>1135</v>
      </c>
      <c r="C17" s="1652" t="s">
        <v>1136</v>
      </c>
      <c r="D17" s="1653" t="s">
        <v>1124</v>
      </c>
      <c r="E17" s="1654" t="s">
        <v>1125</v>
      </c>
      <c r="F17" s="1655"/>
      <c r="G17" s="1656"/>
      <c r="H17" s="1657" t="s">
        <v>1137</v>
      </c>
      <c r="I17" s="1658" t="s">
        <v>1122</v>
      </c>
      <c r="J17" s="1139"/>
      <c r="K17" s="3530" t="s">
        <v>1138</v>
      </c>
      <c r="L17" s="3531"/>
      <c r="M17" s="3532"/>
      <c r="N17" s="3530" t="s">
        <v>1139</v>
      </c>
      <c r="O17" s="3531"/>
      <c r="P17" s="3532"/>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3" t="s">
        <v>3402</v>
      </c>
      <c r="D19" s="45">
        <f>ROUND($D$3*E19/$E$3,2)</f>
        <v>0</v>
      </c>
      <c r="E19" s="53">
        <f t="shared" ref="E19:E26" si="1">SUM(F19:G19)</f>
        <v>2069.34</v>
      </c>
      <c r="F19" s="2791">
        <f>'数据-基础表'!I5</f>
        <v>2069.34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2069.34</v>
      </c>
    </row>
    <row r="20" spans="1:19">
      <c r="A20" s="1670"/>
      <c r="B20" s="47" t="s">
        <v>1151</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2069.34</v>
      </c>
      <c r="F27" s="1140">
        <f>IF(SUM(F19:F26)=E8,SUM(F19:F26),"地上面积有误")</f>
        <v>2069.34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2069.34</v>
      </c>
    </row>
    <row r="28" spans="1:19">
      <c r="A28" s="1670"/>
      <c r="B28" s="47" t="s">
        <v>1153</v>
      </c>
      <c r="C28" s="1038"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1153</v>
      </c>
      <c r="C29" s="1674"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1152</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1156</v>
      </c>
      <c r="D31" s="676">
        <f>D27+D30</f>
        <v>0</v>
      </c>
      <c r="E31" s="676">
        <f>E27+E30</f>
        <v>2069.34</v>
      </c>
      <c r="F31" s="677">
        <f>F27+F30</f>
        <v>2069.34</v>
      </c>
      <c r="G31" s="678">
        <f>G27+G30</f>
        <v>0</v>
      </c>
      <c r="H31" s="2655"/>
      <c r="I31" s="2655"/>
      <c r="J31" s="2655"/>
      <c r="K31" s="2655"/>
      <c r="L31" s="2655"/>
      <c r="M31" s="2655"/>
      <c r="N31" s="2655"/>
      <c r="O31" s="2655"/>
      <c r="P31" s="2655"/>
    </row>
    <row r="32" spans="1:19">
      <c r="A32" s="1643"/>
      <c r="B32" s="1643" t="s">
        <v>1157</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1159</v>
      </c>
      <c r="B2" s="1045">
        <f>项目基本情况!D3</f>
        <v>45440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4"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3403</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62745</v>
      </c>
      <c r="F6" s="64">
        <f>SUMIF(项目基本情况!C$12:I$12,C6,项目基本情况!C$15:I$15)</f>
        <v>47.41</v>
      </c>
      <c r="G6" s="65">
        <f>IF(ISERROR(ROUND(POWER(1+H6,D6-F6)*(POWER(1+H6,F6)-1)/(POWER(1+H6,D6)-1),3)),0,ROUND(POWER(1+H6,D6-F6)*(POWER(1+H6,F6)-1)/(POWER(1+H6,D6)-1),3))</f>
        <v>0.98499999999999999</v>
      </c>
      <c r="H6" s="732">
        <v>4.4999999999999998E-2</v>
      </c>
      <c r="I6" s="732">
        <v>0.05</v>
      </c>
      <c r="J6" s="66">
        <v>7.0000000000000007E-2</v>
      </c>
      <c r="K6" s="1030">
        <f>SUMIF('数据-汇总表'!C$19:C$33,A6,'数据-汇总表'!E$19:E$33)</f>
        <v>2069.34</v>
      </c>
      <c r="L6" s="733">
        <v>4000</v>
      </c>
      <c r="M6" s="67">
        <f t="shared" ref="M6:M14" si="0">ROUND(K6*L6/10000,0)</f>
        <v>828</v>
      </c>
      <c r="N6" s="731">
        <f>N18</f>
        <v>0.97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4">
        <v>1</v>
      </c>
      <c r="V6" s="70">
        <v>0.02</v>
      </c>
      <c r="W6" s="70">
        <v>0.1</v>
      </c>
      <c r="X6" s="1040"/>
      <c r="Y6" s="71">
        <f>N6</f>
        <v>0.97</v>
      </c>
      <c r="Z6" s="72"/>
      <c r="AA6" s="66"/>
      <c r="AB6" s="66"/>
      <c r="AC6" s="1040"/>
      <c r="AD6" s="73"/>
      <c r="AE6" s="1041">
        <f ca="1">IF(AN6="",0,SUMIF(INDIRECT("'"&amp;AN6&amp;"'"&amp;"!E:E"),$AE$5,INDIRECT("'"&amp;AN6&amp;"'"&amp;"!F:F")))</f>
        <v>47.41</v>
      </c>
      <c r="AF6" s="1348"/>
      <c r="AG6" s="138">
        <f>IF(AF6="",0,AE6-AF6)</f>
        <v>0</v>
      </c>
      <c r="AH6" s="74"/>
      <c r="AI6" s="76">
        <v>365</v>
      </c>
      <c r="AJ6" s="77">
        <f>AI23</f>
        <v>45843.44</v>
      </c>
      <c r="AK6" s="78">
        <v>2E-3</v>
      </c>
      <c r="AL6" s="79">
        <v>1E-3</v>
      </c>
      <c r="AM6" s="80">
        <v>2E-3</v>
      </c>
      <c r="AN6" s="1715" t="s">
        <v>3404</v>
      </c>
      <c r="AO6" s="52">
        <f ca="1">SUMIF(INDIRECT("'"&amp;AN6&amp;"'"&amp;"!A:A"),"总价",INDIRECT("'"&amp;AN6&amp;"'"&amp;"!B:B"))</f>
        <v>1418.6351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0.98499999999999999</v>
      </c>
      <c r="H16" s="90">
        <f>ROUND(SUMPRODUCT(H6:H13,K6:K13)/SUMPRODUCT((H6:H13&gt;0)*(K6:K13)),3)</f>
        <v>4.4999999999999998E-2</v>
      </c>
      <c r="I16" s="91"/>
      <c r="J16" s="91"/>
      <c r="K16" s="92">
        <f>SUM(K6:K15)</f>
        <v>2069.34</v>
      </c>
      <c r="L16" s="93">
        <f>ROUND(M16*10000/SUM(K6:K14),0)</f>
        <v>4001</v>
      </c>
      <c r="M16" s="93">
        <f>SUM(M6:M14)</f>
        <v>828</v>
      </c>
      <c r="N16" s="94">
        <f>ROUND(SUMPRODUCT(M6:M14,N6:N14)/M16,3)</f>
        <v>0.97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3453" t="s">
        <v>3605</v>
      </c>
      <c r="N17" s="2667">
        <v>2022</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3453" t="s">
        <v>3606</v>
      </c>
      <c r="N18" s="2667">
        <f>ROUND(1-(1-0%)*(2024-N17)/60,2)</f>
        <v>0.97</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1209</v>
      </c>
      <c r="B19" s="103">
        <v>0</v>
      </c>
      <c r="C19" s="2795" t="s">
        <v>2297</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v>102</v>
      </c>
      <c r="AI19" s="2667">
        <v>7993.7</v>
      </c>
      <c r="AJ19" s="2667"/>
      <c r="AK19" s="2667"/>
      <c r="AL19" s="2667"/>
      <c r="AM19" s="2667"/>
      <c r="AN19" s="2667"/>
      <c r="AO19" s="2667"/>
      <c r="AP19" s="2667"/>
      <c r="AQ19" s="2667"/>
      <c r="AR19" s="2667"/>
    </row>
    <row r="20" spans="1:67" ht="14.25">
      <c r="A20" s="1723" t="s">
        <v>1210</v>
      </c>
      <c r="B20" s="104">
        <v>1.5</v>
      </c>
      <c r="C20" s="2796" t="s">
        <v>2295</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v>103</v>
      </c>
      <c r="AI20" s="2667">
        <f>AI19</f>
        <v>7993.7</v>
      </c>
      <c r="AJ20" s="2667"/>
      <c r="AK20" s="2667"/>
      <c r="AL20" s="2667"/>
      <c r="AM20" s="2667"/>
      <c r="AN20" s="2667"/>
      <c r="AO20" s="2667"/>
      <c r="AP20" s="2667"/>
      <c r="AQ20" s="2667"/>
      <c r="AR20" s="2667"/>
    </row>
    <row r="21" spans="1:67" ht="14.25">
      <c r="A21" s="1724" t="s">
        <v>1211</v>
      </c>
      <c r="B21" s="104">
        <f>B20</f>
        <v>1.5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v>202</v>
      </c>
      <c r="AI21" s="2667">
        <v>6934.32</v>
      </c>
      <c r="AJ21" s="2667"/>
      <c r="AK21" s="2667"/>
      <c r="AL21" s="2667"/>
      <c r="AM21" s="2667"/>
      <c r="AN21" s="2667"/>
      <c r="AO21" s="2667"/>
      <c r="AP21" s="2667"/>
      <c r="AQ21" s="2667"/>
      <c r="AR21" s="2667"/>
    </row>
    <row r="22" spans="1:67" ht="14.25">
      <c r="A22" s="1723" t="s">
        <v>1212</v>
      </c>
      <c r="B22" s="105">
        <f>B19+B20</f>
        <v>1.5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f>SUM(AI19:AI21)</f>
        <v>22921.72</v>
      </c>
      <c r="AJ22" s="2667"/>
      <c r="AK22" s="2667"/>
      <c r="AL22" s="2667"/>
      <c r="AM22" s="2667"/>
      <c r="AN22" s="2667"/>
      <c r="AO22" s="2667"/>
      <c r="AP22" s="2667"/>
      <c r="AQ22" s="2667"/>
      <c r="AR22" s="2667"/>
    </row>
    <row r="23" spans="1:67" ht="14.25">
      <c r="A23" s="1724" t="s">
        <v>1213</v>
      </c>
      <c r="B23" s="105">
        <f>B19+B21</f>
        <v>1.5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f>AI22*2</f>
        <v>45843.44</v>
      </c>
      <c r="AJ23" s="2667"/>
      <c r="AK23" s="2667"/>
      <c r="AL23" s="2667"/>
      <c r="AM23" s="2667"/>
      <c r="AN23" s="2667"/>
      <c r="AO23" s="2667"/>
      <c r="AP23" s="2667"/>
      <c r="AQ23" s="2667"/>
      <c r="AR23" s="2667"/>
    </row>
    <row r="24" spans="1:67" ht="15" thickBot="1">
      <c r="A24" s="1725"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1215</v>
      </c>
      <c r="B26" s="1726" t="s">
        <v>1216</v>
      </c>
      <c r="C26" s="2673" t="s">
        <v>1217</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1218</v>
      </c>
      <c r="B27" s="107">
        <v>290</v>
      </c>
      <c r="C27" s="2797" t="s">
        <v>2299</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320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66</v>
      </c>
      <c r="C29" s="2798" t="s">
        <v>2286</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9" t="s">
        <v>2287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9" t="s">
        <v>2288</v>
      </c>
      <c r="D34" s="2680" t="s">
        <v>2296</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9" t="s">
        <v>2289</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9" t="s">
        <v>2290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1228</v>
      </c>
      <c r="B37" s="115">
        <v>0.02</v>
      </c>
      <c r="C37" s="2799" t="s">
        <v>2291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1229</v>
      </c>
      <c r="B38" s="113">
        <v>0.02</v>
      </c>
      <c r="C38" s="2799" t="s">
        <v>2291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1231</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1233</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1234</v>
      </c>
      <c r="B44" s="119">
        <v>0.05</v>
      </c>
      <c r="C44" s="2799" t="s">
        <v>2300</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1235</v>
      </c>
      <c r="B45" s="117">
        <v>0.03</v>
      </c>
      <c r="C45" s="2798" t="s">
        <v>2292</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1236</v>
      </c>
      <c r="B46" s="117">
        <v>0.02</v>
      </c>
      <c r="C46" s="2798" t="s">
        <v>2293</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1237</v>
      </c>
      <c r="B47" s="120">
        <v>0</v>
      </c>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1238</v>
      </c>
      <c r="B48" s="121">
        <v>0.03</v>
      </c>
      <c r="C48" s="2798" t="s">
        <v>2292</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1239</v>
      </c>
      <c r="B49" s="117">
        <v>5.0000000000000001E-4</v>
      </c>
      <c r="C49" s="2798" t="s">
        <v>2294</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1242</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1243</v>
      </c>
      <c r="B53" s="1738" t="s">
        <v>29</v>
      </c>
      <c r="C53" s="2657" t="s">
        <v>1244</v>
      </c>
      <c r="D53" s="2800" t="s">
        <v>2298</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1245</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1246</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1247</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1248</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1249</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1250</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45" t="s">
        <v>2278</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48">
      <c r="A3" s="2439" t="s">
        <v>2276</v>
      </c>
      <c r="B3" s="2461" t="s">
        <v>2246</v>
      </c>
      <c r="C3" s="2462" t="s">
        <v>2277</v>
      </c>
      <c r="D3" s="2463"/>
      <c r="E3" s="2440" t="s">
        <v>2276</v>
      </c>
      <c r="F3" s="2464" t="s">
        <v>2247</v>
      </c>
      <c r="G3" s="3447" t="s">
        <v>3405</v>
      </c>
      <c r="H3" s="799"/>
      <c r="I3" s="799"/>
      <c r="J3" s="799"/>
      <c r="K3" s="799"/>
      <c r="L3" s="799"/>
      <c r="M3" s="799"/>
      <c r="N3" s="799"/>
      <c r="O3" s="799"/>
      <c r="P3" s="799"/>
      <c r="Q3" s="799"/>
      <c r="R3" s="799"/>
    </row>
    <row r="4" spans="1:29" ht="36.75">
      <c r="A4" s="2440"/>
      <c r="B4" s="323" t="s">
        <v>2248</v>
      </c>
      <c r="C4" s="2465" t="s">
        <v>2249</v>
      </c>
      <c r="D4" s="2463"/>
      <c r="E4" s="2466"/>
      <c r="F4" s="1373" t="s">
        <v>2250</v>
      </c>
      <c r="G4" s="3448" t="s">
        <v>3406</v>
      </c>
      <c r="H4" s="799"/>
      <c r="I4" s="799"/>
      <c r="J4" s="799"/>
      <c r="K4" s="799"/>
      <c r="L4" s="799"/>
      <c r="M4" s="799"/>
      <c r="N4" s="799"/>
      <c r="O4" s="799"/>
      <c r="P4" s="799"/>
      <c r="Q4" s="799"/>
      <c r="R4" s="799"/>
    </row>
    <row r="5" spans="1:29" ht="36.75">
      <c r="A5" s="2440"/>
      <c r="B5" s="323" t="s">
        <v>2252</v>
      </c>
      <c r="C5" s="2465" t="s">
        <v>2253</v>
      </c>
      <c r="D5" s="2463"/>
      <c r="E5" s="2466"/>
      <c r="F5" s="323" t="s">
        <v>2254</v>
      </c>
      <c r="G5" s="3448" t="s">
        <v>3407</v>
      </c>
      <c r="H5" s="799"/>
      <c r="I5" s="799"/>
      <c r="J5" s="799"/>
      <c r="K5" s="799"/>
      <c r="L5" s="799"/>
      <c r="M5" s="799"/>
      <c r="N5" s="799"/>
      <c r="O5" s="799"/>
      <c r="P5" s="799"/>
      <c r="Q5" s="799"/>
      <c r="R5" s="799"/>
    </row>
    <row r="6" spans="1:29" ht="36">
      <c r="A6" s="2440"/>
      <c r="B6" s="323" t="s">
        <v>2256</v>
      </c>
      <c r="C6" s="2467" t="s">
        <v>2251</v>
      </c>
      <c r="D6" s="2463"/>
      <c r="E6" s="2466"/>
      <c r="F6" s="323" t="s">
        <v>2257</v>
      </c>
      <c r="G6" s="3448" t="s">
        <v>3408</v>
      </c>
      <c r="H6" s="799"/>
      <c r="I6" s="799"/>
      <c r="J6" s="799"/>
      <c r="K6" s="799"/>
      <c r="L6" s="799"/>
      <c r="M6" s="799"/>
      <c r="N6" s="799"/>
      <c r="O6" s="799"/>
      <c r="P6" s="799"/>
      <c r="Q6" s="799"/>
      <c r="R6" s="799"/>
    </row>
    <row r="7" spans="1:29" ht="24.75" thickBot="1">
      <c r="A7" s="2440"/>
      <c r="B7" s="323" t="s">
        <v>2254</v>
      </c>
      <c r="C7" s="2467" t="s">
        <v>2255</v>
      </c>
      <c r="D7" s="2468"/>
      <c r="E7" s="2469"/>
      <c r="F7" s="2470" t="s">
        <v>2259</v>
      </c>
      <c r="G7" s="3449" t="s">
        <v>3406</v>
      </c>
      <c r="H7" s="799"/>
      <c r="I7" s="799"/>
      <c r="J7" s="799"/>
      <c r="K7" s="799"/>
      <c r="L7" s="799"/>
      <c r="M7" s="799"/>
      <c r="N7" s="799"/>
      <c r="O7" s="799"/>
      <c r="P7" s="799"/>
      <c r="Q7" s="799"/>
      <c r="R7" s="799"/>
    </row>
    <row r="8" spans="1:29">
      <c r="A8" s="2440"/>
      <c r="B8" s="323" t="s">
        <v>2257</v>
      </c>
      <c r="C8" s="2467" t="s">
        <v>2258</v>
      </c>
      <c r="D8" s="2468"/>
      <c r="E8" s="2468"/>
      <c r="F8" s="2471"/>
      <c r="G8" s="2471"/>
      <c r="H8" s="799"/>
      <c r="I8" s="799"/>
      <c r="J8" s="799"/>
      <c r="K8" s="799"/>
      <c r="L8" s="799"/>
      <c r="M8" s="799"/>
      <c r="N8" s="799"/>
      <c r="O8" s="799"/>
      <c r="P8" s="799"/>
      <c r="Q8" s="799"/>
      <c r="R8" s="799"/>
    </row>
    <row r="9" spans="1:29" ht="24">
      <c r="A9" s="2440"/>
      <c r="B9" s="323" t="s">
        <v>2260</v>
      </c>
      <c r="C9" s="2465" t="s">
        <v>2261</v>
      </c>
      <c r="D9" s="2463"/>
      <c r="E9" s="2468"/>
      <c r="F9" s="2471"/>
      <c r="G9" s="2471"/>
      <c r="H9" s="799"/>
      <c r="I9" s="799"/>
      <c r="J9" s="799"/>
      <c r="K9" s="799"/>
      <c r="L9" s="799"/>
      <c r="M9" s="799"/>
      <c r="N9" s="799"/>
      <c r="O9" s="799"/>
      <c r="P9" s="799"/>
      <c r="Q9" s="799"/>
      <c r="R9" s="799"/>
    </row>
    <row r="10" spans="1:29" s="2477" customFormat="1" ht="15" thickBot="1">
      <c r="A10" s="2441"/>
      <c r="B10" s="2472" t="s">
        <v>2262</v>
      </c>
      <c r="C10" s="2473"/>
      <c r="D10" s="2463"/>
      <c r="E10" s="2463"/>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2279</v>
      </c>
      <c r="B13" s="2480"/>
      <c r="C13" s="2480"/>
      <c r="D13" s="2478"/>
      <c r="E13" s="2480"/>
      <c r="F13" s="2480"/>
      <c r="G13" s="2480"/>
    </row>
    <row r="14" spans="1:29" ht="15" thickBot="1">
      <c r="A14" s="2490"/>
      <c r="B14" s="2490"/>
      <c r="C14" s="2491" t="s">
        <v>2263</v>
      </c>
      <c r="D14" s="2463"/>
      <c r="E14" s="2492"/>
      <c r="F14" s="2492"/>
      <c r="G14" s="2458" t="s">
        <v>2264</v>
      </c>
    </row>
    <row r="15" spans="1:29" ht="51">
      <c r="A15" s="2442" t="s">
        <v>2265</v>
      </c>
      <c r="B15" s="2493" t="s">
        <v>2246</v>
      </c>
      <c r="C15" s="2494" t="str">
        <f>C3</f>
        <v>估价对象周边居住用地比例、居住小区规模和社区发展完善程度，综合评价居住社区成熟度一般</v>
      </c>
      <c r="D15" s="2463"/>
      <c r="E15" s="2443" t="s">
        <v>2266</v>
      </c>
      <c r="F15" s="2493" t="s">
        <v>2267</v>
      </c>
      <c r="G15" s="2495" t="str">
        <f>G3</f>
        <v>较好</v>
      </c>
    </row>
    <row r="16" spans="1:29" ht="38.25">
      <c r="A16" s="2444"/>
      <c r="B16" s="2496" t="s">
        <v>2248</v>
      </c>
      <c r="C16" s="2497" t="str">
        <f>C4</f>
        <v>估价对象位于XX商圈，周边商业氛围成熟，人流量大，商业繁华度好</v>
      </c>
      <c r="D16" s="2463"/>
      <c r="E16" s="2445"/>
      <c r="F16" s="2498" t="s">
        <v>2250</v>
      </c>
      <c r="G16" s="2499" t="str">
        <f>G4</f>
        <v>较好</v>
      </c>
    </row>
    <row r="17" spans="1:18" ht="38.25">
      <c r="A17" s="2444"/>
      <c r="B17" s="2496" t="s">
        <v>2252</v>
      </c>
      <c r="C17" s="2497" t="str">
        <f>C5</f>
        <v>估价对象位于XX商圈，周边办公楼项目较多，入驻率高，办公集聚程度较好</v>
      </c>
      <c r="D17" s="2468"/>
      <c r="E17" s="2445"/>
      <c r="F17" s="2498" t="s">
        <v>2268</v>
      </c>
      <c r="G17" s="2500"/>
    </row>
    <row r="18" spans="1:18" ht="38.25">
      <c r="A18" s="2444"/>
      <c r="B18" s="2498" t="s">
        <v>2256</v>
      </c>
      <c r="C18" s="2499" t="str">
        <f>C6</f>
        <v>估价对象周边道路状况、公共交通通达情况、停车便捷程度，综合评价交通便捷度较好</v>
      </c>
      <c r="D18" s="2468"/>
      <c r="E18" s="2445"/>
      <c r="F18" s="2498" t="s">
        <v>2259</v>
      </c>
      <c r="G18" s="2499" t="str">
        <f>G7</f>
        <v>较好</v>
      </c>
    </row>
    <row r="19" spans="1:18">
      <c r="A19" s="2444"/>
      <c r="B19" s="2498" t="s">
        <v>2269</v>
      </c>
      <c r="C19" s="2500"/>
      <c r="D19" s="2463"/>
      <c r="E19" s="2445"/>
      <c r="F19" s="323" t="s">
        <v>2254</v>
      </c>
      <c r="G19" s="2499" t="str">
        <f>G5</f>
        <v>一般</v>
      </c>
    </row>
    <row r="20" spans="1:18" ht="25.5">
      <c r="A20" s="2444"/>
      <c r="B20" s="2498" t="s">
        <v>2270</v>
      </c>
      <c r="C20" s="2497" t="str">
        <f>C9</f>
        <v>区域自然环境：；人文环境；综合评价环境状况一般</v>
      </c>
      <c r="D20" s="2468"/>
      <c r="E20" s="2445"/>
      <c r="F20" s="323" t="s">
        <v>2257</v>
      </c>
      <c r="G20" s="2499" t="str">
        <f>G6</f>
        <v>七通</v>
      </c>
    </row>
    <row r="21" spans="1:18" ht="25.5">
      <c r="A21" s="2444"/>
      <c r="B21" s="323" t="s">
        <v>2254</v>
      </c>
      <c r="C21" s="2499" t="str">
        <f>C7</f>
        <v>估价对象所在区域公共配套设施齐备情况</v>
      </c>
      <c r="D21" s="2463"/>
      <c r="E21" s="2445"/>
      <c r="F21" s="2498" t="s">
        <v>2271</v>
      </c>
      <c r="G21" s="2501"/>
    </row>
    <row r="22" spans="1:18" ht="13.5" customHeight="1">
      <c r="A22" s="2444"/>
      <c r="B22" s="323" t="s">
        <v>2257</v>
      </c>
      <c r="C22" s="2499" t="str">
        <f>C8</f>
        <v>估价对象所在区域基础设施水平</v>
      </c>
      <c r="D22" s="2463"/>
      <c r="E22" s="2445"/>
      <c r="F22" s="2498" t="s">
        <v>2262</v>
      </c>
      <c r="G22" s="2500"/>
    </row>
    <row r="23" spans="1:18" s="799" customFormat="1" ht="15" thickBot="1">
      <c r="A23" s="2444"/>
      <c r="B23" s="2498" t="s">
        <v>2271</v>
      </c>
      <c r="C23" s="2501"/>
      <c r="D23" s="1741"/>
      <c r="E23" s="2446"/>
      <c r="F23" s="2502" t="s">
        <v>2272</v>
      </c>
      <c r="G23" s="2503"/>
      <c r="H23" s="2487"/>
      <c r="I23" s="2488"/>
      <c r="J23" s="2487"/>
      <c r="K23" s="2487"/>
      <c r="L23" s="2488"/>
      <c r="M23" s="2487"/>
      <c r="N23" s="2487"/>
      <c r="O23" s="2488"/>
      <c r="P23" s="2487"/>
      <c r="Q23" s="2487"/>
      <c r="R23" s="2489"/>
    </row>
    <row r="24" spans="1:18" s="799" customFormat="1" ht="15" thickBot="1">
      <c r="A24" s="2447"/>
      <c r="B24" s="2502" t="s">
        <v>2273</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2069.34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45440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1423</v>
      </c>
      <c r="C5" s="2508">
        <f ca="1">IF(B5=D14,结果表!H102,ROUND(B5*10000/$B$1,0))</f>
        <v>6879</v>
      </c>
      <c r="D5" s="2508" t="e">
        <f ca="1">ROUND(B5*10000/$B$2,0)</f>
        <v>#DIV/0!</v>
      </c>
      <c r="E5" s="2682"/>
      <c r="F5" s="2683"/>
      <c r="G5" s="2683"/>
      <c r="H5" s="2684"/>
      <c r="I5" s="2684"/>
      <c r="J5" s="2684"/>
      <c r="K5" s="2684"/>
    </row>
    <row r="6" spans="1:11" ht="16.5">
      <c r="A6" s="2508" t="s">
        <v>656</v>
      </c>
      <c r="B6" s="2508">
        <f ca="1">SUM(G14:G23)</f>
        <v>1423</v>
      </c>
      <c r="C6" s="2508">
        <f ca="1">IF(B6=G14,结果表!H108,ROUND(B6*10000/$B$1,0))</f>
        <v>6879</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 ca="1">SUM(I14:I23)</f>
        <v>1361</v>
      </c>
      <c r="C8" s="2508">
        <f ca="1">IF(B8=I14,结果表!H112,ROUND(B8*10000/$B$1,0))</f>
        <v>6577</v>
      </c>
      <c r="D8" s="2508" t="e">
        <f ca="1">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2069.34</v>
      </c>
      <c r="C14" s="2514"/>
      <c r="D14" s="2514">
        <f ca="1">结果表!H101</f>
        <v>1423</v>
      </c>
      <c r="E14" s="2514">
        <f ca="1">ROUND(D14*10000/B14,0)</f>
        <v>6877</v>
      </c>
      <c r="F14" s="2514" t="e">
        <f ca="1">ROUND(D14*10000/C14,0)</f>
        <v>#DIV/0!</v>
      </c>
      <c r="G14" s="2514">
        <f ca="1">结果表!H107</f>
        <v>1423</v>
      </c>
      <c r="H14" s="2514"/>
      <c r="I14" s="2514">
        <f ca="1">结果表!H111</f>
        <v>1361</v>
      </c>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6" zoomScale="90" zoomScaleNormal="100" zoomScaleSheetLayoutView="9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3401</v>
      </c>
      <c r="D1" s="1747"/>
      <c r="E1" s="1747"/>
      <c r="F1" s="1749" t="s">
        <v>1261</v>
      </c>
      <c r="G1" s="1561" t="s">
        <v>3389</v>
      </c>
      <c r="H1" s="1750" t="str">
        <f>IF(G1="现房","——","估价对象范围")</f>
        <v>——</v>
      </c>
      <c r="I1" s="1751" t="s">
        <v>3630</v>
      </c>
    </row>
    <row r="2" spans="1:12" ht="21.75" customHeight="1" thickBot="1">
      <c r="A2" s="3614" t="str">
        <f>项目基本情况!S2</f>
        <v>天津市西青区张家窝镇安福道10号4-102、103、202房地产</v>
      </c>
      <c r="B2" s="3615"/>
      <c r="C2" s="3615"/>
      <c r="D2" s="3615"/>
      <c r="E2" s="3615"/>
      <c r="F2" s="3615"/>
      <c r="G2" s="3615"/>
      <c r="H2" s="3615"/>
      <c r="I2" s="3616"/>
    </row>
    <row r="3" spans="1:12" ht="12.75">
      <c r="A3" s="3618" t="s">
        <v>1262</v>
      </c>
      <c r="B3" s="3619"/>
      <c r="C3" s="3619"/>
      <c r="D3" s="3619"/>
      <c r="E3" s="3619"/>
      <c r="F3" s="3619"/>
      <c r="G3" s="3619"/>
      <c r="H3" s="3619"/>
      <c r="I3" s="3619"/>
    </row>
    <row r="4" spans="1:12" ht="14.25">
      <c r="A4" s="1754" t="s">
        <v>1263</v>
      </c>
      <c r="B4" s="1755" t="s">
        <v>1264</v>
      </c>
      <c r="C4" s="1756" t="s">
        <v>3603</v>
      </c>
      <c r="D4" s="1756" t="s">
        <v>3404</v>
      </c>
      <c r="E4" s="3623" t="s">
        <v>1265</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1266</v>
      </c>
      <c r="B5" s="3617">
        <v>25</v>
      </c>
      <c r="C5" s="3620"/>
      <c r="D5" s="3608"/>
      <c r="E5" s="131" t="s">
        <v>1267</v>
      </c>
      <c r="F5" s="1757"/>
      <c r="G5" s="1757"/>
      <c r="H5" s="1757"/>
      <c r="I5" s="1373"/>
    </row>
    <row r="6" spans="1:12" ht="12.75">
      <c r="A6" s="3562"/>
      <c r="B6" s="3617"/>
      <c r="C6" s="3622"/>
      <c r="D6" s="3608"/>
      <c r="E6" s="131" t="s">
        <v>1268</v>
      </c>
      <c r="F6" s="1757"/>
      <c r="G6" s="1757"/>
      <c r="H6" s="1757"/>
      <c r="I6" s="1373"/>
    </row>
    <row r="7" spans="1:12" ht="12.75">
      <c r="A7" s="3562"/>
      <c r="B7" s="3617"/>
      <c r="C7" s="3621"/>
      <c r="D7" s="3608"/>
      <c r="E7" s="131" t="s">
        <v>1269</v>
      </c>
      <c r="F7" s="1757"/>
      <c r="G7" s="1757"/>
      <c r="H7" s="1757"/>
      <c r="I7" s="1373"/>
    </row>
    <row r="8" spans="1:12" ht="12.75">
      <c r="A8" s="3562" t="s">
        <v>1270</v>
      </c>
      <c r="B8" s="3617">
        <v>15</v>
      </c>
      <c r="C8" s="3620"/>
      <c r="D8" s="3608"/>
      <c r="E8" s="131" t="s">
        <v>1271</v>
      </c>
      <c r="F8" s="1757"/>
      <c r="G8" s="1757"/>
      <c r="H8" s="1757"/>
      <c r="I8" s="1373"/>
    </row>
    <row r="9" spans="1:12" ht="12.75">
      <c r="A9" s="3562"/>
      <c r="B9" s="3617"/>
      <c r="C9" s="3621"/>
      <c r="D9" s="3608"/>
      <c r="E9" s="131" t="s">
        <v>1272</v>
      </c>
      <c r="F9" s="1757"/>
      <c r="G9" s="1757"/>
      <c r="H9" s="1757"/>
      <c r="I9" s="1373"/>
    </row>
    <row r="10" spans="1:12" ht="12.75">
      <c r="A10" s="3562" t="s">
        <v>1273</v>
      </c>
      <c r="B10" s="3617">
        <v>15</v>
      </c>
      <c r="C10" s="3620"/>
      <c r="D10" s="3608"/>
      <c r="E10" s="131" t="s">
        <v>1274</v>
      </c>
      <c r="F10" s="1757"/>
      <c r="G10" s="1757"/>
      <c r="H10" s="1757"/>
      <c r="I10" s="1373"/>
    </row>
    <row r="11" spans="1:12" ht="12.75">
      <c r="A11" s="3562"/>
      <c r="B11" s="3617"/>
      <c r="C11" s="3621"/>
      <c r="D11" s="3608"/>
      <c r="E11" s="131" t="s">
        <v>1275</v>
      </c>
      <c r="F11" s="1757"/>
      <c r="G11" s="1757"/>
      <c r="H11" s="1757"/>
      <c r="I11" s="1373"/>
    </row>
    <row r="12" spans="1:12" ht="12.75">
      <c r="A12" s="3562" t="s">
        <v>1276</v>
      </c>
      <c r="B12" s="3617">
        <v>15</v>
      </c>
      <c r="C12" s="3620"/>
      <c r="D12" s="3608"/>
      <c r="E12" s="131" t="s">
        <v>1277</v>
      </c>
      <c r="F12" s="1757"/>
      <c r="G12" s="1757"/>
      <c r="H12" s="1757"/>
      <c r="I12" s="1373"/>
    </row>
    <row r="13" spans="1:12" ht="12.75">
      <c r="A13" s="3562"/>
      <c r="B13" s="3617"/>
      <c r="C13" s="3621"/>
      <c r="D13" s="3608"/>
      <c r="E13" s="131" t="s">
        <v>1278</v>
      </c>
      <c r="F13" s="1757"/>
      <c r="G13" s="1757"/>
      <c r="H13" s="1757"/>
      <c r="I13" s="1373"/>
    </row>
    <row r="14" spans="1:12" ht="12.75">
      <c r="A14" s="3562" t="s">
        <v>1279</v>
      </c>
      <c r="B14" s="3617">
        <v>30</v>
      </c>
      <c r="C14" s="3620">
        <v>5</v>
      </c>
      <c r="D14" s="3608">
        <v>5</v>
      </c>
      <c r="E14" s="131" t="s">
        <v>1280</v>
      </c>
      <c r="F14" s="1757"/>
      <c r="G14" s="1757"/>
      <c r="H14" s="1757"/>
      <c r="I14" s="1373"/>
    </row>
    <row r="15" spans="1:12" ht="12.75">
      <c r="A15" s="3562"/>
      <c r="B15" s="3617"/>
      <c r="C15" s="3622"/>
      <c r="D15" s="3608"/>
      <c r="E15" s="131" t="s">
        <v>1281</v>
      </c>
      <c r="F15" s="1757"/>
      <c r="G15" s="1757"/>
      <c r="H15" s="1757"/>
      <c r="I15" s="1373"/>
    </row>
    <row r="16" spans="1:12" ht="12.75">
      <c r="A16" s="3562"/>
      <c r="B16" s="3617"/>
      <c r="C16" s="3621"/>
      <c r="D16" s="3608"/>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39" t="s">
        <v>2128</v>
      </c>
      <c r="F18" s="3640"/>
      <c r="G18" s="3640"/>
      <c r="H18" s="3640"/>
      <c r="I18" s="3640"/>
      <c r="K18" s="302" t="s">
        <v>1287</v>
      </c>
      <c r="L18" s="302">
        <f>IF(C1="",'数据-汇总表'!E3,SUMIF(项目类型,C1,'数据-汇总表'!E17:E26)+SUMIF(项目类型,C1,'数据-汇总表'!I17:I26))</f>
        <v>2069.34</v>
      </c>
      <c r="M18" s="302">
        <f>IF(C1="",'数据-汇总表'!E3,SUMIF(项目类型,C1,'数据-汇总表'!E17:E26))</f>
        <v>2069.34</v>
      </c>
    </row>
    <row r="19" spans="1:36" ht="15">
      <c r="A19" s="1761" t="s">
        <v>1288</v>
      </c>
      <c r="B19" s="1762" t="s">
        <v>1289</v>
      </c>
      <c r="C19" s="134">
        <f ca="1">SUMIF(INDIRECT("'"&amp;C4&amp;"'"&amp;"!A:A"),结果表!B19,INDIRECT("'"&amp;C4&amp;"'"&amp;"!B:B"))</f>
        <v>1428.2791999999999</v>
      </c>
      <c r="D19" s="135">
        <f ca="1">SUMIF(INDIRECT("'"&amp;D4&amp;"'"&amp;"!A:A"),结果表!B19,INDIRECT("'"&amp;D4&amp;"'"&amp;"!B:B"))</f>
        <v>1418.6351</v>
      </c>
      <c r="E19" s="1761" t="s">
        <v>1290</v>
      </c>
      <c r="F19" s="1762" t="s">
        <v>1289</v>
      </c>
      <c r="G19" s="136">
        <f ca="1">ROUND(C19*$C$18+D19*$D$18,0)</f>
        <v>1423</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6902</v>
      </c>
      <c r="D20" s="138">
        <f ca="1">SUMIF(INDIRECT("'"&amp;D4&amp;"'"&amp;"!A:A"),结果表!B20,INDIRECT("'"&amp;D4&amp;"'"&amp;"!B:B"))</f>
        <v>6855</v>
      </c>
      <c r="E20" s="1764"/>
      <c r="F20" s="1026" t="s">
        <v>1293</v>
      </c>
      <c r="G20" s="139">
        <f ca="1">ROUND(C20*$C$18+D20*$D$18,0)</f>
        <v>6879</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6.7981540848665034E-3</v>
      </c>
      <c r="E22" s="129"/>
      <c r="F22" s="129"/>
      <c r="G22" s="129"/>
      <c r="H22" s="129"/>
      <c r="I22" s="129"/>
    </row>
    <row r="23" spans="1:36" ht="13.5" thickBot="1">
      <c r="A23" s="1747"/>
      <c r="B23" s="1747"/>
      <c r="C23" s="1747"/>
      <c r="D23" s="1747"/>
      <c r="E23" s="129"/>
      <c r="F23" s="129"/>
      <c r="G23" s="129"/>
      <c r="H23" s="129"/>
      <c r="I23" s="129"/>
    </row>
    <row r="24" spans="1:36" ht="14.25">
      <c r="A24" s="3632" t="s">
        <v>1297</v>
      </c>
      <c r="B24" s="1762" t="s">
        <v>1289</v>
      </c>
      <c r="C24" s="136">
        <f>IF(B30=0,0,D30)</f>
        <v>0</v>
      </c>
      <c r="D24" s="1769"/>
      <c r="E24" s="129"/>
      <c r="F24" s="129"/>
      <c r="G24" s="129"/>
      <c r="H24" s="129"/>
      <c r="I24" s="129"/>
    </row>
    <row r="25" spans="1:36" ht="14.25">
      <c r="A25" s="3633"/>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6879</v>
      </c>
      <c r="D32" s="1775" t="s">
        <v>3620</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09" t="s">
        <v>1310</v>
      </c>
      <c r="B36" s="1787" t="s">
        <v>1311</v>
      </c>
      <c r="C36" s="145"/>
      <c r="D36" s="1788"/>
      <c r="E36" s="1789"/>
      <c r="F36" s="1790"/>
      <c r="G36" s="129"/>
      <c r="H36" s="129"/>
      <c r="I36" s="129"/>
    </row>
    <row r="37" spans="1:15" ht="15.75" thickBot="1">
      <c r="A37" s="3610"/>
      <c r="B37" s="1674" t="s">
        <v>1312</v>
      </c>
      <c r="C37" s="147"/>
      <c r="D37" s="1139"/>
      <c r="E37" s="1139"/>
      <c r="F37" s="1790"/>
      <c r="G37" s="129"/>
      <c r="H37" s="129"/>
      <c r="I37" s="129"/>
    </row>
    <row r="38" spans="1:15" ht="15.75" thickBot="1">
      <c r="A38" s="3611"/>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29" t="s">
        <v>1324</v>
      </c>
      <c r="B45" s="3630"/>
      <c r="C45" s="3631"/>
      <c r="D45" s="155">
        <f ca="1">ROUND(H101*F45,0)</f>
        <v>1423</v>
      </c>
      <c r="E45" s="156" t="s">
        <v>1325</v>
      </c>
      <c r="F45" s="157">
        <v>1</v>
      </c>
      <c r="G45" s="158" t="s">
        <v>1326</v>
      </c>
      <c r="H45" s="129"/>
      <c r="I45" s="129"/>
      <c r="J45" s="3549" t="s">
        <v>1327</v>
      </c>
      <c r="K45" s="3549"/>
      <c r="L45" s="3549"/>
      <c r="M45" s="3549"/>
      <c r="N45" s="3549"/>
      <c r="O45" s="3549"/>
    </row>
    <row r="46" spans="1:15" ht="14.25" customHeight="1">
      <c r="A46" s="3626" t="s">
        <v>1328</v>
      </c>
      <c r="B46" s="3627"/>
      <c r="C46" s="3627"/>
      <c r="D46" s="3627"/>
      <c r="E46" s="3627"/>
      <c r="F46" s="3627"/>
      <c r="G46" s="3628"/>
      <c r="H46" s="1806"/>
      <c r="I46" s="159"/>
      <c r="J46" s="2519">
        <v>1</v>
      </c>
      <c r="K46" s="3550" t="s">
        <v>1329</v>
      </c>
      <c r="L46" s="3550"/>
      <c r="M46" s="3551"/>
      <c r="N46" s="3551"/>
      <c r="O46" s="3551"/>
    </row>
    <row r="47" spans="1:15" ht="12" customHeight="1">
      <c r="A47" s="160" t="s">
        <v>1330</v>
      </c>
      <c r="B47" s="161"/>
      <c r="C47" s="162"/>
      <c r="D47" s="1087" t="s">
        <v>1331</v>
      </c>
      <c r="E47" s="302" t="s">
        <v>1332</v>
      </c>
      <c r="F47" s="163" t="s">
        <v>1333</v>
      </c>
      <c r="G47" s="2542" t="s">
        <v>1334</v>
      </c>
      <c r="H47" s="2543"/>
      <c r="I47" s="159"/>
      <c r="J47" s="2519">
        <v>2</v>
      </c>
      <c r="K47" s="3550" t="s">
        <v>1335</v>
      </c>
      <c r="L47" s="3550"/>
      <c r="M47" s="3552">
        <f>'数据-取费表'!B2</f>
        <v>45440</v>
      </c>
      <c r="N47" s="3552"/>
      <c r="O47" s="3552"/>
    </row>
    <row r="48" spans="1:15" ht="25.5">
      <c r="A48" s="3612" t="s">
        <v>1336</v>
      </c>
      <c r="B48" s="3613"/>
      <c r="C48" s="3613"/>
      <c r="D48" s="2324">
        <f ca="1">IF(H48="情况1",0,IF(H48="情况2",D52,IF(H48="情况3",D53,IF(H48="情况4",D54))))</f>
        <v>14</v>
      </c>
      <c r="E48" s="2334" t="str">
        <f>IF(H48="情况4","(销售额-原购置价)×税（费）率","销售额×税（费）率")</f>
        <v>(销售额-原购置价)×税（费）率</v>
      </c>
      <c r="F48" s="2544">
        <f>IF(H48="情况1","免征",'数据-取费表'!B41)</f>
        <v>5.5000000000000007E-2</v>
      </c>
      <c r="G48" s="2545" t="s">
        <v>1337</v>
      </c>
      <c r="H48" s="2546" t="s">
        <v>3622</v>
      </c>
      <c r="I48" s="1806"/>
      <c r="J48" s="2519">
        <v>3</v>
      </c>
      <c r="K48" s="3550" t="s">
        <v>1338</v>
      </c>
      <c r="L48" s="3550"/>
      <c r="M48" s="3553">
        <f ca="1">H101</f>
        <v>1423</v>
      </c>
      <c r="N48" s="3553"/>
      <c r="O48" s="3553"/>
    </row>
    <row r="49" spans="1:35" ht="25.5" customHeight="1">
      <c r="A49" s="2333" t="s">
        <v>1339</v>
      </c>
      <c r="B49" s="3598" t="s">
        <v>1340</v>
      </c>
      <c r="C49" s="3598"/>
      <c r="D49" s="1590">
        <v>0</v>
      </c>
      <c r="E49" s="324" t="s">
        <v>1341</v>
      </c>
      <c r="F49" s="2422" t="s">
        <v>28</v>
      </c>
      <c r="G49" s="3581"/>
      <c r="H49" s="2310" t="s">
        <v>2131</v>
      </c>
      <c r="I49" s="2311"/>
      <c r="J49" s="2519">
        <v>4</v>
      </c>
      <c r="K49" s="3550" t="str">
        <f>IF(项目基本情况!E8="房地产抵押价值","房地产抵押价值","抵押担保权已注销时的房地产抵押价值")</f>
        <v>房地产抵押价值</v>
      </c>
      <c r="L49" s="3550"/>
      <c r="M49" s="3553">
        <f ca="1">IF(项目基本情况!E8="房地产抵押价值",H107,H109)</f>
        <v>1423</v>
      </c>
      <c r="N49" s="3553"/>
      <c r="O49" s="3553"/>
    </row>
    <row r="50" spans="1:35" ht="25.5" customHeight="1">
      <c r="A50" s="2547"/>
      <c r="B50" s="3598" t="s">
        <v>1342</v>
      </c>
      <c r="C50" s="3598"/>
      <c r="D50" s="2548"/>
      <c r="E50" s="332"/>
      <c r="F50" s="2422"/>
      <c r="G50" s="3582"/>
      <c r="H50" s="2312" t="s">
        <v>2132</v>
      </c>
      <c r="I50" s="2311"/>
      <c r="J50" s="3549" t="s">
        <v>1343</v>
      </c>
      <c r="K50" s="3549"/>
      <c r="L50" s="3549"/>
      <c r="M50" s="3549"/>
      <c r="N50" s="3549"/>
      <c r="O50" s="3549"/>
    </row>
    <row r="51" spans="1:35" ht="20.45" customHeight="1">
      <c r="A51" s="2549"/>
      <c r="B51" s="3598" t="s">
        <v>1344</v>
      </c>
      <c r="C51" s="3598"/>
      <c r="D51" s="1087"/>
      <c r="E51" s="327"/>
      <c r="F51" s="2422"/>
      <c r="G51" s="3583"/>
      <c r="H51" s="2312" t="s">
        <v>2133</v>
      </c>
      <c r="I51" s="2311"/>
      <c r="J51" s="2520" t="s">
        <v>1345</v>
      </c>
      <c r="K51" s="3550" t="s">
        <v>1346</v>
      </c>
      <c r="L51" s="3550"/>
      <c r="M51" s="2520" t="s">
        <v>1347</v>
      </c>
      <c r="N51" s="2520" t="s">
        <v>1348</v>
      </c>
      <c r="O51" s="2520" t="s">
        <v>1349</v>
      </c>
    </row>
    <row r="52" spans="1:35" ht="24" customHeight="1">
      <c r="A52" s="2335" t="s">
        <v>1350</v>
      </c>
      <c r="B52" s="3598" t="s">
        <v>1351</v>
      </c>
      <c r="C52" s="3598"/>
      <c r="D52" s="1087">
        <f ca="1">ROUND(D45*'数据-取费表'!B41/(1+'数据-取费表'!C42),0)</f>
        <v>75</v>
      </c>
      <c r="E52" s="2334" t="s">
        <v>1352</v>
      </c>
      <c r="F52" s="2550">
        <f>'数据-取费表'!B41</f>
        <v>5.5000000000000007E-2</v>
      </c>
      <c r="G52" s="2551"/>
      <c r="H52" s="2540"/>
      <c r="I52" s="1807"/>
      <c r="J52" s="2519">
        <v>1</v>
      </c>
      <c r="K52" s="3575" t="s">
        <v>1353</v>
      </c>
      <c r="L52" s="3575"/>
      <c r="M52" s="2521">
        <f ca="1">D48</f>
        <v>14</v>
      </c>
      <c r="N52" s="2519" t="str">
        <f>E48</f>
        <v>(销售额-原购置价)×税（费）率</v>
      </c>
      <c r="O52" s="2522">
        <f>F48</f>
        <v>5.5000000000000007E-2</v>
      </c>
    </row>
    <row r="53" spans="1:35" ht="12" customHeight="1">
      <c r="A53" s="2335" t="s">
        <v>1354</v>
      </c>
      <c r="B53" s="3599" t="s">
        <v>2283</v>
      </c>
      <c r="C53" s="3600"/>
      <c r="D53" s="1087">
        <f ca="1">ROUND(D45*'数据-取费表'!B41/(1+'数据-取费表'!C42),0)</f>
        <v>75</v>
      </c>
      <c r="E53" s="2334" t="s">
        <v>1352</v>
      </c>
      <c r="F53" s="2550">
        <f>'数据-取费表'!B41</f>
        <v>5.5000000000000007E-2</v>
      </c>
      <c r="G53" s="2551"/>
      <c r="H53" s="2540"/>
      <c r="I53" s="1807"/>
      <c r="J53" s="2519">
        <v>2</v>
      </c>
      <c r="K53" s="3575" t="s">
        <v>1355</v>
      </c>
      <c r="L53" s="3575"/>
      <c r="M53" s="2521">
        <f t="shared" ref="M53:O54" ca="1" si="0">D55</f>
        <v>1</v>
      </c>
      <c r="N53" s="2519" t="str">
        <f t="shared" si="0"/>
        <v>销售额×税（费）率</v>
      </c>
      <c r="O53" s="2522">
        <f t="shared" si="0"/>
        <v>5.0000000000000001E-4</v>
      </c>
    </row>
    <row r="54" spans="1:35" ht="12" customHeight="1">
      <c r="A54" s="2335" t="s">
        <v>1356</v>
      </c>
      <c r="B54" s="3599" t="s">
        <v>2284</v>
      </c>
      <c r="C54" s="3600"/>
      <c r="D54" s="1087">
        <f ca="1">C68</f>
        <v>14</v>
      </c>
      <c r="E54" s="327" t="s">
        <v>1357</v>
      </c>
      <c r="F54" s="2550">
        <f>'数据-取费表'!B41</f>
        <v>5.5000000000000007E-2</v>
      </c>
      <c r="G54" s="2551"/>
      <c r="H54" s="2552"/>
      <c r="I54" s="1807"/>
      <c r="J54" s="2519">
        <v>3</v>
      </c>
      <c r="K54" s="3575" t="s">
        <v>1358</v>
      </c>
      <c r="L54" s="3575"/>
      <c r="M54" s="2521">
        <f t="shared" ca="1" si="0"/>
        <v>47</v>
      </c>
      <c r="N54" s="2519" t="str">
        <f t="shared" si="0"/>
        <v>增值额×税（费）率</v>
      </c>
      <c r="O54" s="2523" t="str">
        <f t="shared" si="0"/>
        <v>——</v>
      </c>
    </row>
    <row r="55" spans="1:35" ht="24" customHeight="1">
      <c r="A55" s="3635" t="s">
        <v>1359</v>
      </c>
      <c r="B55" s="3613"/>
      <c r="C55" s="3613"/>
      <c r="D55" s="2324">
        <f ca="1">IF(H55="个人住宅",0,ROUND(D45*I55,0))</f>
        <v>1</v>
      </c>
      <c r="E55" s="2334" t="s">
        <v>1360</v>
      </c>
      <c r="F55" s="2550">
        <f>IF(H55="正常",I55,"免征")</f>
        <v>5.0000000000000001E-4</v>
      </c>
      <c r="G55" s="2551"/>
      <c r="H55" s="2546" t="s">
        <v>3596</v>
      </c>
      <c r="I55" s="165">
        <f>'数据-取费表'!B49</f>
        <v>5.0000000000000001E-4</v>
      </c>
      <c r="J55" s="2519" t="str">
        <f>IF(H59="非个人房产","",4)</f>
        <v/>
      </c>
      <c r="K55" s="3575" t="str">
        <f>IF(H59="非个人房产","——","个人所得税")</f>
        <v>——</v>
      </c>
      <c r="L55" s="3575"/>
      <c r="M55" s="2524" t="str">
        <f>D59</f>
        <v>——</v>
      </c>
      <c r="N55" s="2040" t="str">
        <f>E59</f>
        <v>——</v>
      </c>
      <c r="O55" s="2525" t="str">
        <f>F59</f>
        <v>——</v>
      </c>
    </row>
    <row r="56" spans="1:35" ht="24.75">
      <c r="A56" s="3635" t="s">
        <v>1361</v>
      </c>
      <c r="B56" s="3613"/>
      <c r="C56" s="3613"/>
      <c r="D56" s="2324">
        <f ca="1">IF(H56="个人住宅",D57,D58)</f>
        <v>47</v>
      </c>
      <c r="E56" s="2334" t="s">
        <v>1362</v>
      </c>
      <c r="F56" s="2550" t="str">
        <f>IF(H56="正常",F58,"免征")</f>
        <v>——</v>
      </c>
      <c r="G56" s="2553" t="s">
        <v>1363</v>
      </c>
      <c r="H56" s="2554" t="s">
        <v>3596</v>
      </c>
      <c r="I56" s="1808"/>
      <c r="J56" s="2519" t="str">
        <f>IF(项目基本情况!K6="上海银行",IF(J55="",4,J55+1),"")</f>
        <v/>
      </c>
      <c r="K56" s="3556" t="str">
        <f>IF(项目基本情况!K6="上海银行","其他处置费用","")</f>
        <v/>
      </c>
      <c r="L56" s="3557"/>
      <c r="M56" s="2521" t="str">
        <f>IF(项目基本情况!K6="上海银行",M69,"")</f>
        <v/>
      </c>
      <c r="N56" s="3556" t="str">
        <f>IF(项目基本情况!K6="上海银行","包含处置中涉及的律师、诉讼、拍卖、评估等费用","")</f>
        <v/>
      </c>
      <c r="O56" s="3559"/>
    </row>
    <row r="57" spans="1:35" ht="12.75">
      <c r="A57" s="2335" t="s">
        <v>1339</v>
      </c>
      <c r="B57" s="3599" t="s">
        <v>1364</v>
      </c>
      <c r="C57" s="3600"/>
      <c r="D57" s="1590">
        <v>0</v>
      </c>
      <c r="E57" s="324" t="s">
        <v>1341</v>
      </c>
      <c r="F57" s="302"/>
      <c r="G57" s="2551"/>
      <c r="H57" s="2555"/>
      <c r="I57" s="1808"/>
      <c r="J57" s="3575">
        <f>IF(AND(J55="",J56=""),4,IF(项目基本情况!K6="上海银行",结果表!J56+1,结果表!J55+1))</f>
        <v>4</v>
      </c>
      <c r="K57" s="3575" t="s">
        <v>1365</v>
      </c>
      <c r="L57" s="2526" t="s">
        <v>1366</v>
      </c>
      <c r="M57" s="2527"/>
      <c r="N57" s="2528">
        <f ca="1">SUMIF(M52:M56,"&lt;9e307")</f>
        <v>62</v>
      </c>
      <c r="O57" s="2529"/>
      <c r="P57" s="2686">
        <f ca="1">N57/M49</f>
        <v>4.3569922698524242E-2</v>
      </c>
    </row>
    <row r="58" spans="1:35" ht="24.75">
      <c r="A58" s="2335" t="s">
        <v>1350</v>
      </c>
      <c r="B58" s="3599" t="s">
        <v>1367</v>
      </c>
      <c r="C58" s="3598"/>
      <c r="D58" s="2324">
        <f ca="1">IF(H58="转让取得",C81,C97)</f>
        <v>47</v>
      </c>
      <c r="E58" s="2334" t="s">
        <v>1362</v>
      </c>
      <c r="F58" s="302" t="s">
        <v>28</v>
      </c>
      <c r="G58" s="2551"/>
      <c r="H58" s="2554" t="s">
        <v>3623</v>
      </c>
      <c r="I58" s="1808"/>
      <c r="J58" s="3575"/>
      <c r="K58" s="3575"/>
      <c r="L58" s="2526" t="s">
        <v>1368</v>
      </c>
      <c r="M58" s="2530"/>
      <c r="N58" s="2531" t="str">
        <f ca="1">NUMBERSTRING(INT(N57*10000),2)&amp;"元整"</f>
        <v>陆拾贰万元整</v>
      </c>
      <c r="O58" s="2532"/>
    </row>
    <row r="59" spans="1:35" ht="24.75" thickBot="1">
      <c r="A59" s="3579" t="s">
        <v>1369</v>
      </c>
      <c r="B59" s="3580"/>
      <c r="C59" s="358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1363</v>
      </c>
      <c r="H59" s="2314" t="s">
        <v>3624</v>
      </c>
      <c r="I59" s="2313" t="s">
        <v>2134</v>
      </c>
      <c r="J59" s="3577">
        <f>J57+1</f>
        <v>5</v>
      </c>
      <c r="K59" s="3575" t="s">
        <v>1370</v>
      </c>
      <c r="L59" s="2519" t="s">
        <v>1366</v>
      </c>
      <c r="M59" s="2533"/>
      <c r="N59" s="2534">
        <f ca="1">M49-N57</f>
        <v>1361</v>
      </c>
      <c r="O59" s="2535"/>
    </row>
    <row r="60" spans="1:35" ht="12" customHeight="1">
      <c r="A60" s="1809"/>
      <c r="B60" s="1747"/>
      <c r="C60" s="1747"/>
      <c r="D60" s="1747"/>
      <c r="E60" s="1578"/>
      <c r="F60" s="1808"/>
      <c r="G60" s="1808"/>
      <c r="H60" s="1810"/>
      <c r="I60" s="129"/>
      <c r="J60" s="3578"/>
      <c r="K60" s="3575"/>
      <c r="L60" s="2526" t="s">
        <v>1368</v>
      </c>
      <c r="M60" s="2530"/>
      <c r="N60" s="2531" t="str">
        <f ca="1">NUMBERSTRING(INT(N59*10000),2)&amp;"元整"</f>
        <v>壹仟叁佰陆拾壹万元整</v>
      </c>
      <c r="O60" s="2532"/>
    </row>
    <row r="61" spans="1:35" ht="13.5" thickBot="1">
      <c r="A61" s="3634" t="s">
        <v>1371</v>
      </c>
      <c r="B61" s="3634"/>
      <c r="C61" s="3634"/>
      <c r="D61" s="3634"/>
      <c r="E61" s="3634"/>
      <c r="F61" s="1808"/>
      <c r="G61" s="1808"/>
      <c r="H61" s="1810"/>
      <c r="I61" s="129"/>
      <c r="J61" s="2519">
        <f>J59+1</f>
        <v>6</v>
      </c>
      <c r="K61" s="3575" t="s">
        <v>1372</v>
      </c>
      <c r="L61" s="3575"/>
      <c r="M61" s="2536"/>
      <c r="N61" s="2537">
        <f ca="1">ROUND(N59*10000/'数据-汇总表'!E3,0)</f>
        <v>6577</v>
      </c>
      <c r="O61" s="2538"/>
    </row>
    <row r="62" spans="1:35" ht="12.75">
      <c r="A62" s="3594" t="s">
        <v>1373</v>
      </c>
      <c r="B62" s="3595"/>
      <c r="C62" s="2021"/>
      <c r="D62" s="2021" t="s">
        <v>1374</v>
      </c>
      <c r="E62" s="166" t="s">
        <v>1375</v>
      </c>
      <c r="F62" s="1808"/>
      <c r="G62" s="1808"/>
      <c r="H62" s="1810"/>
      <c r="I62" s="129"/>
    </row>
    <row r="63" spans="1:35" ht="12.75">
      <c r="A63" s="173" t="s">
        <v>330</v>
      </c>
      <c r="B63" s="167" t="s">
        <v>1376</v>
      </c>
      <c r="C63" s="2560">
        <f ca="1">ROUND((C64+C65)/(1+'数据-取费表'!C42),0)</f>
        <v>1355</v>
      </c>
      <c r="D63" s="167"/>
      <c r="E63" s="168"/>
      <c r="F63" s="1808"/>
      <c r="G63" s="1808"/>
      <c r="H63" s="1810"/>
      <c r="I63" s="129"/>
      <c r="J63" s="3558" t="s">
        <v>1377</v>
      </c>
      <c r="K63" s="1332" t="s">
        <v>1378</v>
      </c>
      <c r="L63" s="1332">
        <f ca="1">IF(M49&gt;10000,M49*0.5%,IF(AND(M49&gt;1000,M49&lt;=10000),M49*1%,IF(AND(M49&gt;100,M49&lt;=1000),M49*3%,IF(AND(M49&gt;10,M49&lt;=100),M49*5%,M49*8%))))</f>
        <v>14.23</v>
      </c>
      <c r="M63" s="302">
        <f ca="1">ROUND(L63,1)</f>
        <v>14.2</v>
      </c>
      <c r="N63" s="2539"/>
      <c r="Z63" s="1752"/>
      <c r="AI63" s="1753"/>
    </row>
    <row r="64" spans="1:35" ht="14.25" customHeight="1">
      <c r="A64" s="169" t="s">
        <v>325</v>
      </c>
      <c r="B64" s="170" t="s">
        <v>1379</v>
      </c>
      <c r="C64" s="2561">
        <f ca="1">D45</f>
        <v>1423</v>
      </c>
      <c r="D64" s="170" t="s">
        <v>26</v>
      </c>
      <c r="E64" s="172"/>
      <c r="F64" s="1808"/>
      <c r="G64" s="1808"/>
      <c r="H64" s="1810"/>
      <c r="I64" s="129"/>
      <c r="J64" s="3558"/>
      <c r="K64" s="1332" t="s">
        <v>1380</v>
      </c>
      <c r="L64" s="1332">
        <f ca="1">IF(M49&gt;2000,M49*0.5%,IF(AND(M49&gt;1000,M49&lt;=2000),M49*0.6%,IF(AND(M49&gt;500,M49&lt;=1000),M49*0.7%,IF(AND(M49&gt;200,M49&lt;=500),M49*0.8%,IF(AND(M49&gt;100,M49&lt;=200),M49*0.9%,IF(AND(M49&gt;50,M49&lt;=100),M49*1%,IF(AND(M49&gt;20,M49&lt;=50),M49*1.5%,IF(AND(M49&gt;10,M49&lt;=20),M49*2%,IF(AND(M49&gt;1,M49&lt;=10),M49*2.5%)))))))))</f>
        <v>8.5380000000000003</v>
      </c>
      <c r="M64" s="302">
        <f t="shared" ref="M64:M65" ca="1" si="1">ROUND(L64,1)</f>
        <v>8.5</v>
      </c>
      <c r="N64" s="2540" t="s">
        <v>1381</v>
      </c>
      <c r="Z64" s="1752"/>
      <c r="AI64" s="1753"/>
    </row>
    <row r="65" spans="1:35" ht="14.25" customHeight="1">
      <c r="A65" s="169" t="s">
        <v>326</v>
      </c>
      <c r="B65" s="170" t="s">
        <v>1382</v>
      </c>
      <c r="C65" s="2562"/>
      <c r="D65" s="170"/>
      <c r="E65" s="172"/>
      <c r="F65" s="1808"/>
      <c r="G65" s="1808"/>
      <c r="H65" s="1810"/>
      <c r="I65" s="129"/>
      <c r="J65" s="3558"/>
      <c r="K65" s="1332" t="s">
        <v>1383</v>
      </c>
      <c r="L65" s="1332">
        <f ca="1">IF(M49&gt;1000,M49*0.1%,IF(AND(M49&gt;500,M49&lt;=1000),M49*0.5%,IF(AND(M49&gt;50,M49&lt;=500),M49*1%,IF(AND(M49&gt;1,M49&lt;=50),M49*1.5%))))</f>
        <v>1.423</v>
      </c>
      <c r="M65" s="302">
        <f t="shared" ca="1" si="1"/>
        <v>1.4</v>
      </c>
      <c r="N65" s="2540" t="s">
        <v>1381</v>
      </c>
      <c r="Z65" s="1752"/>
      <c r="AI65" s="1753"/>
    </row>
    <row r="66" spans="1:35" ht="14.25" customHeight="1">
      <c r="A66" s="173" t="s">
        <v>327</v>
      </c>
      <c r="B66" s="174" t="s">
        <v>1384</v>
      </c>
      <c r="C66" s="2563">
        <f>L77/1.05/10000</f>
        <v>1099.3188276190476</v>
      </c>
      <c r="D66" s="174" t="s">
        <v>26</v>
      </c>
      <c r="E66" s="1338" t="s">
        <v>671</v>
      </c>
      <c r="F66" s="1808"/>
      <c r="G66" s="1808"/>
      <c r="H66" s="1810"/>
      <c r="I66" s="129"/>
      <c r="J66" s="3558"/>
      <c r="K66" s="1332" t="s">
        <v>1385</v>
      </c>
      <c r="L66" s="1332">
        <f ca="1">M49*0.5%</f>
        <v>7.1150000000000002</v>
      </c>
      <c r="M66" s="302">
        <f ca="1">IF(L66&gt;0.5,0.5,ROUND(L66,0))</f>
        <v>0.5</v>
      </c>
      <c r="N66" s="2540" t="s">
        <v>1386</v>
      </c>
      <c r="Z66" s="1752"/>
      <c r="AI66" s="1753"/>
    </row>
    <row r="67" spans="1:35" ht="14.25" customHeight="1">
      <c r="A67" s="173" t="s">
        <v>328</v>
      </c>
      <c r="B67" s="174" t="s">
        <v>1387</v>
      </c>
      <c r="C67" s="2564">
        <f ca="1">C63-C66</f>
        <v>255.68117238095238</v>
      </c>
      <c r="D67" s="170" t="s">
        <v>26</v>
      </c>
      <c r="E67" s="172"/>
      <c r="F67" s="1808"/>
      <c r="G67" s="1808"/>
      <c r="H67" s="1810"/>
      <c r="I67" s="129"/>
      <c r="J67" s="3558"/>
      <c r="K67" s="1332" t="s">
        <v>1388</v>
      </c>
      <c r="L67" s="1332">
        <f ca="1">IF(M49&gt;=10000,(8.25+(M49-10000)*0.01%),IF(AND(M49&gt;=8000,M49&lt;10000),(7.85+(M49-8000)*0.02%),IF(AND(M49&gt;=5000,M49&lt;8000),(6.65+(M49-5000)*0.04%),IF(AND(M49&gt;=2000,M49&lt;5000),(4.25+(PM49-2000)*0.08%),IF(AND(M49&gt;=1000,M49&lt;2000),(2.75+(M49-1000)*0.15%),IF(AND(M49&gt;=100,M49&lt;1000),(0.5+(M49-100)*0.25%),IF(AND(M49&gt;0,M49&lt;100),M49*0.5%)))))))</f>
        <v>3.3845000000000001</v>
      </c>
      <c r="M67" s="302">
        <f ca="1">ROUND(L67*0.9,1)</f>
        <v>3</v>
      </c>
      <c r="N67" s="2539"/>
      <c r="Z67" s="1752"/>
      <c r="AI67" s="1753"/>
    </row>
    <row r="68" spans="1:35" ht="14.25" customHeight="1" thickBot="1">
      <c r="A68" s="176" t="s">
        <v>329</v>
      </c>
      <c r="B68" s="177" t="s">
        <v>1389</v>
      </c>
      <c r="C68" s="2565">
        <f ca="1">IF(C67&lt;=0,0,ROUND(C67*D68,0))</f>
        <v>14</v>
      </c>
      <c r="D68" s="2566">
        <f>'数据-取费表'!B41</f>
        <v>5.5000000000000007E-2</v>
      </c>
      <c r="E68" s="178"/>
      <c r="F68" s="1808"/>
      <c r="G68" s="1808"/>
      <c r="H68" s="1810"/>
      <c r="I68" s="129"/>
      <c r="J68" s="3558"/>
      <c r="K68" s="1332" t="s">
        <v>1390</v>
      </c>
      <c r="L68" s="1332">
        <f ca="1">IF(M49&gt;10000,M49*0.5%,IF(AND(M49&gt;5000,M49&lt;=10000),M49*1%,IF(AND(M49&gt;1000,M49&lt;=5000),M49*2%,IF(AND(M49&gt;200,M49&lt;=1000),M49*3%,M49*5%))))</f>
        <v>28.46</v>
      </c>
      <c r="M68" s="302">
        <f ca="1">ROUND(L68,1)</f>
        <v>28.5</v>
      </c>
      <c r="N68" s="2539"/>
      <c r="Z68" s="1752"/>
      <c r="AI68" s="1753"/>
    </row>
    <row r="69" spans="1:35" s="1772" customFormat="1" ht="16.5" customHeight="1">
      <c r="A69" s="1811"/>
      <c r="B69" s="1812"/>
      <c r="C69" s="1813"/>
      <c r="D69" s="1814"/>
      <c r="E69" s="1815"/>
      <c r="F69" s="1578"/>
      <c r="G69" s="1578"/>
      <c r="H69" s="1577"/>
      <c r="I69" s="1747"/>
      <c r="J69" s="3558"/>
      <c r="K69" s="1332" t="s">
        <v>1391</v>
      </c>
      <c r="L69" s="1332"/>
      <c r="M69" s="302">
        <f ca="1">ROUND(SUM(M63:M68),0)</f>
        <v>56</v>
      </c>
      <c r="N69" s="2541">
        <f ca="1">M69/M49</f>
        <v>3.9353478566408993E-2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1392</v>
      </c>
      <c r="B70" s="3603"/>
      <c r="C70" s="3603"/>
      <c r="D70" s="3603"/>
      <c r="E70" s="3603"/>
      <c r="F70" s="3603"/>
      <c r="G70" s="3603"/>
      <c r="H70" s="360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1373</v>
      </c>
      <c r="B71" s="3595"/>
      <c r="C71" s="2021"/>
      <c r="D71" s="2021" t="s">
        <v>1374</v>
      </c>
      <c r="E71" s="179" t="s">
        <v>1375</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4">
        <f ca="1">ROUND(D45/(1+'数据-取费表'!C42),0)</f>
        <v>1355</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4">
        <f ca="1">C74+C78</f>
        <v>1198</v>
      </c>
      <c r="D73" s="170" t="s">
        <v>26</v>
      </c>
      <c r="E73" s="2331"/>
      <c r="F73" s="2330"/>
      <c r="G73" s="2330"/>
      <c r="H73" s="182"/>
      <c r="I73" s="1820"/>
      <c r="J73" s="1818"/>
      <c r="K73" s="2687"/>
      <c r="L73" s="3457" t="s">
        <v>3625</v>
      </c>
      <c r="M73" s="3457" t="s">
        <v>3627</v>
      </c>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1191</v>
      </c>
      <c r="D74" s="170" t="s">
        <v>26</v>
      </c>
      <c r="E74" s="2331"/>
      <c r="F74" s="2330"/>
      <c r="G74" s="2330"/>
      <c r="H74" s="182"/>
      <c r="I74" s="1820"/>
      <c r="J74" s="1818" t="s">
        <v>3626</v>
      </c>
      <c r="K74" s="1818">
        <v>102</v>
      </c>
      <c r="L74" s="1818">
        <v>4026141.16</v>
      </c>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7">
        <f>L77/10000</f>
        <v>1154.2847690000001</v>
      </c>
      <c r="D75" s="170" t="s">
        <v>26</v>
      </c>
      <c r="E75" s="184" t="s">
        <v>1397</v>
      </c>
      <c r="F75" s="2568" t="s">
        <v>3628</v>
      </c>
      <c r="G75" s="184" t="s">
        <v>1398</v>
      </c>
      <c r="H75" s="2569">
        <v>1</v>
      </c>
      <c r="I75" s="1821"/>
      <c r="J75" s="1818"/>
      <c r="K75" s="1818">
        <v>103</v>
      </c>
      <c r="L75" s="1818">
        <v>4024141.16</v>
      </c>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58</v>
      </c>
      <c r="D76" s="2570">
        <v>0.05</v>
      </c>
      <c r="E76" s="3599" t="s">
        <v>1400</v>
      </c>
      <c r="F76" s="3598"/>
      <c r="G76" s="3598"/>
      <c r="H76" s="3601"/>
      <c r="I76" s="1820"/>
      <c r="J76" s="1818"/>
      <c r="K76" s="1818">
        <v>202</v>
      </c>
      <c r="L76" s="1818">
        <v>3492565.37</v>
      </c>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34</v>
      </c>
      <c r="D77" s="2571">
        <f>'数据-取费表'!B48+'数据-取费表'!B49</f>
        <v>3.0499999999999999E-2</v>
      </c>
      <c r="E77" s="2324" t="s">
        <v>1402</v>
      </c>
      <c r="F77" s="186"/>
      <c r="G77" s="1822" t="s">
        <v>3629</v>
      </c>
      <c r="H77" s="2332" t="str">
        <f>IF(G77="个人买卖住房","免征印花税"," ")</f>
        <v xml:space="preserve"> </v>
      </c>
      <c r="I77" s="1820"/>
      <c r="J77" s="1818"/>
      <c r="K77" s="1818"/>
      <c r="L77" s="1818">
        <f>SUM(L74:L76)</f>
        <v>11542847.690000001</v>
      </c>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2">
        <f ca="1">ROUND(D45*D78/(1+'数据-取费表'!C42),0)</f>
        <v>7</v>
      </c>
      <c r="D78" s="2573">
        <f>'数据-取费表'!B43</f>
        <v>5.000000000000001E-3</v>
      </c>
      <c r="E78" s="3591" t="s">
        <v>1404</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4">
        <f ca="1">C72-C73</f>
        <v>157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4">
        <f ca="1">IF(C79&lt;=0,0,C79/C73)</f>
        <v>0.1310517529215359</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5">
        <f ca="1">ROUND(IF(C79&lt;=0,0,IF(C80&gt;=200%,C79*60%-C73*35%,IF(C80&gt;=100%,C79*50%-C73*15%,IF(C80&gt;=50%,C79*40%-C73*5%,IF(C80&lt;50%,C79*30%,0))))),0)</f>
        <v>47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2" t="s">
        <v>1408</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4" t="s">
        <v>1373</v>
      </c>
      <c r="B84" s="3595"/>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4">
        <f ca="1">ROUND(D45/(1+'数据-取费表'!C42),0)</f>
        <v>1355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4">
        <f ca="1">IF(H88="仅含出让金",C87+C90+C91+C92+C93+C94,C87+C91+C92+C93+C94)</f>
        <v>7</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8"/>
      <c r="D88" s="2573"/>
      <c r="E88" s="193" t="s">
        <v>1411</v>
      </c>
      <c r="F88" s="2327"/>
      <c r="G88" s="194" t="s">
        <v>1412</v>
      </c>
      <c r="H88" s="1824"/>
      <c r="I88" s="1821"/>
      <c r="J88" s="2517"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2">
        <f>ROUND(C88*D89,0)</f>
        <v>0</v>
      </c>
      <c r="D89" s="2573">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8"/>
      <c r="D90" s="2573"/>
      <c r="E90" s="193" t="str">
        <f>IF(H88="-","土地取得成本中已包含该笔费用"," ")</f>
        <v xml:space="preserve"> </v>
      </c>
      <c r="F90" s="2327"/>
      <c r="G90" s="3560" t="s">
        <v>2126</v>
      </c>
      <c r="H90" s="3561"/>
      <c r="I90" s="1821"/>
      <c r="J90" s="2517"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2">
        <f>IF(H91="——",成本法!C33,I91)</f>
        <v>0</v>
      </c>
      <c r="D91" s="2573"/>
      <c r="E91" s="3591" t="s">
        <v>1417</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2">
        <f>ROUND((C87+C90+C91)*D92,0)</f>
        <v>0</v>
      </c>
      <c r="D92" s="2579"/>
      <c r="E92" s="3591" t="s">
        <v>1420</v>
      </c>
      <c r="F92" s="3592"/>
      <c r="G92" s="3592"/>
      <c r="H92" s="3593"/>
      <c r="I92" s="1821"/>
      <c r="J92" s="2518"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2">
        <f ca="1">ROUND(D45*D93/(1+'数据-取费表'!C42),0)</f>
        <v>7</v>
      </c>
      <c r="D93" s="2573">
        <f>'数据-取费表'!B43</f>
        <v>5.000000000000001E-3</v>
      </c>
      <c r="E93" s="3591" t="s">
        <v>1404</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8">
        <f>ROUND((C87+C90+C91)*D94,0)</f>
        <v>0</v>
      </c>
      <c r="D94" s="2573">
        <v>0.2</v>
      </c>
      <c r="E94" s="3636" t="s">
        <v>1424</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4">
        <f ca="1">ROUND(C85-C86,0)</f>
        <v>1348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4">
        <f ca="1">IF(C95&lt;=0,0,C95/C86)</f>
        <v>192.57142857142858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5">
        <f ca="1">ROUND(IF(C95&lt;=0,0,IF(C96&gt;=200%,C95*60%-C86*35%,IF(C96&gt;=100%,C95*50%-C86*15%,IF(C96&gt;=50%,C95*40%-C86*5%,IF(C96&lt;50%,C95*30%,0))))),0)</f>
        <v>806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1" t="s">
        <v>1426</v>
      </c>
      <c r="B100" s="3542"/>
      <c r="C100" s="3542"/>
      <c r="D100" s="3576"/>
      <c r="E100" s="3542" t="s">
        <v>1427</v>
      </c>
      <c r="F100" s="3542"/>
      <c r="G100" s="3542"/>
      <c r="H100" s="3576"/>
      <c r="I100" s="129"/>
    </row>
    <row r="101" spans="1:35" ht="18.75" customHeight="1">
      <c r="A101" s="3584" t="s">
        <v>1428</v>
      </c>
      <c r="B101" s="3585"/>
      <c r="C101" s="2581" t="str">
        <f>C4</f>
        <v>成本法 (元)</v>
      </c>
      <c r="D101" s="2582" t="str">
        <f>D4</f>
        <v>收益法 (元)</v>
      </c>
      <c r="E101" s="3554" t="s">
        <v>1429</v>
      </c>
      <c r="F101" s="3555"/>
      <c r="G101" s="1827" t="s">
        <v>1430</v>
      </c>
      <c r="H101" s="2591">
        <f ca="1">H118</f>
        <v>1423</v>
      </c>
      <c r="I101" s="129"/>
    </row>
    <row r="102" spans="1:35" ht="18.75" customHeight="1">
      <c r="A102" s="3586" t="s">
        <v>1431</v>
      </c>
      <c r="B102" s="2580" t="s">
        <v>1430</v>
      </c>
      <c r="C102" s="2581">
        <f ca="1">IF(D32="楼面单价",ROUND(C19,0),C19)</f>
        <v>1428</v>
      </c>
      <c r="D102" s="2582">
        <f ca="1">IF(D32="楼面单价",ROUND(D19,0),D19)</f>
        <v>1419</v>
      </c>
      <c r="E102" s="3554"/>
      <c r="F102" s="3555"/>
      <c r="G102" s="1827" t="s">
        <v>1432</v>
      </c>
      <c r="H102" s="2551">
        <f ca="1">I118</f>
        <v>6879</v>
      </c>
      <c r="I102" s="129"/>
    </row>
    <row r="103" spans="1:35" ht="42.75" customHeight="1">
      <c r="A103" s="3586"/>
      <c r="B103" s="2580" t="s">
        <v>1432</v>
      </c>
      <c r="C103" s="2583">
        <f ca="1">C20</f>
        <v>6902</v>
      </c>
      <c r="D103" s="2584">
        <f ca="1">D20</f>
        <v>6855</v>
      </c>
      <c r="E103" s="3547" t="s">
        <v>1433</v>
      </c>
      <c r="F103" s="3548"/>
      <c r="G103" s="1828" t="s">
        <v>1434</v>
      </c>
      <c r="H103" s="2591">
        <f>IF(D36="正常操作",H104+H105+H106,H105+H106)</f>
        <v>0</v>
      </c>
      <c r="I103" s="129"/>
    </row>
    <row r="104" spans="1:35" ht="18.75" customHeight="1">
      <c r="A104" s="3586" t="s">
        <v>1435</v>
      </c>
      <c r="B104" s="2585" t="s">
        <v>1430</v>
      </c>
      <c r="C104" s="2586">
        <f ca="1">H118</f>
        <v>1423</v>
      </c>
      <c r="D104" s="2587"/>
      <c r="E104" s="1674" t="s">
        <v>1436</v>
      </c>
      <c r="F104" s="1666"/>
      <c r="G104" s="1828" t="s">
        <v>1434</v>
      </c>
      <c r="H104" s="2592">
        <f>IF(D36="同一抵押权人同一抵押物续贷",C36&amp;"（续贷，未扣减，详见特别提示）",C36)</f>
        <v>0</v>
      </c>
      <c r="I104" s="129"/>
    </row>
    <row r="105" spans="1:35" ht="18.75" customHeight="1" thickBot="1">
      <c r="A105" s="3596"/>
      <c r="B105" s="2588" t="s">
        <v>1432</v>
      </c>
      <c r="C105" s="2589">
        <f ca="1">I118</f>
        <v>6879</v>
      </c>
      <c r="D105" s="2590"/>
      <c r="E105" s="1674" t="s">
        <v>1437</v>
      </c>
      <c r="F105" s="1666"/>
      <c r="G105" s="1828" t="s">
        <v>1434</v>
      </c>
      <c r="H105" s="2593">
        <f>C37</f>
        <v>0</v>
      </c>
      <c r="I105" s="129"/>
    </row>
    <row r="106" spans="1:35" ht="18.75" customHeight="1">
      <c r="A106" s="1747" t="s">
        <v>1438</v>
      </c>
      <c r="B106" s="1747"/>
      <c r="C106" s="1747"/>
      <c r="D106" s="1747"/>
      <c r="E106" s="1829" t="s">
        <v>1439</v>
      </c>
      <c r="F106" s="1666"/>
      <c r="G106" s="1828" t="s">
        <v>1434</v>
      </c>
      <c r="H106" s="2593">
        <f>C38</f>
        <v>0</v>
      </c>
      <c r="I106" s="129"/>
    </row>
    <row r="107" spans="1:35" ht="18.75" customHeight="1">
      <c r="A107" s="129"/>
      <c r="B107" s="129"/>
      <c r="C107" s="129"/>
      <c r="D107" s="129"/>
      <c r="E107" s="3587" t="str">
        <f>IF(项目基本情况!E8="已注销","——","3.房地产抵押价值")</f>
        <v>3.房地产抵押价值</v>
      </c>
      <c r="F107" s="3555"/>
      <c r="G107" s="1827" t="s">
        <v>1430</v>
      </c>
      <c r="H107" s="2591">
        <f ca="1">IF(E107="——","——",H101-H103)</f>
        <v>1423</v>
      </c>
      <c r="I107" s="129"/>
    </row>
    <row r="108" spans="1:35" ht="18.75" customHeight="1">
      <c r="A108" s="129"/>
      <c r="B108" s="129"/>
      <c r="C108" s="129"/>
      <c r="D108" s="129"/>
      <c r="E108" s="3587"/>
      <c r="F108" s="3555"/>
      <c r="G108" s="1827" t="s">
        <v>1432</v>
      </c>
      <c r="H108" s="2551">
        <f ca="1">IF(H107=H101,H102,ROUND(H107*10000/'数据-汇总表'!E3,0))</f>
        <v>6879</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1430</v>
      </c>
      <c r="H109" s="2594" t="str">
        <f>IF(E109="——","——",H101-H105-H106)</f>
        <v>——</v>
      </c>
      <c r="I109" s="129"/>
    </row>
    <row r="110" spans="1:35" ht="18.75" customHeight="1">
      <c r="A110" s="129"/>
      <c r="B110" s="129"/>
      <c r="C110" s="129"/>
      <c r="D110" s="129"/>
      <c r="E110" s="3587"/>
      <c r="F110" s="3555"/>
      <c r="G110" s="1827" t="s">
        <v>1432</v>
      </c>
      <c r="H110" s="2551"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4.抵押净值</v>
      </c>
      <c r="F111" s="3574"/>
      <c r="G111" s="1827" t="s">
        <v>1430</v>
      </c>
      <c r="H111" s="2591">
        <f ca="1">IF(E111="——","——",N59)</f>
        <v>1361</v>
      </c>
      <c r="I111" s="129"/>
    </row>
    <row r="112" spans="1:35" ht="18.75" customHeight="1" thickBot="1">
      <c r="A112" s="129"/>
      <c r="B112" s="129"/>
      <c r="C112" s="129"/>
      <c r="D112" s="129"/>
      <c r="E112" s="3589"/>
      <c r="F112" s="3590"/>
      <c r="G112" s="1830" t="s">
        <v>1432</v>
      </c>
      <c r="H112" s="2595">
        <f ca="1">IF(E111="——","——",N61)</f>
        <v>6577</v>
      </c>
      <c r="I112" s="129"/>
    </row>
    <row r="113" spans="1:27" ht="18.75" customHeight="1">
      <c r="A113" s="129"/>
      <c r="B113" s="129"/>
      <c r="C113" s="129"/>
      <c r="D113" s="129"/>
      <c r="E113" s="3597" t="s">
        <v>1438</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1440</v>
      </c>
      <c r="B115" s="3606"/>
      <c r="C115" s="3606"/>
      <c r="D115" s="3606"/>
      <c r="E115" s="3606"/>
      <c r="F115" s="3606"/>
      <c r="G115" s="3606"/>
      <c r="H115" s="3606"/>
      <c r="I115" s="3607"/>
    </row>
    <row r="116" spans="1:27" ht="27" customHeight="1">
      <c r="A116" s="3562" t="s">
        <v>1441</v>
      </c>
      <c r="B116" s="3566" t="s">
        <v>1442</v>
      </c>
      <c r="C116" s="3566" t="s">
        <v>1443</v>
      </c>
      <c r="D116" s="3572" t="s">
        <v>1444</v>
      </c>
      <c r="E116" s="3573"/>
      <c r="F116" s="3604" t="s">
        <v>1445</v>
      </c>
      <c r="G116" s="3604"/>
      <c r="H116" s="3562" t="s">
        <v>1446</v>
      </c>
      <c r="I116" s="3562"/>
    </row>
    <row r="117" spans="1:27" ht="18.75" customHeight="1">
      <c r="A117" s="3562"/>
      <c r="B117" s="3567"/>
      <c r="C117" s="3567"/>
      <c r="D117" s="2329" t="s">
        <v>1447</v>
      </c>
      <c r="E117" s="2329" t="s">
        <v>1448</v>
      </c>
      <c r="F117" s="2329" t="s">
        <v>1447</v>
      </c>
      <c r="G117" s="2329" t="s">
        <v>1449</v>
      </c>
      <c r="H117" s="2329" t="s">
        <v>1447</v>
      </c>
      <c r="I117" s="2329" t="s">
        <v>1449</v>
      </c>
    </row>
    <row r="118" spans="1:27" ht="24.75" customHeight="1">
      <c r="A118" s="2596" t="str">
        <f>项目基本情况!S2</f>
        <v>天津市西青区张家窝镇安福道10号4-102、103、202房地产</v>
      </c>
      <c r="B118" s="2329">
        <f>M18</f>
        <v>2069.34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1423</v>
      </c>
      <c r="I118" s="2329">
        <f ca="1">ROUND(IF(D32="楼面单价",C32,H118*10000/B118),0)</f>
        <v>6879</v>
      </c>
    </row>
    <row r="119" spans="1:27" ht="18.75" customHeight="1">
      <c r="A119" s="3562" t="s">
        <v>1450</v>
      </c>
      <c r="B119" s="3562"/>
      <c r="C119" s="3562"/>
      <c r="D119" s="3568" t="e">
        <f ca="1">NUMBERSTRING(INT(D118*10000),2)&amp;"元整"</f>
        <v>#REF!</v>
      </c>
      <c r="E119" s="3569"/>
      <c r="F119" s="3568" t="e">
        <f ca="1">NUMBERSTRING(INT(F118*10000),2)&amp;"元整"</f>
        <v>#REF!</v>
      </c>
      <c r="G119" s="3569"/>
      <c r="H119" s="3568" t="str">
        <f ca="1">NUMBERSTRING(INT(H118*10000),2)&amp;"元整"</f>
        <v>壹仟肆佰贰拾叁万元整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1450</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1423</v>
      </c>
      <c r="E122" s="3564"/>
      <c r="F122" s="3564"/>
      <c r="G122" s="3564"/>
      <c r="H122" s="3564"/>
      <c r="I122" s="3565"/>
      <c r="AA122" s="725"/>
    </row>
    <row r="123" spans="1:27" ht="18.75" customHeight="1">
      <c r="A123" s="3562" t="s">
        <v>1450</v>
      </c>
      <c r="B123" s="3562"/>
      <c r="C123" s="3562"/>
      <c r="D123" s="3568" t="str">
        <f ca="1">NUMBERSTRING(INT(D122*10000),2)&amp;"元整"</f>
        <v>壹仟肆佰贰拾叁万元整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1450</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抵押净值</v>
      </c>
      <c r="B126" s="3574"/>
      <c r="C126" s="3574"/>
      <c r="D126" s="3563">
        <f ca="1">H111</f>
        <v>1361</v>
      </c>
      <c r="E126" s="3564"/>
      <c r="F126" s="3564"/>
      <c r="G126" s="3564"/>
      <c r="H126" s="3564"/>
      <c r="I126" s="3565"/>
      <c r="AA126" s="725"/>
    </row>
    <row r="127" spans="1:27" ht="18.75" customHeight="1">
      <c r="A127" s="3562" t="s">
        <v>1450</v>
      </c>
      <c r="B127" s="3562"/>
      <c r="C127" s="3562"/>
      <c r="D127" s="3568" t="str">
        <f ca="1">NUMBERSTRING(INT(D126*10000),2)&amp;"元整"</f>
        <v>壹仟叁佰陆拾壹万元整</v>
      </c>
      <c r="E127" s="3570"/>
      <c r="F127" s="3570"/>
      <c r="G127" s="3570"/>
      <c r="H127" s="3570"/>
      <c r="I127" s="3569"/>
      <c r="AA127" s="725"/>
    </row>
    <row r="128" spans="1:27" ht="21.75" customHeight="1">
      <c r="A128" s="3571" t="s">
        <v>1451</v>
      </c>
      <c r="B128" s="3571"/>
      <c r="C128" s="3571"/>
      <c r="D128" s="3571"/>
      <c r="E128" s="3571"/>
      <c r="F128" s="3571"/>
      <c r="G128" s="3571"/>
      <c r="H128" s="3571"/>
      <c r="I128" s="357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1224</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5915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66</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66</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290</v>
      </c>
      <c r="F9" s="221"/>
      <c r="G9" s="1857"/>
      <c r="H9" s="1137"/>
      <c r="I9" s="1858" t="s">
        <v>1477</v>
      </c>
    </row>
    <row r="10" spans="1:9" s="214" customFormat="1" ht="13.5" customHeight="1">
      <c r="A10" s="779" t="s">
        <v>356</v>
      </c>
      <c r="B10" s="224" t="s">
        <v>1478</v>
      </c>
      <c r="C10" s="225">
        <f ca="1">ROUND(D10*E10/10000,0)</f>
        <v>66</v>
      </c>
      <c r="D10" s="845">
        <f ca="1">IF(B1="",'数据-汇总表'!E6,IF(INDIRECT("'数据-取费表'!c"&amp;$G$1)="住宅",INDIRECT("'数据-取费表'!s"&amp;$G$1),INDIRECT("'数据-取费表'!k"&amp;$G$1)+INDIRECT("'数据-取费表'!s"&amp;$G$1)))</f>
        <v>2069.34</v>
      </c>
      <c r="E10" s="225">
        <f>'数据-取费表'!B28</f>
        <v>320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41</v>
      </c>
      <c r="D19" s="849">
        <f ca="1">D9+D10</f>
        <v>2069.34</v>
      </c>
      <c r="E19" s="211">
        <f>'数据-取费表'!B31</f>
        <v>200</v>
      </c>
      <c r="F19" s="231"/>
      <c r="G19" s="1856"/>
    </row>
    <row r="20" spans="1:7" s="214" customFormat="1" ht="13.5" customHeight="1">
      <c r="A20" s="255" t="s">
        <v>1491</v>
      </c>
      <c r="B20" s="210" t="s">
        <v>1492</v>
      </c>
      <c r="C20" s="232">
        <f ca="1">ROUND((C5+C19)*F20,0)</f>
        <v>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5</v>
      </c>
      <c r="D22" s="235">
        <f ca="1">C26</f>
        <v>5.0000000000000001E-4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2</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11</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ROUND((C5+C19+C20)*F27*'数据-取费表'!B21/'数据-取费表'!B20,0)</f>
        <v>11</v>
      </c>
      <c r="D28" s="235"/>
      <c r="E28" s="236"/>
      <c r="F28" s="246"/>
      <c r="G28" s="247"/>
    </row>
    <row r="29" spans="1:7" s="214" customFormat="1" ht="13.5" customHeight="1">
      <c r="A29" s="780" t="s">
        <v>347</v>
      </c>
      <c r="B29" s="248" t="s">
        <v>1515</v>
      </c>
      <c r="C29" s="238">
        <f ca="1">ROUND(C21*F27*'数据-取费表'!B21/'数据-取费表'!B20,4)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135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906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828</v>
      </c>
      <c r="D34" s="217"/>
      <c r="E34" s="220"/>
      <c r="F34" s="257">
        <f ca="1">IF('数据-取费表'!B24=0,1,IF(B1="",'数据-取费表'!N16,INDIRECT("'数据-取费表'!n"&amp;$G$1)))</f>
        <v>1</v>
      </c>
      <c r="G34" s="219" t="s">
        <v>1524</v>
      </c>
    </row>
    <row r="35" spans="1:7" ht="13.5" customHeight="1">
      <c r="A35" s="780" t="s">
        <v>351</v>
      </c>
      <c r="B35" s="215" t="s">
        <v>1525</v>
      </c>
      <c r="C35" s="220">
        <f ca="1">ROUND(C34*F35,0)</f>
        <v>25</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41</v>
      </c>
      <c r="D37" s="217">
        <f ca="1">D19</f>
        <v>2069.34</v>
      </c>
      <c r="E37" s="249">
        <f>'数据-取费表'!B35</f>
        <v>200</v>
      </c>
      <c r="F37" s="259"/>
      <c r="G37" s="261" t="s">
        <v>1530</v>
      </c>
    </row>
    <row r="38" spans="1:7" ht="13.5" customHeight="1">
      <c r="A38" s="780" t="s">
        <v>354</v>
      </c>
      <c r="B38" s="215" t="s">
        <v>1531</v>
      </c>
      <c r="C38" s="220">
        <f ca="1">ROUND(C34*F38,0)</f>
        <v>12</v>
      </c>
      <c r="D38" s="220"/>
      <c r="E38" s="220"/>
      <c r="F38" s="259">
        <f>'数据-取费表'!B36</f>
        <v>1.4999999999999999E-2</v>
      </c>
      <c r="G38" s="219" t="s">
        <v>1526</v>
      </c>
    </row>
    <row r="39" spans="1:7" s="214" customFormat="1" ht="13.5" customHeight="1">
      <c r="A39" s="255" t="s">
        <v>1532</v>
      </c>
      <c r="B39" s="210" t="s">
        <v>1533</v>
      </c>
      <c r="C39" s="232">
        <f ca="1">ROUND(C33*F20,0)</f>
        <v>18</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23</v>
      </c>
      <c r="D41" s="235">
        <f ca="1">C44</f>
        <v>5.0000000000000001E-4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23</v>
      </c>
      <c r="D42" s="238"/>
      <c r="E42" s="238"/>
      <c r="F42" s="239"/>
      <c r="G42" s="3641" t="s">
        <v>1542</v>
      </c>
    </row>
    <row r="43" spans="1:7" ht="13.5" customHeight="1">
      <c r="A43" s="780" t="s">
        <v>347</v>
      </c>
      <c r="B43" s="215" t="s">
        <v>1543</v>
      </c>
      <c r="C43" s="238">
        <f ca="1">ROUND(IF('数据-取费表'!B22&lt;=1,C39*F22*'数据-取费表'!B21/2,C39*(POWER((1+F22),'数据-取费表'!B21/2)-1)),0)</f>
        <v>0</v>
      </c>
      <c r="D43" s="238"/>
      <c r="E43" s="238"/>
      <c r="F43" s="239"/>
      <c r="G43" s="3642"/>
    </row>
    <row r="44" spans="1:7" ht="13.5" customHeight="1">
      <c r="A44" s="780" t="s">
        <v>348</v>
      </c>
      <c r="B44" s="215" t="s">
        <v>1544</v>
      </c>
      <c r="C44" s="238">
        <f ca="1">ROUND(IF('数据-取费表'!B22&lt;=1,C40*F22*'数据-取费表'!B21/2,C40*(POWER((1+F22),'数据-取费表'!B21/2)-1)),4)</f>
        <v>5.0000000000000001E-4</v>
      </c>
      <c r="D44" s="238"/>
      <c r="E44" s="238"/>
      <c r="F44" s="239"/>
      <c r="G44" s="3643"/>
    </row>
    <row r="45" spans="1:7" s="214" customFormat="1" ht="13.5" customHeight="1">
      <c r="A45" s="255" t="s">
        <v>1545</v>
      </c>
      <c r="B45" s="244" t="s">
        <v>1511</v>
      </c>
      <c r="C45" s="245">
        <f ca="1">C46</f>
        <v>92</v>
      </c>
      <c r="D45" s="235">
        <f ca="1">C47</f>
        <v>2E-3</v>
      </c>
      <c r="E45" s="236" t="s">
        <v>1537</v>
      </c>
      <c r="F45" s="246">
        <f ca="1">F27</f>
        <v>0.1</v>
      </c>
      <c r="G45" s="247" t="s">
        <v>1546</v>
      </c>
    </row>
    <row r="46" spans="1:7" s="214" customFormat="1" ht="13.5" customHeight="1">
      <c r="A46" s="780" t="s">
        <v>346</v>
      </c>
      <c r="B46" s="248" t="s">
        <v>1547</v>
      </c>
      <c r="C46" s="249">
        <f ca="1">ROUND((C33+C39)*F27,0)</f>
        <v>92</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1123</v>
      </c>
      <c r="D49" s="232"/>
      <c r="E49" s="232"/>
      <c r="F49" s="264"/>
      <c r="G49" s="234" t="s">
        <v>1552</v>
      </c>
    </row>
    <row r="50" spans="1:7" s="258" customFormat="1" ht="24">
      <c r="A50" s="255" t="s">
        <v>1553</v>
      </c>
      <c r="B50" s="210" t="s">
        <v>1554</v>
      </c>
      <c r="C50" s="232"/>
      <c r="D50" s="232"/>
      <c r="E50" s="232"/>
      <c r="F50" s="264">
        <f>IF('数据-取费表'!B24=0,'数据-取费表'!N16,1)</f>
        <v>0.97</v>
      </c>
      <c r="G50" s="247" t="s">
        <v>1555</v>
      </c>
    </row>
    <row r="51" spans="1:7" ht="16.5" customHeight="1">
      <c r="A51" s="255" t="s">
        <v>1556</v>
      </c>
      <c r="B51" s="210" t="s">
        <v>1557</v>
      </c>
      <c r="C51" s="232">
        <f ca="1">ROUND(C49*F50,0)</f>
        <v>1089</v>
      </c>
      <c r="D51" s="232"/>
      <c r="E51" s="232"/>
      <c r="F51" s="264"/>
      <c r="G51" s="234" t="s">
        <v>1558</v>
      </c>
    </row>
    <row r="52" spans="1:7" s="208" customFormat="1" ht="16.5" thickBot="1">
      <c r="A52" s="265" t="s">
        <v>1559</v>
      </c>
      <c r="B52" s="266"/>
      <c r="C52" s="267">
        <f ca="1">C31+C51</f>
        <v>1224</v>
      </c>
      <c r="D52" s="266"/>
      <c r="E52" s="266"/>
      <c r="F52" s="266"/>
      <c r="G52" s="268"/>
    </row>
    <row r="55" spans="1:7" ht="15">
      <c r="B55" s="270" t="s">
        <v>1560</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天津市西青区张家窝镇安福道10号4-102、103、202房地产抵押价值预评估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t="s">
        <v>3401</v>
      </c>
      <c r="C1" s="1859" t="s">
        <v>1561</v>
      </c>
      <c r="D1" s="198"/>
      <c r="E1" s="198"/>
      <c r="F1" s="198"/>
      <c r="G1" s="1126">
        <f>MATCH(B1,'数据-取费表'!A6:A16,0)+5</f>
        <v>6</v>
      </c>
      <c r="H1" s="1061" t="str">
        <f>IF(ISERROR(FIND("住宅",B1)),"非住宅","住宅")</f>
        <v>非住宅</v>
      </c>
    </row>
    <row r="2" spans="1:8" s="200" customFormat="1" ht="18" customHeight="1">
      <c r="A2" s="201" t="s">
        <v>1460</v>
      </c>
      <c r="B2" s="3420">
        <f ca="1">ROUND(IF(D2="——",C52/10000,C52/10000-E2),4)</f>
        <v>1428.2791999999999</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6902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2653901.56</v>
      </c>
      <c r="D5" s="211" t="s">
        <v>1467</v>
      </c>
      <c r="E5" s="212" t="s">
        <v>1468</v>
      </c>
      <c r="F5" s="212" t="s">
        <v>1469</v>
      </c>
      <c r="G5" s="213"/>
    </row>
    <row r="6" spans="1:8" s="214" customFormat="1" ht="13.5" customHeight="1">
      <c r="A6" s="778" t="s">
        <v>1470</v>
      </c>
      <c r="B6" s="215" t="s">
        <v>1471</v>
      </c>
      <c r="C6" s="216">
        <f ca="1">'土地比较法-工业'!C43*'成本法 (元)'!D10</f>
        <v>1932763.56</v>
      </c>
      <c r="D6" s="217"/>
      <c r="E6" s="218"/>
      <c r="F6" s="218"/>
      <c r="G6" s="219"/>
    </row>
    <row r="7" spans="1:8" s="214" customFormat="1" ht="13.5" customHeight="1">
      <c r="A7" s="778" t="s">
        <v>1472</v>
      </c>
      <c r="B7" s="215" t="s">
        <v>1473</v>
      </c>
      <c r="C7" s="220">
        <f ca="1">ROUND(C6*F7,0)</f>
        <v>58949</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662189</v>
      </c>
      <c r="D8" s="222"/>
      <c r="E8" s="220"/>
      <c r="F8" s="221"/>
      <c r="G8" s="1856" t="s">
        <v>3598</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290</v>
      </c>
      <c r="F9" s="221"/>
      <c r="G9" s="226"/>
    </row>
    <row r="10" spans="1:8" s="214" customFormat="1" ht="13.5" customHeight="1">
      <c r="A10" s="779" t="s">
        <v>356</v>
      </c>
      <c r="B10" s="224" t="s">
        <v>1478</v>
      </c>
      <c r="C10" s="225">
        <f ca="1">ROUND(D10*E10,0)</f>
        <v>662189</v>
      </c>
      <c r="D10" s="845">
        <f ca="1">IF(B1="",'数据-汇总表'!E6,IF(INDIRECT("'数据-取费表'!c"&amp;$G$1)="住宅",INDIRECT("'数据-取费表'!s"&amp;$G$1),INDIRECT("'数据-取费表'!k"&amp;$G$1)+INDIRECT("'数据-取费表'!s"&amp;$G$1)))</f>
        <v>2069.34</v>
      </c>
      <c r="E10" s="225">
        <f>'数据-取费表'!B28</f>
        <v>320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2069.34</v>
      </c>
      <c r="E19" s="211">
        <f>'数据-取费表'!B31</f>
        <v>200</v>
      </c>
      <c r="F19" s="231"/>
      <c r="G19" s="1856" t="s">
        <v>3599</v>
      </c>
    </row>
    <row r="20" spans="1:7" s="214" customFormat="1" ht="13.5" customHeight="1">
      <c r="A20" s="255" t="s">
        <v>1572</v>
      </c>
      <c r="B20" s="210" t="s">
        <v>1573</v>
      </c>
      <c r="C20" s="232">
        <f ca="1">ROUND((C5+C19)*F20,0)</f>
        <v>53078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139885</v>
      </c>
      <c r="D22" s="235">
        <f ca="1">C26</f>
        <v>5.0000000000000001E-4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138517</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1368</v>
      </c>
      <c r="D25" s="238"/>
      <c r="E25" s="241"/>
      <c r="F25" s="239"/>
      <c r="G25" s="242" t="s">
        <v>1586</v>
      </c>
    </row>
    <row r="26" spans="1:7" s="214" customFormat="1">
      <c r="A26" s="780" t="s">
        <v>350</v>
      </c>
      <c r="B26" s="215" t="s">
        <v>1509</v>
      </c>
      <c r="C26" s="238">
        <f ca="1">ROUND(IF('数据-取费表'!B22&lt;=1,F21*F22*'数据-取费表'!B22/2,F21*(POWER((1+F22),'数据-取费表'!B22/2)-1)),4)</f>
        <v>5.0000000000000001E-4</v>
      </c>
      <c r="D26" s="238"/>
      <c r="E26" s="241"/>
      <c r="F26" s="239"/>
      <c r="G26" s="243"/>
    </row>
    <row r="27" spans="1:7" s="214" customFormat="1" ht="24.75">
      <c r="A27" s="255" t="s">
        <v>1510</v>
      </c>
      <c r="B27" s="244" t="s">
        <v>1511</v>
      </c>
      <c r="C27" s="245">
        <f ca="1">C28</f>
        <v>270698</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ROUND((C5+C19+C20)*F27,0)</f>
        <v>270698</v>
      </c>
      <c r="D28" s="235"/>
      <c r="E28" s="236"/>
      <c r="F28" s="246"/>
      <c r="G28" s="247"/>
    </row>
    <row r="29" spans="1:7" s="214" customFormat="1" ht="13.5" customHeight="1">
      <c r="A29" s="780" t="s">
        <v>347</v>
      </c>
      <c r="B29" s="248" t="s">
        <v>1515</v>
      </c>
      <c r="C29" s="238">
        <f ca="1">ROUND(C21*F27,4)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3369974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9063709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8277360</v>
      </c>
      <c r="D34" s="217"/>
      <c r="E34" s="220"/>
      <c r="F34" s="257"/>
      <c r="G34" s="219"/>
    </row>
    <row r="35" spans="1:7" ht="13.5" customHeight="1">
      <c r="A35" s="780" t="s">
        <v>351</v>
      </c>
      <c r="B35" s="215" t="s">
        <v>1525</v>
      </c>
      <c r="C35" s="220">
        <f ca="1">ROUND(C34*F35,0)</f>
        <v>248321</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413868</v>
      </c>
      <c r="D37" s="217">
        <f ca="1">D19</f>
        <v>2069.34</v>
      </c>
      <c r="E37" s="249">
        <f>'数据-取费表'!B35</f>
        <v>200</v>
      </c>
      <c r="F37" s="259"/>
      <c r="G37" s="261"/>
    </row>
    <row r="38" spans="1:7" ht="13.5" customHeight="1">
      <c r="A38" s="780" t="s">
        <v>354</v>
      </c>
      <c r="B38" s="215" t="s">
        <v>1531</v>
      </c>
      <c r="C38" s="220">
        <f ca="1">ROUND(C34*F38,0)</f>
        <v>124160</v>
      </c>
      <c r="D38" s="220"/>
      <c r="E38" s="220"/>
      <c r="F38" s="259">
        <f>'数据-取费表'!B36</f>
        <v>1.4999999999999999E-2</v>
      </c>
      <c r="G38" s="219" t="s">
        <v>1526</v>
      </c>
    </row>
    <row r="39" spans="1:7" s="214" customFormat="1" ht="13.5" customHeight="1">
      <c r="A39" s="255" t="s">
        <v>1532</v>
      </c>
      <c r="B39" s="210" t="s">
        <v>1533</v>
      </c>
      <c r="C39" s="232">
        <f ca="1">ROUND(C33*F20,0)</f>
        <v>181274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238197</v>
      </c>
      <c r="D41" s="235">
        <f ca="1">C44</f>
        <v>5.0000000000000001E-4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233526</v>
      </c>
      <c r="D42" s="238"/>
      <c r="E42" s="238"/>
      <c r="F42" s="239"/>
      <c r="G42" s="3641" t="s">
        <v>1589</v>
      </c>
    </row>
    <row r="43" spans="1:7" ht="13.5" customHeight="1">
      <c r="A43" s="780" t="s">
        <v>347</v>
      </c>
      <c r="B43" s="215" t="s">
        <v>1543</v>
      </c>
      <c r="C43" s="238">
        <f ca="1">ROUND(IF('数据-取费表'!B22&lt;=1,C39*F22*'数据-取费表'!B20/2,C39*(POWER((1+F22),'数据-取费表'!B20/2)-1)),0)</f>
        <v>4671</v>
      </c>
      <c r="D43" s="238"/>
      <c r="E43" s="238"/>
      <c r="F43" s="239"/>
      <c r="G43" s="3642"/>
    </row>
    <row r="44" spans="1:7" ht="13.5" customHeight="1">
      <c r="A44" s="780" t="s">
        <v>348</v>
      </c>
      <c r="B44" s="215" t="s">
        <v>1544</v>
      </c>
      <c r="C44" s="238">
        <f ca="1">ROUND(IF('数据-取费表'!B22&lt;=1,C40*F22*'数据-取费表'!B20/2,C40*(POWER((1+F22),'数据-取费表'!B20/2)-1)),4)</f>
        <v>5.0000000000000001E-4</v>
      </c>
      <c r="D44" s="238"/>
      <c r="E44" s="238"/>
      <c r="F44" s="239"/>
      <c r="G44" s="3643"/>
    </row>
    <row r="45" spans="1:7" s="214" customFormat="1" ht="13.5" customHeight="1">
      <c r="A45" s="255" t="s">
        <v>1545</v>
      </c>
      <c r="B45" s="244" t="s">
        <v>1511</v>
      </c>
      <c r="C45" s="245">
        <f ca="1">C46</f>
        <v>924498</v>
      </c>
      <c r="D45" s="235">
        <f ca="1">C47</f>
        <v>2E-3</v>
      </c>
      <c r="E45" s="236" t="s">
        <v>1537</v>
      </c>
      <c r="F45" s="246">
        <f ca="1">F27</f>
        <v>0.1</v>
      </c>
      <c r="G45" s="247" t="s">
        <v>1546</v>
      </c>
    </row>
    <row r="46" spans="1:7" s="214" customFormat="1" ht="13.5" customHeight="1">
      <c r="A46" s="780" t="s">
        <v>346</v>
      </c>
      <c r="B46" s="248" t="s">
        <v>1547</v>
      </c>
      <c r="C46" s="249">
        <f ca="1">ROUND((C33+C39)*F27,0)</f>
        <v>924498</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11250328</v>
      </c>
      <c r="D49" s="232"/>
      <c r="E49" s="232"/>
      <c r="F49" s="264"/>
      <c r="G49" s="234" t="s">
        <v>1552</v>
      </c>
    </row>
    <row r="50" spans="1:7" s="258" customFormat="1">
      <c r="A50" s="255" t="s">
        <v>1553</v>
      </c>
      <c r="B50" s="210" t="s">
        <v>1554</v>
      </c>
      <c r="C50" s="232"/>
      <c r="D50" s="232"/>
      <c r="E50" s="232"/>
      <c r="F50" s="264">
        <f>IF('数据-取费表'!B24=0,'数据-取费表'!N16,1)</f>
        <v>0.97</v>
      </c>
      <c r="G50" s="247"/>
    </row>
    <row r="51" spans="1:7" ht="16.5" customHeight="1">
      <c r="A51" s="255" t="s">
        <v>1556</v>
      </c>
      <c r="B51" s="210" t="s">
        <v>1591</v>
      </c>
      <c r="C51" s="232">
        <f ca="1">ROUND(C49*F50,0)</f>
        <v>10912818</v>
      </c>
      <c r="D51" s="232"/>
      <c r="E51" s="232"/>
      <c r="F51" s="264"/>
      <c r="G51" s="234" t="s">
        <v>1558</v>
      </c>
    </row>
    <row r="52" spans="1:7" s="208" customFormat="1" ht="16.5" thickBot="1">
      <c r="A52" s="265" t="s">
        <v>1559</v>
      </c>
      <c r="B52" s="266"/>
      <c r="C52" s="267">
        <f ca="1">C31+C51</f>
        <v>14282792</v>
      </c>
      <c r="D52" s="266"/>
      <c r="E52" s="266"/>
      <c r="F52" s="266"/>
      <c r="G52" s="268"/>
    </row>
    <row r="55" spans="1:7" ht="15">
      <c r="B55" s="270" t="s">
        <v>1560</v>
      </c>
      <c r="C55" s="271"/>
    </row>
    <row r="56" spans="1:7">
      <c r="B56" s="273" t="s">
        <v>802</v>
      </c>
      <c r="C56" s="275">
        <f ca="1">1-C57</f>
        <v>0.23599999999999999</v>
      </c>
    </row>
    <row r="57" spans="1:7">
      <c r="B57" s="273" t="s">
        <v>803</v>
      </c>
      <c r="C57" s="274">
        <f ca="1">ROUND(C51/C52,3)</f>
        <v>0.76400000000000001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2"/>
      <c r="F1" s="2802"/>
      <c r="G1" s="2667"/>
      <c r="H1" s="2802"/>
      <c r="I1" s="2802"/>
      <c r="J1" s="2802"/>
      <c r="K1" s="2803">
        <f>MATCH(C1,'数据-取费表'!A6:A16,0)+5</f>
        <v>7</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2069.34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2069.34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290</v>
      </c>
      <c r="F19" s="804"/>
      <c r="G19" s="12"/>
      <c r="H19" s="1189"/>
      <c r="I19" s="809"/>
      <c r="J19" s="809"/>
      <c r="K19" s="810"/>
    </row>
    <row r="20" spans="1:33" s="803" customFormat="1" ht="13.5" customHeight="1">
      <c r="A20" s="800" t="s">
        <v>361</v>
      </c>
      <c r="B20" s="801" t="s">
        <v>1625</v>
      </c>
      <c r="C20" s="21">
        <f ca="1">ROUND(D20*E20/10000,0)</f>
        <v>66</v>
      </c>
      <c r="D20" s="846">
        <f ca="1">IF(C1="",'数据-汇总表'!E6,IF(INDIRECT("'数据-取费表'!c"&amp;$K$1)="住宅",INDIRECT("'数据-取费表'!s"&amp;$K$1),INDIRECT("'数据-取费表'!k"&amp;$K$1)+INDIRECT("'数据-取费表'!s"&amp;$K$1)))</f>
        <v>2069.34</v>
      </c>
      <c r="E20" s="21">
        <f>'数据-取费表'!B28</f>
        <v>320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2106</v>
      </c>
      <c r="E6" s="302" t="s">
        <v>696</v>
      </c>
      <c r="F6" s="303">
        <f ca="1">INDIRECT("'数据-取费表'!u"&amp;$G$1)</f>
        <v>0</v>
      </c>
      <c r="G6" s="1384"/>
      <c r="H6" s="1069" t="s">
        <v>398</v>
      </c>
      <c r="I6" s="3646" t="s">
        <v>694</v>
      </c>
      <c r="J6" s="301">
        <f ca="1">ROUND(M6*M8*M7*(1-M9)/10000,0)</f>
        <v>0</v>
      </c>
      <c r="K6" s="155" t="s">
        <v>2105</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2302</v>
      </c>
      <c r="I31" s="1398"/>
      <c r="J31" s="1399"/>
      <c r="K31" s="2471"/>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5" zoomScale="80" zoomScaleNormal="60" zoomScaleSheetLayoutView="80" workbookViewId="0">
      <selection activeCell="G41" sqref="G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f>F61</f>
        <v>193</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f>ROUND(IF(D3="",B2*10000/'数据-汇总表'!E3,B2*10000/D3),0)</f>
        <v>933</v>
      </c>
      <c r="C3" s="203" t="s">
        <v>1867</v>
      </c>
      <c r="D3" s="1193">
        <f>'数据-汇总表'!E3</f>
        <v>2069.34</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64" t="s">
        <v>1768</v>
      </c>
      <c r="D4" s="3665"/>
      <c r="E4" s="3666" t="s">
        <v>1769</v>
      </c>
      <c r="F4" s="3667"/>
      <c r="G4" s="3664" t="s">
        <v>1770</v>
      </c>
      <c r="H4" s="3665"/>
      <c r="I4" s="3664" t="s">
        <v>1771</v>
      </c>
      <c r="J4" s="3665"/>
      <c r="K4" s="559" t="s">
        <v>1772</v>
      </c>
      <c r="L4" s="2711"/>
      <c r="M4" s="2712"/>
      <c r="N4" s="2712"/>
      <c r="O4" s="2712"/>
      <c r="P4" s="3668" t="s">
        <v>1773</v>
      </c>
      <c r="Q4" s="3669"/>
      <c r="R4" s="3678" t="s">
        <v>1769</v>
      </c>
      <c r="S4" s="3679"/>
      <c r="T4" s="3678" t="s">
        <v>1770</v>
      </c>
      <c r="U4" s="3679"/>
      <c r="V4" s="3656" t="s">
        <v>1771</v>
      </c>
      <c r="W4" s="3656"/>
      <c r="X4" s="1355"/>
      <c r="Y4" s="3678" t="s">
        <v>1773</v>
      </c>
      <c r="Z4" s="3679"/>
      <c r="AA4" s="3661" t="s">
        <v>1769</v>
      </c>
      <c r="AB4" s="3662" t="s">
        <v>1770</v>
      </c>
      <c r="AC4" s="3661" t="s">
        <v>1771</v>
      </c>
    </row>
    <row r="5" spans="1:29" ht="15">
      <c r="A5" s="358"/>
      <c r="B5" s="359"/>
      <c r="C5" s="3682" t="s">
        <v>1671</v>
      </c>
      <c r="D5" s="3683"/>
      <c r="E5" s="3674" t="str">
        <f>土地案例!A2</f>
        <v>西青区中北镇紫光路以西</v>
      </c>
      <c r="F5" s="3675"/>
      <c r="G5" s="3682" t="str">
        <f>土地案例!A3</f>
        <v>西青区大寺镇赛达一大道北侧</v>
      </c>
      <c r="H5" s="3683"/>
      <c r="I5" s="3682" t="str">
        <f>土地案例!A4</f>
        <v>西青区精武镇创源道南侧</v>
      </c>
      <c r="J5" s="3683"/>
      <c r="K5" s="559"/>
      <c r="L5" s="2711"/>
      <c r="M5" s="2712"/>
      <c r="N5" s="2712"/>
      <c r="O5" s="2712"/>
      <c r="P5" s="3670"/>
      <c r="Q5" s="3671"/>
      <c r="R5" s="3680"/>
      <c r="S5" s="3681"/>
      <c r="T5" s="3680"/>
      <c r="U5" s="3681"/>
      <c r="V5" s="3656"/>
      <c r="W5" s="3656"/>
      <c r="X5" s="1355"/>
      <c r="Y5" s="3680"/>
      <c r="Z5" s="3681"/>
      <c r="AA5" s="3662"/>
      <c r="AB5" s="3662"/>
      <c r="AC5" s="3662"/>
    </row>
    <row r="6" spans="1:29" ht="15.75" thickBot="1">
      <c r="A6" s="360"/>
      <c r="B6" s="361"/>
      <c r="C6" s="3684" t="s">
        <v>1917</v>
      </c>
      <c r="D6" s="3685"/>
      <c r="E6" s="3687" t="s">
        <v>1917</v>
      </c>
      <c r="F6" s="3688"/>
      <c r="G6" s="3684" t="s">
        <v>1917</v>
      </c>
      <c r="H6" s="3685"/>
      <c r="I6" s="3684" t="s">
        <v>1917</v>
      </c>
      <c r="J6" s="3685"/>
      <c r="K6" s="559" t="s">
        <v>1676</v>
      </c>
      <c r="L6" s="2711"/>
      <c r="M6" s="2712"/>
      <c r="N6" s="2712"/>
      <c r="O6" s="2712"/>
      <c r="P6" s="3672"/>
      <c r="Q6" s="3673"/>
      <c r="R6" s="3680"/>
      <c r="S6" s="3681"/>
      <c r="T6" s="3689"/>
      <c r="U6" s="3690"/>
      <c r="V6" s="3656"/>
      <c r="W6" s="3656"/>
      <c r="X6" s="1355"/>
      <c r="Y6" s="3689"/>
      <c r="Z6" s="3690"/>
      <c r="AA6" s="3663"/>
      <c r="AB6" s="3663"/>
      <c r="AC6" s="3663"/>
    </row>
    <row r="7" spans="1:29" s="108" customFormat="1" ht="15.75" thickBot="1">
      <c r="A7" s="362" t="s">
        <v>1677</v>
      </c>
      <c r="B7" s="363"/>
      <c r="C7" s="364">
        <f>'数据-取费表'!B2</f>
        <v>45440</v>
      </c>
      <c r="D7" s="365">
        <v>100</v>
      </c>
      <c r="E7" s="366">
        <f>土地案例!AE2</f>
        <v>45398.000497685185</v>
      </c>
      <c r="F7" s="367">
        <f>SUMIF(65:65,YEAR(E7)&amp;"-"&amp;INT((MONTH(E7)+2)/3),66:66)</f>
        <v>100</v>
      </c>
      <c r="G7" s="366">
        <f>土地案例!AE3</f>
        <v>45313.000497685185</v>
      </c>
      <c r="H7" s="365">
        <f>SUMIF(65:65,YEAR(G7)&amp;"-"&amp;INT((MONTH(G7)+2)/3),66:66)</f>
        <v>100</v>
      </c>
      <c r="I7" s="366">
        <f>土地案例!AE4</f>
        <v>45266.000497685185</v>
      </c>
      <c r="J7" s="365">
        <f>SUMIF(65:65,YEAR(I7)&amp;"-"&amp;INT((MONTH(I7)+2)/3),66:66)</f>
        <v>99.5</v>
      </c>
      <c r="K7" s="560"/>
      <c r="L7" s="2713"/>
      <c r="M7" s="2714"/>
      <c r="N7" s="2714"/>
      <c r="O7" s="2714"/>
      <c r="P7" s="3654" t="s">
        <v>1678</v>
      </c>
      <c r="Q7" s="3686"/>
      <c r="R7" s="701" t="s">
        <v>14</v>
      </c>
      <c r="S7" s="702">
        <f t="shared" ref="S7:S15" si="0">F7</f>
        <v>100</v>
      </c>
      <c r="T7" s="701" t="s">
        <v>14</v>
      </c>
      <c r="U7" s="702">
        <f t="shared" ref="U7:U15" si="1">H7</f>
        <v>100</v>
      </c>
      <c r="V7" s="701" t="s">
        <v>14</v>
      </c>
      <c r="W7" s="702">
        <f t="shared" ref="W7:W15" si="2">J7</f>
        <v>99.5</v>
      </c>
      <c r="X7" s="703"/>
      <c r="Y7" s="3654" t="s">
        <v>1678</v>
      </c>
      <c r="Z7" s="3655"/>
      <c r="AA7" s="704">
        <f>D7/F7</f>
        <v>1</v>
      </c>
      <c r="AB7" s="704">
        <f>D7/H7</f>
        <v>1</v>
      </c>
      <c r="AC7" s="704">
        <f>D7/J7</f>
        <v>1.0050251256281406</v>
      </c>
    </row>
    <row r="8" spans="1:29" s="108" customFormat="1" ht="15.75" thickBot="1">
      <c r="A8" s="362" t="s">
        <v>1679</v>
      </c>
      <c r="B8" s="363"/>
      <c r="C8" s="368" t="s">
        <v>1680</v>
      </c>
      <c r="D8" s="365">
        <v>100</v>
      </c>
      <c r="E8" s="368" t="s">
        <v>3596</v>
      </c>
      <c r="F8" s="367">
        <f>SUMIF(68:68,E8,69:69)-SUMIF(68:68,C8,69:69)+100</f>
        <v>100</v>
      </c>
      <c r="G8" s="368" t="s">
        <v>3596</v>
      </c>
      <c r="H8" s="365">
        <f>SUMIF(68:68,G8,69:69)-SUMIF(68:68,C8,69:69)+100</f>
        <v>100</v>
      </c>
      <c r="I8" s="368" t="s">
        <v>3596</v>
      </c>
      <c r="J8" s="365">
        <f>SUMIF(68:68,I8,69:69)-SUMIF(68:68,C8,69:69)+100</f>
        <v>100</v>
      </c>
      <c r="K8" s="560"/>
      <c r="L8" s="2713"/>
      <c r="M8" s="2714"/>
      <c r="N8" s="2714"/>
      <c r="O8" s="2714"/>
      <c r="P8" s="3654" t="s">
        <v>1681</v>
      </c>
      <c r="Q8" s="3655"/>
      <c r="R8" s="701" t="s">
        <v>14</v>
      </c>
      <c r="S8" s="702">
        <f t="shared" si="0"/>
        <v>100</v>
      </c>
      <c r="T8" s="701" t="s">
        <v>14</v>
      </c>
      <c r="U8" s="702">
        <f t="shared" si="1"/>
        <v>100</v>
      </c>
      <c r="V8" s="701" t="s">
        <v>14</v>
      </c>
      <c r="W8" s="702">
        <f t="shared" si="2"/>
        <v>100</v>
      </c>
      <c r="X8" s="703"/>
      <c r="Y8" s="3654" t="s">
        <v>1681</v>
      </c>
      <c r="Z8" s="3655"/>
      <c r="AA8" s="704">
        <f t="shared" ref="AA8:AA40" si="3">D8/F8</f>
        <v>1</v>
      </c>
      <c r="AB8" s="704">
        <f t="shared" ref="AB8:AB40" si="4">D8/H8</f>
        <v>1</v>
      </c>
      <c r="AC8" s="704">
        <f t="shared" ref="AC8:AC40" si="5">D8/J8</f>
        <v>1</v>
      </c>
    </row>
    <row r="9" spans="1:29" s="108" customFormat="1">
      <c r="A9" s="369" t="s">
        <v>1682</v>
      </c>
      <c r="B9" s="63" t="s">
        <v>1683</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3"/>
      <c r="M9" s="2714"/>
      <c r="N9" s="2714"/>
      <c r="O9" s="2768"/>
      <c r="P9" s="3652" t="s">
        <v>1684</v>
      </c>
      <c r="Q9" s="1343" t="str">
        <f t="shared" ref="Q9:Q15" si="6">B9</f>
        <v>用途</v>
      </c>
      <c r="R9" s="701" t="s">
        <v>14</v>
      </c>
      <c r="S9" s="702">
        <f t="shared" si="0"/>
        <v>100</v>
      </c>
      <c r="T9" s="701" t="s">
        <v>14</v>
      </c>
      <c r="U9" s="702">
        <f t="shared" si="1"/>
        <v>100</v>
      </c>
      <c r="V9" s="701" t="s">
        <v>14</v>
      </c>
      <c r="W9" s="702">
        <f t="shared" si="2"/>
        <v>100</v>
      </c>
      <c r="X9" s="703"/>
      <c r="Y9" s="3617" t="s">
        <v>1685</v>
      </c>
      <c r="Z9" s="52" t="str">
        <f t="shared" ref="Z9:Z15" si="7">Q9</f>
        <v>用途</v>
      </c>
      <c r="AA9" s="704">
        <f t="shared" si="3"/>
        <v>1</v>
      </c>
      <c r="AB9" s="704">
        <f t="shared" si="4"/>
        <v>1</v>
      </c>
      <c r="AC9" s="704">
        <f t="shared" si="5"/>
        <v>1</v>
      </c>
    </row>
    <row r="10" spans="1:29" s="378" customFormat="1" ht="55.5">
      <c r="A10" s="374"/>
      <c r="B10" s="375" t="s">
        <v>1686</v>
      </c>
      <c r="C10" s="383">
        <f>'数据-取费表'!F6</f>
        <v>47.41</v>
      </c>
      <c r="D10" s="127">
        <v>100</v>
      </c>
      <c r="E10" s="383">
        <v>50</v>
      </c>
      <c r="F10" s="127">
        <f>ROUND(100/'数据-取费表'!G16,0)</f>
        <v>102</v>
      </c>
      <c r="G10" s="383">
        <v>50</v>
      </c>
      <c r="H10" s="127">
        <f>ROUND(100/'数据-取费表'!G16,0)</f>
        <v>102</v>
      </c>
      <c r="I10" s="383">
        <v>50</v>
      </c>
      <c r="J10" s="127">
        <f>ROUND(100/'数据-取费表'!G16,0)</f>
        <v>102</v>
      </c>
      <c r="K10" s="620"/>
      <c r="L10" s="2715" t="s">
        <v>3619</v>
      </c>
      <c r="M10" s="2716"/>
      <c r="N10" s="2716"/>
      <c r="O10" s="2769"/>
      <c r="P10" s="3652"/>
      <c r="Q10" s="1343" t="str">
        <f t="shared" si="6"/>
        <v>土地使用年限（年）</v>
      </c>
      <c r="R10" s="701" t="s">
        <v>14</v>
      </c>
      <c r="S10" s="702">
        <f t="shared" si="0"/>
        <v>102</v>
      </c>
      <c r="T10" s="701" t="s">
        <v>14</v>
      </c>
      <c r="U10" s="702">
        <f t="shared" si="1"/>
        <v>102</v>
      </c>
      <c r="V10" s="701" t="s">
        <v>14</v>
      </c>
      <c r="W10" s="702">
        <f t="shared" si="2"/>
        <v>102</v>
      </c>
      <c r="X10" s="703"/>
      <c r="Y10" s="3617"/>
      <c r="Z10" s="52" t="str">
        <f t="shared" si="7"/>
        <v>土地使用年限（年）</v>
      </c>
      <c r="AA10" s="704">
        <f t="shared" si="3"/>
        <v>0.98039215686274506</v>
      </c>
      <c r="AB10" s="704">
        <f t="shared" si="4"/>
        <v>0.98039215686274506</v>
      </c>
      <c r="AC10" s="704">
        <f t="shared" si="5"/>
        <v>0.98039215686274506</v>
      </c>
    </row>
    <row r="11" spans="1:29" ht="15.75" thickBot="1">
      <c r="A11" s="379"/>
      <c r="B11" s="375" t="s">
        <v>1687</v>
      </c>
      <c r="C11" s="380">
        <v>1</v>
      </c>
      <c r="D11" s="127">
        <v>100</v>
      </c>
      <c r="E11" s="380">
        <f>土地案例!K2</f>
        <v>2</v>
      </c>
      <c r="F11" s="127">
        <f>LOOKUP(E11,75:75,76:76)-LOOKUP(C11,75:75,76:76)+100</f>
        <v>100</v>
      </c>
      <c r="G11" s="381">
        <f>土地案例!K3</f>
        <v>1</v>
      </c>
      <c r="H11" s="127">
        <f>LOOKUP(G11,75:75,76:76)-LOOKUP(C11,75:75,76:76)+100</f>
        <v>100</v>
      </c>
      <c r="I11" s="380">
        <f>土地案例!K4</f>
        <v>2.5</v>
      </c>
      <c r="J11" s="127">
        <f>LOOKUP(I11,75:75,76:76)-LOOKUP(C11,75:75,76:76)+100</f>
        <v>100</v>
      </c>
      <c r="K11" s="621">
        <v>0</v>
      </c>
      <c r="L11" s="2717"/>
      <c r="M11" s="2712"/>
      <c r="N11" s="2712"/>
      <c r="O11" s="2770"/>
      <c r="P11" s="3652"/>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52"/>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52"/>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52"/>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t="s">
        <v>3608</v>
      </c>
      <c r="F15" s="392">
        <f>SUMIF(83:83,E16,84:84)-SUMIF(83:83,C16,84:84)+100</f>
        <v>100</v>
      </c>
      <c r="G15" s="393" t="s">
        <v>3608</v>
      </c>
      <c r="H15" s="392">
        <f>SUMIF(83:83,G16,84:84)-SUMIF(83:83,C16,84:84)+100</f>
        <v>100</v>
      </c>
      <c r="I15" s="393" t="s">
        <v>3608</v>
      </c>
      <c r="J15" s="392">
        <f>SUMIF(83:83,I16,84:84)-SUMIF(83:83,C16,84:84)+100</f>
        <v>100</v>
      </c>
      <c r="K15" s="621">
        <v>2</v>
      </c>
      <c r="L15" s="2718"/>
      <c r="M15" s="2712"/>
      <c r="N15" s="2712"/>
      <c r="O15" s="2770"/>
      <c r="P15" s="3657" t="s">
        <v>1689</v>
      </c>
      <c r="Q15" s="1352" t="str">
        <f t="shared" si="6"/>
        <v>产业集聚程度</v>
      </c>
      <c r="R15" s="705" t="s">
        <v>14</v>
      </c>
      <c r="S15" s="706">
        <f t="shared" si="0"/>
        <v>100</v>
      </c>
      <c r="T15" s="705" t="s">
        <v>14</v>
      </c>
      <c r="U15" s="706">
        <f t="shared" si="1"/>
        <v>100</v>
      </c>
      <c r="V15" s="705" t="s">
        <v>14</v>
      </c>
      <c r="W15" s="706">
        <f t="shared" si="2"/>
        <v>100</v>
      </c>
      <c r="X15" s="1355"/>
      <c r="Y15" s="3657" t="s">
        <v>1689</v>
      </c>
      <c r="Z15" s="1356" t="str">
        <f t="shared" si="7"/>
        <v>产业集聚程度</v>
      </c>
      <c r="AA15" s="1353">
        <f t="shared" si="3"/>
        <v>1</v>
      </c>
      <c r="AB15" s="1353">
        <f t="shared" si="4"/>
        <v>1</v>
      </c>
      <c r="AC15" s="1353">
        <f t="shared" si="5"/>
        <v>1</v>
      </c>
    </row>
    <row r="16" spans="1:29" ht="15">
      <c r="A16" s="379"/>
      <c r="B16" s="578"/>
      <c r="C16" s="398" t="s">
        <v>3608</v>
      </c>
      <c r="D16" s="399"/>
      <c r="E16" s="1904" t="s">
        <v>3608</v>
      </c>
      <c r="F16" s="399"/>
      <c r="G16" s="1904" t="s">
        <v>3608</v>
      </c>
      <c r="H16" s="401"/>
      <c r="I16" s="1904" t="s">
        <v>3608</v>
      </c>
      <c r="J16" s="399"/>
      <c r="K16" s="620"/>
      <c r="L16" s="2718"/>
      <c r="M16" s="2712"/>
      <c r="N16" s="2712"/>
      <c r="O16" s="2770"/>
      <c r="P16" s="3658"/>
      <c r="Q16" s="1352"/>
      <c r="R16" s="705"/>
      <c r="S16" s="706"/>
      <c r="T16" s="705"/>
      <c r="U16" s="706"/>
      <c r="V16" s="705"/>
      <c r="W16" s="706"/>
      <c r="X16" s="1355"/>
      <c r="Y16" s="3658"/>
      <c r="Z16" s="1356"/>
      <c r="AA16" s="1353">
        <v>1</v>
      </c>
      <c r="AB16" s="1353">
        <v>1</v>
      </c>
      <c r="AC16" s="1353">
        <v>1</v>
      </c>
    </row>
    <row r="17" spans="1:29" ht="15">
      <c r="A17" s="379"/>
      <c r="B17" s="579" t="s">
        <v>1831</v>
      </c>
      <c r="C17" s="1900" t="str">
        <f>估价对象房地状况!G16</f>
        <v>较好</v>
      </c>
      <c r="D17" s="401">
        <v>100</v>
      </c>
      <c r="E17" s="403" t="s">
        <v>3608</v>
      </c>
      <c r="F17" s="406">
        <f>SUMIF(85:85,E18,86:86)-SUMIF(85:85,C18,86:86)+100</f>
        <v>100</v>
      </c>
      <c r="G17" s="403" t="s">
        <v>3608</v>
      </c>
      <c r="H17" s="406">
        <f>SUMIF(85:85,G18,86:86)-SUMIF(85:85,C18,86:86)+100</f>
        <v>100</v>
      </c>
      <c r="I17" s="403" t="s">
        <v>3608</v>
      </c>
      <c r="J17" s="401">
        <f>SUMIF(85:85,I18,86:86)-SUMIF(85:85,C18,86:86)+100</f>
        <v>100</v>
      </c>
      <c r="K17" s="621">
        <v>2</v>
      </c>
      <c r="L17" s="2718"/>
      <c r="M17" s="2712"/>
      <c r="N17" s="2712"/>
      <c r="O17" s="2770"/>
      <c r="P17" s="3658"/>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580"/>
      <c r="C18" s="398" t="s">
        <v>3608</v>
      </c>
      <c r="D18" s="399"/>
      <c r="E18" s="1898" t="s">
        <v>3608</v>
      </c>
      <c r="F18" s="399"/>
      <c r="G18" s="1898" t="s">
        <v>3608</v>
      </c>
      <c r="H18" s="399"/>
      <c r="I18" s="1898" t="s">
        <v>3608</v>
      </c>
      <c r="J18" s="399"/>
      <c r="K18" s="620"/>
      <c r="L18" s="2718"/>
      <c r="M18" s="2712"/>
      <c r="N18" s="2712"/>
      <c r="O18" s="2770"/>
      <c r="P18" s="3658"/>
      <c r="Q18" s="1352"/>
      <c r="R18" s="705"/>
      <c r="S18" s="706"/>
      <c r="T18" s="705"/>
      <c r="U18" s="706"/>
      <c r="V18" s="705"/>
      <c r="W18" s="706"/>
      <c r="X18" s="1355"/>
      <c r="Y18" s="3658"/>
      <c r="Z18" s="1356"/>
      <c r="AA18" s="1353">
        <v>1</v>
      </c>
      <c r="AB18" s="1353">
        <v>1</v>
      </c>
      <c r="AC18" s="1353">
        <v>1</v>
      </c>
    </row>
    <row r="19" spans="1:29" ht="15">
      <c r="A19" s="379"/>
      <c r="B19" s="579" t="s">
        <v>1869</v>
      </c>
      <c r="C19" s="1900">
        <f>估价对象房地状况!G17</f>
        <v>0</v>
      </c>
      <c r="D19" s="401">
        <v>100</v>
      </c>
      <c r="E19" s="403">
        <v>0</v>
      </c>
      <c r="F19" s="406">
        <f>SUMIF(87:87,E20,88:88)-SUMIF(87:87,C20,88:88)+100</f>
        <v>100</v>
      </c>
      <c r="G19" s="403">
        <v>0</v>
      </c>
      <c r="H19" s="406">
        <f>SUMIF(87:87,G20,88:88)-SUMIF(87:87,C20,88:88)+100</f>
        <v>100</v>
      </c>
      <c r="I19" s="403">
        <v>0</v>
      </c>
      <c r="J19" s="406">
        <f>SUMIF(87:87,I20,88:88)-SUMIF(87:87,C20,88:88)+100</f>
        <v>100</v>
      </c>
      <c r="K19" s="621">
        <v>2</v>
      </c>
      <c r="L19" s="2718"/>
      <c r="M19" s="2712"/>
      <c r="N19" s="2712"/>
      <c r="O19" s="2770"/>
      <c r="P19" s="3658"/>
      <c r="Q19" s="1352" t="str">
        <f t="shared" ref="Q19:Q33" si="8">B19</f>
        <v>区域土地利用方向</v>
      </c>
      <c r="R19" s="705" t="s">
        <v>14</v>
      </c>
      <c r="S19" s="706">
        <f>F19</f>
        <v>100</v>
      </c>
      <c r="T19" s="705" t="s">
        <v>14</v>
      </c>
      <c r="U19" s="706">
        <f>H19</f>
        <v>100</v>
      </c>
      <c r="V19" s="705" t="s">
        <v>14</v>
      </c>
      <c r="W19" s="706">
        <f>J19</f>
        <v>100</v>
      </c>
      <c r="X19" s="1355"/>
      <c r="Y19" s="3658"/>
      <c r="Z19" s="1356" t="str">
        <f>Q19</f>
        <v>区域土地利用方向</v>
      </c>
      <c r="AA19" s="1353">
        <f t="shared" si="3"/>
        <v>1</v>
      </c>
      <c r="AB19" s="1353">
        <f t="shared" si="4"/>
        <v>1</v>
      </c>
      <c r="AC19" s="1353">
        <f t="shared" si="5"/>
        <v>1</v>
      </c>
    </row>
    <row r="20" spans="1:29" ht="15">
      <c r="A20" s="358"/>
      <c r="B20" s="580"/>
      <c r="C20" s="398" t="s">
        <v>3608</v>
      </c>
      <c r="D20" s="399"/>
      <c r="E20" s="1898" t="s">
        <v>3608</v>
      </c>
      <c r="F20" s="399"/>
      <c r="G20" s="1898" t="s">
        <v>3608</v>
      </c>
      <c r="H20" s="399"/>
      <c r="I20" s="1898" t="s">
        <v>3608</v>
      </c>
      <c r="J20" s="399"/>
      <c r="K20" s="740"/>
      <c r="L20" s="2718"/>
      <c r="M20" s="2712"/>
      <c r="N20" s="2712"/>
      <c r="O20" s="2770"/>
      <c r="P20" s="3658"/>
      <c r="Q20" s="1352"/>
      <c r="R20" s="705"/>
      <c r="S20" s="706"/>
      <c r="T20" s="705"/>
      <c r="U20" s="706"/>
      <c r="V20" s="705"/>
      <c r="W20" s="706"/>
      <c r="X20" s="1355"/>
      <c r="Y20" s="3658"/>
      <c r="Z20" s="1356"/>
      <c r="AA20" s="1353"/>
      <c r="AB20" s="1353"/>
      <c r="AC20" s="1353"/>
    </row>
    <row r="21" spans="1:29" ht="15">
      <c r="A21" s="358"/>
      <c r="B21" s="579" t="s">
        <v>1919</v>
      </c>
      <c r="C21" s="1900" t="str">
        <f>估价对象房地状况!G18</f>
        <v>较好</v>
      </c>
      <c r="D21" s="401">
        <v>100</v>
      </c>
      <c r="E21" s="403" t="s">
        <v>3608</v>
      </c>
      <c r="F21" s="401">
        <f>SUMIF(89:89,E22,90:90)-SUMIF(89:89,C22,90:90)+100</f>
        <v>100</v>
      </c>
      <c r="G21" s="403" t="s">
        <v>3608</v>
      </c>
      <c r="H21" s="401">
        <f>SUMIF(89:89,G22,90:90)-SUMIF(89:89,C22,90:90)+100</f>
        <v>100</v>
      </c>
      <c r="I21" s="403" t="s">
        <v>3608</v>
      </c>
      <c r="J21" s="401">
        <f>SUMIF(89:89,I22,90:90)-SUMIF(89:89,C22,90:90)+100</f>
        <v>100</v>
      </c>
      <c r="K21" s="621">
        <v>2</v>
      </c>
      <c r="L21" s="2718"/>
      <c r="M21" s="2712"/>
      <c r="N21" s="2712"/>
      <c r="O21" s="2770"/>
      <c r="P21" s="3658"/>
      <c r="Q21" s="1352" t="str">
        <f t="shared" si="8"/>
        <v>环境状况</v>
      </c>
      <c r="R21" s="705" t="s">
        <v>14</v>
      </c>
      <c r="S21" s="706">
        <f>F21</f>
        <v>100</v>
      </c>
      <c r="T21" s="705" t="s">
        <v>14</v>
      </c>
      <c r="U21" s="706">
        <f>H21</f>
        <v>100</v>
      </c>
      <c r="V21" s="705" t="s">
        <v>14</v>
      </c>
      <c r="W21" s="706">
        <f>J21</f>
        <v>100</v>
      </c>
      <c r="X21" s="1355"/>
      <c r="Y21" s="3658"/>
      <c r="Z21" s="1356" t="str">
        <f>Q21</f>
        <v>环境状况</v>
      </c>
      <c r="AA21" s="1353">
        <f t="shared" si="3"/>
        <v>1</v>
      </c>
      <c r="AB21" s="1353">
        <f t="shared" si="4"/>
        <v>1</v>
      </c>
      <c r="AC21" s="1353">
        <f t="shared" si="5"/>
        <v>1</v>
      </c>
    </row>
    <row r="22" spans="1:29" ht="15">
      <c r="A22" s="358"/>
      <c r="B22" s="580"/>
      <c r="C22" s="398" t="s">
        <v>3608</v>
      </c>
      <c r="D22" s="399"/>
      <c r="E22" s="1904" t="s">
        <v>3608</v>
      </c>
      <c r="F22" s="399"/>
      <c r="G22" s="1904" t="s">
        <v>3608</v>
      </c>
      <c r="H22" s="399"/>
      <c r="I22" s="1904" t="s">
        <v>3608</v>
      </c>
      <c r="J22" s="399"/>
      <c r="K22" s="620"/>
      <c r="L22" s="2718"/>
      <c r="M22" s="2712"/>
      <c r="N22" s="2712"/>
      <c r="O22" s="2770"/>
      <c r="P22" s="3658"/>
      <c r="Q22" s="1352"/>
      <c r="R22" s="705"/>
      <c r="S22" s="706"/>
      <c r="T22" s="705"/>
      <c r="U22" s="706"/>
      <c r="V22" s="705"/>
      <c r="W22" s="706"/>
      <c r="X22" s="1355"/>
      <c r="Y22" s="3658"/>
      <c r="Z22" s="1356"/>
      <c r="AA22" s="1353">
        <v>1</v>
      </c>
      <c r="AB22" s="1353">
        <v>1</v>
      </c>
      <c r="AC22" s="1353">
        <v>1</v>
      </c>
    </row>
    <row r="23" spans="1:29" s="108" customFormat="1" ht="15">
      <c r="A23" s="597"/>
      <c r="B23" s="581" t="s">
        <v>1776</v>
      </c>
      <c r="C23" s="1900" t="str">
        <f>估价对象房地状况!G19</f>
        <v>一般</v>
      </c>
      <c r="D23" s="401">
        <v>100</v>
      </c>
      <c r="E23" s="403" t="s">
        <v>3609</v>
      </c>
      <c r="F23" s="401">
        <f>SUMIF(91:91,E24,92:92)-SUMIF(91:91,C24,92:92)+100</f>
        <v>100</v>
      </c>
      <c r="G23" s="403" t="s">
        <v>3609</v>
      </c>
      <c r="H23" s="401">
        <f>SUMIF(91:91,G24,92:92)-SUMIF(91:91,C24,92:92)+100</f>
        <v>100</v>
      </c>
      <c r="I23" s="403" t="s">
        <v>3609</v>
      </c>
      <c r="J23" s="401">
        <f>SUMIF(91:91,I24,92:92)-SUMIF(91:91,C24,92:92)+100</f>
        <v>100</v>
      </c>
      <c r="K23" s="621">
        <v>2</v>
      </c>
      <c r="L23" s="2713"/>
      <c r="M23" s="2714"/>
      <c r="N23" s="2714"/>
      <c r="O23" s="2768"/>
      <c r="P23" s="3658"/>
      <c r="Q23" s="1343" t="str">
        <f t="shared" si="8"/>
        <v>公共配套设施</v>
      </c>
      <c r="R23" s="701" t="s">
        <v>14</v>
      </c>
      <c r="S23" s="702">
        <f>F23</f>
        <v>100</v>
      </c>
      <c r="T23" s="701" t="s">
        <v>14</v>
      </c>
      <c r="U23" s="702">
        <f>H23</f>
        <v>100</v>
      </c>
      <c r="V23" s="701" t="s">
        <v>14</v>
      </c>
      <c r="W23" s="702">
        <f>J23</f>
        <v>100</v>
      </c>
      <c r="X23" s="703"/>
      <c r="Y23" s="3658"/>
      <c r="Z23" s="52" t="str">
        <f>Q23</f>
        <v>公共配套设施</v>
      </c>
      <c r="AA23" s="1353">
        <f>D23/F23</f>
        <v>1</v>
      </c>
      <c r="AB23" s="1353">
        <f>D23/H23</f>
        <v>1</v>
      </c>
      <c r="AC23" s="1353">
        <f>D23/J23</f>
        <v>1</v>
      </c>
    </row>
    <row r="24" spans="1:29" s="108" customFormat="1" ht="15">
      <c r="A24" s="597"/>
      <c r="B24" s="580"/>
      <c r="C24" s="1978" t="s">
        <v>3609</v>
      </c>
      <c r="D24" s="399"/>
      <c r="E24" s="1904" t="s">
        <v>3609</v>
      </c>
      <c r="F24" s="399"/>
      <c r="G24" s="1904" t="s">
        <v>3609</v>
      </c>
      <c r="H24" s="399"/>
      <c r="I24" s="1904" t="s">
        <v>3609</v>
      </c>
      <c r="J24" s="399"/>
      <c r="K24" s="620"/>
      <c r="L24" s="2713"/>
      <c r="M24" s="2714"/>
      <c r="N24" s="2714"/>
      <c r="O24" s="2768"/>
      <c r="P24" s="3658"/>
      <c r="Q24" s="1343"/>
      <c r="R24" s="701"/>
      <c r="S24" s="702"/>
      <c r="T24" s="701"/>
      <c r="U24" s="702"/>
      <c r="V24" s="701"/>
      <c r="W24" s="702"/>
      <c r="X24" s="703"/>
      <c r="Y24" s="3658"/>
      <c r="Z24" s="52"/>
      <c r="AA24" s="704">
        <v>1</v>
      </c>
      <c r="AB24" s="704">
        <v>1</v>
      </c>
      <c r="AC24" s="704">
        <v>1</v>
      </c>
    </row>
    <row r="25" spans="1:29" s="108" customFormat="1" ht="15">
      <c r="A25" s="597"/>
      <c r="B25" s="581" t="s">
        <v>1777</v>
      </c>
      <c r="C25" s="1900" t="str">
        <f>估价对象房地状况!G20</f>
        <v>七通</v>
      </c>
      <c r="D25" s="401">
        <v>100</v>
      </c>
      <c r="E25" s="403" t="s">
        <v>3610</v>
      </c>
      <c r="F25" s="401">
        <f>SUMIF(93:93,E26,94:94)-SUMIF(93:93,C26,94:94)+100</f>
        <v>100</v>
      </c>
      <c r="G25" s="403" t="s">
        <v>3610</v>
      </c>
      <c r="H25" s="401">
        <f>SUMIF(93:93,G26,94:94)-SUMIF(93:93,C26,94:94)+100</f>
        <v>100</v>
      </c>
      <c r="I25" s="403" t="s">
        <v>3610</v>
      </c>
      <c r="J25" s="401">
        <f>SUMIF(93:93,I26,94:94)-SUMIF(93:93,C26,94:94)+100</f>
        <v>100</v>
      </c>
      <c r="K25" s="621">
        <v>1</v>
      </c>
      <c r="L25" s="2713"/>
      <c r="M25" s="2714"/>
      <c r="N25" s="2714"/>
      <c r="O25" s="2768"/>
      <c r="P25" s="3658"/>
      <c r="Q25" s="1343" t="str">
        <f t="shared" ref="Q25" si="9">B25</f>
        <v>基础设施水平</v>
      </c>
      <c r="R25" s="701" t="s">
        <v>14</v>
      </c>
      <c r="S25" s="702">
        <f>F25</f>
        <v>100</v>
      </c>
      <c r="T25" s="701" t="s">
        <v>14</v>
      </c>
      <c r="U25" s="702">
        <f>H25</f>
        <v>100</v>
      </c>
      <c r="V25" s="701" t="s">
        <v>14</v>
      </c>
      <c r="W25" s="702">
        <f>J25</f>
        <v>100</v>
      </c>
      <c r="X25" s="703"/>
      <c r="Y25" s="3658"/>
      <c r="Z25" s="52" t="str">
        <f>Q25</f>
        <v>基础设施水平</v>
      </c>
      <c r="AA25" s="1353">
        <f>D25/F25</f>
        <v>1</v>
      </c>
      <c r="AB25" s="1353">
        <f>D25/H25</f>
        <v>1</v>
      </c>
      <c r="AC25" s="1353">
        <f>D25/J25</f>
        <v>1</v>
      </c>
    </row>
    <row r="26" spans="1:29" s="108" customFormat="1" ht="15.75" thickBot="1">
      <c r="A26" s="597"/>
      <c r="B26" s="580"/>
      <c r="C26" s="1978" t="s">
        <v>3610</v>
      </c>
      <c r="D26" s="399"/>
      <c r="E26" s="1979" t="s">
        <v>3610</v>
      </c>
      <c r="F26" s="399"/>
      <c r="G26" s="1979" t="s">
        <v>3610</v>
      </c>
      <c r="H26" s="399"/>
      <c r="I26" s="1979" t="s">
        <v>3610</v>
      </c>
      <c r="J26" s="399"/>
      <c r="K26" s="620"/>
      <c r="L26" s="2713"/>
      <c r="M26" s="2714"/>
      <c r="N26" s="2714"/>
      <c r="O26" s="2768"/>
      <c r="P26" s="3658"/>
      <c r="Q26" s="1343"/>
      <c r="R26" s="701"/>
      <c r="S26" s="702"/>
      <c r="T26" s="701"/>
      <c r="U26" s="702"/>
      <c r="V26" s="701"/>
      <c r="W26" s="702"/>
      <c r="X26" s="703"/>
      <c r="Y26" s="3658"/>
      <c r="Z26" s="52"/>
      <c r="AA26" s="704">
        <v>1</v>
      </c>
      <c r="AB26" s="704">
        <v>1</v>
      </c>
      <c r="AC26" s="704">
        <v>1</v>
      </c>
    </row>
    <row r="27" spans="1:29" ht="15" hidden="1">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8"/>
      <c r="Z27" s="1356" t="str">
        <f t="shared" ref="Z27:Z40" si="13">Q27</f>
        <v>临街状况</v>
      </c>
      <c r="AA27" s="1353">
        <f t="shared" si="3"/>
        <v>1</v>
      </c>
      <c r="AB27" s="1353">
        <f t="shared" si="4"/>
        <v>1</v>
      </c>
      <c r="AC27" s="1353">
        <f t="shared" si="5"/>
        <v>1</v>
      </c>
    </row>
    <row r="28" spans="1:29" ht="27" hidden="1">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58"/>
      <c r="Q28" s="1352" t="str">
        <f t="shared" si="8"/>
        <v>毗邻道路的类型与等级</v>
      </c>
      <c r="R28" s="705" t="s">
        <v>14</v>
      </c>
      <c r="S28" s="706">
        <f t="shared" si="10"/>
        <v>100</v>
      </c>
      <c r="T28" s="705" t="s">
        <v>14</v>
      </c>
      <c r="U28" s="706">
        <f t="shared" si="11"/>
        <v>100</v>
      </c>
      <c r="V28" s="705" t="s">
        <v>14</v>
      </c>
      <c r="W28" s="706">
        <f t="shared" si="12"/>
        <v>100</v>
      </c>
      <c r="X28" s="1355"/>
      <c r="Y28" s="3658"/>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18"/>
      <c r="M29" s="2712"/>
      <c r="N29" s="2712"/>
      <c r="O29" s="2770"/>
      <c r="P29" s="3658"/>
      <c r="Q29" s="1352"/>
      <c r="R29" s="705"/>
      <c r="S29" s="706"/>
      <c r="T29" s="705"/>
      <c r="U29" s="706"/>
      <c r="V29" s="705"/>
      <c r="W29" s="706"/>
      <c r="X29" s="1355"/>
      <c r="Y29" s="3658"/>
      <c r="Z29" s="1356"/>
      <c r="AA29" s="1353">
        <v>1</v>
      </c>
      <c r="AB29" s="1353">
        <v>1</v>
      </c>
      <c r="AC29" s="1353">
        <v>1</v>
      </c>
    </row>
    <row r="30" spans="1:29" ht="15" hidden="1">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58"/>
      <c r="Q30" s="1352" t="str">
        <f t="shared" si="8"/>
        <v>土地级别</v>
      </c>
      <c r="R30" s="705" t="s">
        <v>14</v>
      </c>
      <c r="S30" s="706">
        <f t="shared" si="10"/>
        <v>100</v>
      </c>
      <c r="T30" s="705" t="s">
        <v>14</v>
      </c>
      <c r="U30" s="706">
        <f t="shared" si="11"/>
        <v>100</v>
      </c>
      <c r="V30" s="705" t="s">
        <v>14</v>
      </c>
      <c r="W30" s="706">
        <f t="shared" si="12"/>
        <v>100</v>
      </c>
      <c r="X30" s="1355"/>
      <c r="Y30" s="3658"/>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58"/>
      <c r="Q31" s="1352">
        <f t="shared" si="8"/>
        <v>111</v>
      </c>
      <c r="R31" s="705" t="s">
        <v>14</v>
      </c>
      <c r="S31" s="706">
        <f t="shared" si="10"/>
        <v>100</v>
      </c>
      <c r="T31" s="705" t="s">
        <v>14</v>
      </c>
      <c r="U31" s="706">
        <f t="shared" si="11"/>
        <v>100</v>
      </c>
      <c r="V31" s="705" t="s">
        <v>14</v>
      </c>
      <c r="W31" s="706">
        <f t="shared" si="12"/>
        <v>100</v>
      </c>
      <c r="X31" s="1355"/>
      <c r="Y31" s="3658"/>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59" t="s">
        <v>1694</v>
      </c>
      <c r="Q32" s="1352">
        <f t="shared" si="8"/>
        <v>111</v>
      </c>
      <c r="R32" s="705" t="s">
        <v>14</v>
      </c>
      <c r="S32" s="706">
        <f t="shared" si="10"/>
        <v>100</v>
      </c>
      <c r="T32" s="705" t="s">
        <v>14</v>
      </c>
      <c r="U32" s="706">
        <f t="shared" si="11"/>
        <v>100</v>
      </c>
      <c r="V32" s="705" t="s">
        <v>14</v>
      </c>
      <c r="W32" s="706">
        <f t="shared" si="12"/>
        <v>100</v>
      </c>
      <c r="X32" s="1355"/>
      <c r="Y32" s="3660" t="s">
        <v>1694</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60"/>
      <c r="Q33" s="1352">
        <f t="shared" si="8"/>
        <v>111</v>
      </c>
      <c r="R33" s="708" t="s">
        <v>14</v>
      </c>
      <c r="S33" s="709">
        <f t="shared" si="10"/>
        <v>100</v>
      </c>
      <c r="T33" s="708" t="s">
        <v>14</v>
      </c>
      <c r="U33" s="709">
        <f t="shared" si="11"/>
        <v>100</v>
      </c>
      <c r="V33" s="708" t="s">
        <v>14</v>
      </c>
      <c r="W33" s="709">
        <f t="shared" si="12"/>
        <v>100</v>
      </c>
      <c r="X33" s="710"/>
      <c r="Y33" s="3660"/>
      <c r="Z33" s="711">
        <f t="shared" si="13"/>
        <v>111</v>
      </c>
      <c r="AA33" s="1353">
        <f t="shared" si="3"/>
        <v>1</v>
      </c>
      <c r="AB33" s="1353">
        <f t="shared" si="4"/>
        <v>1</v>
      </c>
      <c r="AC33" s="1353">
        <f t="shared" si="5"/>
        <v>1</v>
      </c>
    </row>
    <row r="34" spans="1:31" ht="15">
      <c r="A34" s="391" t="s">
        <v>1692</v>
      </c>
      <c r="B34" s="407" t="s">
        <v>1872</v>
      </c>
      <c r="C34" s="627">
        <v>116369.4</v>
      </c>
      <c r="D34" s="418">
        <v>100</v>
      </c>
      <c r="E34" s="627">
        <f>土地案例!I2</f>
        <v>17148.3</v>
      </c>
      <c r="F34" s="418">
        <f>LOOKUP(E34,108:108,109:109)-LOOKUP(C34,108:108,109:109)+100</f>
        <v>96</v>
      </c>
      <c r="G34" s="627">
        <f>土地案例!I3</f>
        <v>20175.599999999999</v>
      </c>
      <c r="H34" s="418">
        <f>LOOKUP(G34,108:108,109:109)-LOOKUP(C34,108:108,109:109)+100</f>
        <v>96</v>
      </c>
      <c r="I34" s="479">
        <f>土地案例!I4</f>
        <v>133333.4</v>
      </c>
      <c r="J34" s="418">
        <f>LOOKUP(I34,108:108,109:109)-LOOKUP(C34,108:108,109:109)+100</f>
        <v>100</v>
      </c>
      <c r="K34" s="562"/>
      <c r="L34" s="2718"/>
      <c r="M34" s="2712"/>
      <c r="N34" s="2712"/>
      <c r="O34" s="2770"/>
      <c r="P34" s="3660"/>
      <c r="Q34" s="1352" t="str">
        <f>B34</f>
        <v>宗地面积</v>
      </c>
      <c r="R34" s="705" t="s">
        <v>14</v>
      </c>
      <c r="S34" s="706">
        <f t="shared" si="10"/>
        <v>96</v>
      </c>
      <c r="T34" s="705" t="s">
        <v>14</v>
      </c>
      <c r="U34" s="706">
        <f t="shared" si="11"/>
        <v>96</v>
      </c>
      <c r="V34" s="705" t="s">
        <v>14</v>
      </c>
      <c r="W34" s="706">
        <f t="shared" si="12"/>
        <v>100</v>
      </c>
      <c r="X34" s="1355"/>
      <c r="Y34" s="3660"/>
      <c r="Z34" s="1356" t="str">
        <f t="shared" si="13"/>
        <v>宗地面积</v>
      </c>
      <c r="AA34" s="1353">
        <f t="shared" si="3"/>
        <v>1.0416666666666667</v>
      </c>
      <c r="AB34" s="1353">
        <f t="shared" si="4"/>
        <v>1.0416666666666667</v>
      </c>
      <c r="AC34" s="1353">
        <f t="shared" si="5"/>
        <v>1</v>
      </c>
    </row>
    <row r="35" spans="1:31" ht="15">
      <c r="A35" s="423"/>
      <c r="B35" s="375" t="s">
        <v>1873</v>
      </c>
      <c r="C35" s="1906" t="s">
        <v>3614</v>
      </c>
      <c r="D35" s="386">
        <v>100</v>
      </c>
      <c r="E35" s="1906" t="s">
        <v>3614</v>
      </c>
      <c r="F35" s="386">
        <f>SUMIF(110:110,E35,111:111)-SUMIF(110:110,C35,111:111)+100</f>
        <v>100</v>
      </c>
      <c r="G35" s="1906" t="s">
        <v>3614</v>
      </c>
      <c r="H35" s="386">
        <f>SUMIF(110:110,G35,111:111)-SUMIF(110:110,C35,111:111)+100</f>
        <v>100</v>
      </c>
      <c r="I35" s="1906" t="s">
        <v>3614</v>
      </c>
      <c r="J35" s="386">
        <f>SUMIF(110:110,I35,111:111)-SUMIF(110:110,C35,111:111)+100</f>
        <v>100</v>
      </c>
      <c r="K35" s="561">
        <v>2</v>
      </c>
      <c r="L35" s="2718"/>
      <c r="M35" s="2712"/>
      <c r="N35" s="2712"/>
      <c r="O35" s="2770"/>
      <c r="P35" s="3660"/>
      <c r="Q35" s="1352" t="str">
        <f t="shared" ref="Q35:Q40" si="14">B35</f>
        <v>宗地形状</v>
      </c>
      <c r="R35" s="705" t="s">
        <v>14</v>
      </c>
      <c r="S35" s="706">
        <f t="shared" si="10"/>
        <v>100</v>
      </c>
      <c r="T35" s="705" t="s">
        <v>14</v>
      </c>
      <c r="U35" s="706">
        <f t="shared" si="11"/>
        <v>100</v>
      </c>
      <c r="V35" s="705" t="s">
        <v>14</v>
      </c>
      <c r="W35" s="706">
        <f t="shared" si="12"/>
        <v>100</v>
      </c>
      <c r="X35" s="1355"/>
      <c r="Y35" s="3660"/>
      <c r="Z35" s="1356" t="str">
        <f t="shared" si="13"/>
        <v>宗地形状</v>
      </c>
      <c r="AA35" s="1353">
        <f t="shared" si="3"/>
        <v>1</v>
      </c>
      <c r="AB35" s="1353">
        <f t="shared" si="4"/>
        <v>1</v>
      </c>
      <c r="AC35" s="1353">
        <f t="shared" si="5"/>
        <v>1</v>
      </c>
    </row>
    <row r="36" spans="1:31" s="108" customFormat="1" ht="15">
      <c r="A36" s="424"/>
      <c r="B36" s="375" t="s">
        <v>1875</v>
      </c>
      <c r="C36" s="1980" t="s">
        <v>3618</v>
      </c>
      <c r="D36" s="127">
        <v>100</v>
      </c>
      <c r="E36" s="1980" t="s">
        <v>3618</v>
      </c>
      <c r="F36" s="386">
        <f>SUMIF(112:112,E36,113:113)-SUMIF(112:112,C36,113:113)+100</f>
        <v>100</v>
      </c>
      <c r="G36" s="1980" t="s">
        <v>3618</v>
      </c>
      <c r="H36" s="386">
        <f>SUMIF(112:112,G36,113:113)-SUMIF(112:112,C36,113:113)+100</f>
        <v>100</v>
      </c>
      <c r="I36" s="1980" t="s">
        <v>3618</v>
      </c>
      <c r="J36" s="386">
        <f>SUMIF(112:112,I36,113:113)-SUMIF(112:112,C36,113:113)+100</f>
        <v>100</v>
      </c>
      <c r="K36" s="561">
        <v>1</v>
      </c>
      <c r="L36" s="2713"/>
      <c r="M36" s="2714"/>
      <c r="N36" s="2714"/>
      <c r="O36" s="2768"/>
      <c r="P36" s="3660"/>
      <c r="Q36" s="1352" t="str">
        <f t="shared" si="14"/>
        <v>宗地开发程度</v>
      </c>
      <c r="R36" s="701" t="s">
        <v>14</v>
      </c>
      <c r="S36" s="702">
        <f t="shared" si="10"/>
        <v>100</v>
      </c>
      <c r="T36" s="701" t="s">
        <v>14</v>
      </c>
      <c r="U36" s="702">
        <f t="shared" si="11"/>
        <v>100</v>
      </c>
      <c r="V36" s="701" t="s">
        <v>14</v>
      </c>
      <c r="W36" s="702">
        <f t="shared" si="12"/>
        <v>100</v>
      </c>
      <c r="X36" s="703"/>
      <c r="Y36" s="3660"/>
      <c r="Z36" s="52" t="str">
        <f t="shared" si="13"/>
        <v>宗地开发程度</v>
      </c>
      <c r="AA36" s="704">
        <f t="shared" si="3"/>
        <v>1</v>
      </c>
      <c r="AB36" s="704">
        <f t="shared" si="4"/>
        <v>1</v>
      </c>
      <c r="AC36" s="704">
        <f t="shared" si="5"/>
        <v>1</v>
      </c>
    </row>
    <row r="37" spans="1:31" ht="15.75" thickBot="1">
      <c r="A37" s="423"/>
      <c r="B37" s="375" t="s">
        <v>1876</v>
      </c>
      <c r="C37" s="1906" t="s">
        <v>3608</v>
      </c>
      <c r="D37" s="386">
        <v>100</v>
      </c>
      <c r="E37" s="1906" t="s">
        <v>3608</v>
      </c>
      <c r="F37" s="386">
        <f>SUMIF(114:114,E37,115:115)-SUMIF(114:114,C37,115:115)+100</f>
        <v>100</v>
      </c>
      <c r="G37" s="1906" t="s">
        <v>3608</v>
      </c>
      <c r="H37" s="386">
        <f>SUMIF(114:114,G37,115:115)-SUMIF(114:114,C37,115:115)+100</f>
        <v>100</v>
      </c>
      <c r="I37" s="1906" t="s">
        <v>3608</v>
      </c>
      <c r="J37" s="386">
        <f>SUMIF(114:114,I37,115:115)-SUMIF(114:114,C37,115:115)+100</f>
        <v>100</v>
      </c>
      <c r="K37" s="561">
        <v>2</v>
      </c>
      <c r="L37" s="2718"/>
      <c r="M37" s="2712"/>
      <c r="N37" s="2712"/>
      <c r="O37" s="2770"/>
      <c r="P37" s="3660" t="s">
        <v>1694</v>
      </c>
      <c r="Q37" s="1352" t="str">
        <f t="shared" si="14"/>
        <v>工程地质条件</v>
      </c>
      <c r="R37" s="705" t="s">
        <v>14</v>
      </c>
      <c r="S37" s="706">
        <f t="shared" si="10"/>
        <v>100</v>
      </c>
      <c r="T37" s="705" t="s">
        <v>14</v>
      </c>
      <c r="U37" s="706">
        <f t="shared" si="11"/>
        <v>100</v>
      </c>
      <c r="V37" s="705" t="s">
        <v>14</v>
      </c>
      <c r="W37" s="706">
        <f t="shared" si="12"/>
        <v>100</v>
      </c>
      <c r="X37" s="1355"/>
      <c r="Y37" s="3660" t="s">
        <v>1694</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60"/>
      <c r="Q38" s="1352">
        <f t="shared" si="14"/>
        <v>111</v>
      </c>
      <c r="R38" s="705" t="s">
        <v>14</v>
      </c>
      <c r="S38" s="706">
        <f t="shared" si="10"/>
        <v>100</v>
      </c>
      <c r="T38" s="705" t="s">
        <v>14</v>
      </c>
      <c r="U38" s="706">
        <f t="shared" si="11"/>
        <v>100</v>
      </c>
      <c r="V38" s="705" t="s">
        <v>14</v>
      </c>
      <c r="W38" s="706">
        <f t="shared" si="12"/>
        <v>100</v>
      </c>
      <c r="X38" s="1355"/>
      <c r="Y38" s="3660"/>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60"/>
      <c r="Q39" s="1352">
        <f t="shared" si="14"/>
        <v>111</v>
      </c>
      <c r="R39" s="705" t="s">
        <v>14</v>
      </c>
      <c r="S39" s="706">
        <f t="shared" si="10"/>
        <v>100</v>
      </c>
      <c r="T39" s="705" t="s">
        <v>14</v>
      </c>
      <c r="U39" s="706">
        <f t="shared" si="11"/>
        <v>100</v>
      </c>
      <c r="V39" s="705" t="s">
        <v>14</v>
      </c>
      <c r="W39" s="706">
        <f t="shared" si="12"/>
        <v>100</v>
      </c>
      <c r="X39" s="1355"/>
      <c r="Y39" s="3660"/>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60"/>
      <c r="Q40" s="1352">
        <f t="shared" si="14"/>
        <v>111</v>
      </c>
      <c r="R40" s="708" t="s">
        <v>14</v>
      </c>
      <c r="S40" s="709">
        <f t="shared" si="10"/>
        <v>100</v>
      </c>
      <c r="T40" s="708" t="s">
        <v>14</v>
      </c>
      <c r="U40" s="709">
        <f t="shared" si="11"/>
        <v>100</v>
      </c>
      <c r="V40" s="708" t="s">
        <v>14</v>
      </c>
      <c r="W40" s="709">
        <f t="shared" si="12"/>
        <v>100</v>
      </c>
      <c r="X40" s="710"/>
      <c r="Y40" s="3660"/>
      <c r="Z40" s="711">
        <f t="shared" si="13"/>
        <v>111</v>
      </c>
      <c r="AA40" s="1353">
        <f t="shared" si="3"/>
        <v>1</v>
      </c>
      <c r="AB40" s="1353">
        <f t="shared" si="4"/>
        <v>1</v>
      </c>
      <c r="AC40" s="1353">
        <f t="shared" si="5"/>
        <v>1</v>
      </c>
    </row>
    <row r="41" spans="1:31" ht="15">
      <c r="A41" s="430" t="s">
        <v>1842</v>
      </c>
      <c r="B41" s="1982" t="s">
        <v>3597</v>
      </c>
      <c r="C41" s="630" t="s">
        <v>0</v>
      </c>
      <c r="D41" s="432"/>
      <c r="E41" s="433">
        <f>ROUND(土地案例!AQ2,0)</f>
        <v>897</v>
      </c>
      <c r="F41" s="434"/>
      <c r="G41" s="433">
        <f>ROUND(土地案例!AQ3,0)</f>
        <v>907</v>
      </c>
      <c r="H41" s="436"/>
      <c r="I41" s="433">
        <f>ROUND(土地案例!AQ4,0)</f>
        <v>975</v>
      </c>
      <c r="J41" s="436"/>
      <c r="K41" s="714"/>
      <c r="L41" s="2720"/>
      <c r="M41" s="2712"/>
      <c r="N41" s="2712"/>
      <c r="O41" s="2721"/>
      <c r="P41" s="3652" t="str">
        <f>A41</f>
        <v>成交单价</v>
      </c>
      <c r="Q41" s="3652"/>
      <c r="R41" s="3656">
        <f>E41</f>
        <v>897</v>
      </c>
      <c r="S41" s="3656"/>
      <c r="T41" s="3656">
        <f>G41</f>
        <v>907</v>
      </c>
      <c r="U41" s="3656"/>
      <c r="V41" s="3656">
        <f>I41</f>
        <v>975</v>
      </c>
      <c r="W41" s="3656"/>
      <c r="X41" s="690"/>
      <c r="Y41" s="712"/>
      <c r="Z41" s="690"/>
      <c r="AA41" s="690"/>
      <c r="AB41" s="690"/>
      <c r="AC41" s="690"/>
    </row>
    <row r="42" spans="1:31" ht="15.75" thickBot="1">
      <c r="A42" s="437" t="s">
        <v>1791</v>
      </c>
      <c r="B42" s="631"/>
      <c r="C42" s="440">
        <f>R43</f>
        <v>934</v>
      </c>
      <c r="D42" s="2317" t="s">
        <v>2135</v>
      </c>
      <c r="E42" s="440">
        <f>R42</f>
        <v>916</v>
      </c>
      <c r="F42" s="2318"/>
      <c r="G42" s="439">
        <f>T42</f>
        <v>926</v>
      </c>
      <c r="H42" s="2318"/>
      <c r="I42" s="440">
        <f>V42</f>
        <v>961</v>
      </c>
      <c r="J42" s="2318"/>
      <c r="K42" s="2320">
        <f>F42+H42+J42</f>
        <v>0</v>
      </c>
      <c r="L42" s="2720"/>
      <c r="M42" s="2712"/>
      <c r="N42" s="2712"/>
      <c r="O42" s="2721"/>
      <c r="P42" s="3652" t="str">
        <f>A42</f>
        <v>比较价值（元/平方米）</v>
      </c>
      <c r="Q42" s="3652"/>
      <c r="R42" s="3653">
        <f>ROUND(PRODUCT(R41,AA7:AA40),0)</f>
        <v>916</v>
      </c>
      <c r="S42" s="3653"/>
      <c r="T42" s="3653">
        <f>ROUND(PRODUCT(T41,AB7:AB40),0)</f>
        <v>926</v>
      </c>
      <c r="U42" s="3653"/>
      <c r="V42" s="3653">
        <f>ROUND(PRODUCT(V41,AC7:AC40),0)</f>
        <v>961</v>
      </c>
      <c r="W42" s="3653"/>
      <c r="X42" s="690"/>
      <c r="Y42" s="690"/>
      <c r="Z42" s="690"/>
      <c r="AA42" s="690"/>
      <c r="AB42" s="690"/>
      <c r="AC42" s="690"/>
    </row>
    <row r="43" spans="1:31" ht="15.75" thickBot="1">
      <c r="A43" s="441" t="s">
        <v>1792</v>
      </c>
      <c r="B43" s="442"/>
      <c r="C43" s="443">
        <f>R43</f>
        <v>934</v>
      </c>
      <c r="D43" s="443"/>
      <c r="E43" s="443"/>
      <c r="F43" s="443"/>
      <c r="G43" s="443"/>
      <c r="H43" s="443"/>
      <c r="I43" s="443"/>
      <c r="J43" s="443"/>
      <c r="K43" s="715"/>
      <c r="L43" s="2720"/>
      <c r="M43" s="2712"/>
      <c r="N43" s="2712"/>
      <c r="O43" s="2721"/>
      <c r="P43" s="3649" t="str">
        <f>A43</f>
        <v>估价对象XX用房的比较价值（楼面单价，元/平方米）</v>
      </c>
      <c r="Q43" s="3650"/>
      <c r="R43" s="3651">
        <f>ROUND(IF(D42="简单平均",AVERAGE(R42:W42),R42*F42+T42*H42+V42*J42),0)</f>
        <v>934</v>
      </c>
      <c r="S43" s="3651"/>
      <c r="T43" s="3651"/>
      <c r="U43" s="3651"/>
      <c r="V43" s="3651"/>
      <c r="W43" s="3651"/>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f>IF(E41&lt;E42,E42/E41-1,E41/E42-1)</f>
        <v>2.1181716833890807E-2</v>
      </c>
      <c r="F46" s="449" t="str">
        <f>IF(OR(E46&gt;=0.3,E46&lt;=-0.3),"超过30%","")</f>
        <v/>
      </c>
      <c r="G46" s="448">
        <f>IF(G41&lt;G42,G42/G41-1,G41/G42-1)</f>
        <v>2.094818081587646E-2</v>
      </c>
      <c r="H46" s="449" t="str">
        <f>IF(OR(G46&gt;=0.3,G46&lt;=-0.3),"超过30%","")</f>
        <v/>
      </c>
      <c r="I46" s="448">
        <f>IF(I41&lt;I42,I42/I41-1,I41/I42-1)</f>
        <v>1.4568158168574374E-2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f>IF(E42&lt;G42,G42/E42-1,E42/G42-1)</f>
        <v>1.0917030567685559E-2</v>
      </c>
      <c r="F47" s="449" t="str">
        <f>IF(OR(E47&gt;=0.2,E47&lt;=-0.2),"超过20%","")</f>
        <v/>
      </c>
      <c r="G47" s="448">
        <f>IF(G42&lt;I42,I42/G42-1,G42/I42-1)</f>
        <v>3.7796976241900593E-2</v>
      </c>
      <c r="H47" s="449" t="str">
        <f>IF(OR(G47&gt;=0.2,G47&lt;=-0.2),"超过20%","")</f>
        <v/>
      </c>
      <c r="I47" s="448">
        <f>IF(I42&lt;E42,E42/I42-1,I42/E42-1)</f>
        <v>4.9126637554585129E-2</v>
      </c>
      <c r="J47" s="449" t="str">
        <f>IF(OR(I47&gt;=0.2,I47&lt;=-0.2),"超过20%","")</f>
        <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f>IF(E41&lt;G41,G41/E41-1,E41/G41-1)</f>
        <v>1.1148272017837302E-2</v>
      </c>
      <c r="F48" s="449" t="str">
        <f>IF(OR(E48&gt;=0.3,E48&lt;=-0.3),"超过30%","")</f>
        <v/>
      </c>
      <c r="G48" s="448">
        <f>IF(G41&lt;I41,I41/G41-1,G41/I41-1)</f>
        <v>7.4972436604189729E-2</v>
      </c>
      <c r="H48" s="449" t="str">
        <f>IF(OR(G48&gt;=0.3,G48&lt;=-0.3),"超过30%","")</f>
        <v/>
      </c>
      <c r="I48" s="448">
        <f>IF(I41&lt;E41,E41/I41-1,I41/E41-1)</f>
        <v>8.6956521739130377E-2</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1879</v>
      </c>
      <c r="B50" s="633" t="s">
        <v>1880</v>
      </c>
      <c r="C50" s="1983" t="s">
        <v>1881</v>
      </c>
      <c r="D50" s="1984" t="s">
        <v>1882</v>
      </c>
      <c r="E50" s="634" t="s">
        <v>1883</v>
      </c>
      <c r="F50" s="635" t="s">
        <v>1884</v>
      </c>
      <c r="G50" s="3664" t="s">
        <v>1885</v>
      </c>
      <c r="H50" s="3676"/>
      <c r="I50" s="1356" t="s">
        <v>1920</v>
      </c>
      <c r="J50" s="1356" t="str">
        <f>项目基本情况!F35</f>
        <v>天津市</v>
      </c>
      <c r="K50" s="1986"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1888</v>
      </c>
      <c r="B51" s="637">
        <f>C43</f>
        <v>934</v>
      </c>
      <c r="C51" s="638">
        <v>1</v>
      </c>
      <c r="D51" s="944">
        <v>1</v>
      </c>
      <c r="E51" s="638">
        <f>'数据-汇总表'!E8+'数据-汇总表'!E9</f>
        <v>2069.34</v>
      </c>
      <c r="F51" s="639">
        <f t="shared" ref="F51:F60" si="15">ROUND(B51*E51/10000,0)</f>
        <v>193</v>
      </c>
      <c r="G51" s="3677"/>
      <c r="H51" s="3652"/>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1889</v>
      </c>
      <c r="B52" s="218">
        <f>ROUND($C$43*C52*D52,0)</f>
        <v>0</v>
      </c>
      <c r="C52" s="171">
        <f t="shared" ref="C52:C60" si="16">IF($C$50="北京市系数",I52,J52)</f>
        <v>0</v>
      </c>
      <c r="D52" s="945">
        <v>0.25</v>
      </c>
      <c r="E52" s="642"/>
      <c r="F52" s="639">
        <f t="shared" si="15"/>
        <v>0</v>
      </c>
      <c r="G52" s="3002" t="s">
        <v>1890</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1891</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1892</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1893</v>
      </c>
      <c r="B56" s="218">
        <f t="shared" si="17"/>
        <v>0</v>
      </c>
      <c r="C56" s="171">
        <f t="shared" si="16"/>
        <v>0</v>
      </c>
      <c r="D56" s="945">
        <v>0.25</v>
      </c>
      <c r="E56" s="217">
        <f>'数据-汇总表'!E11</f>
        <v>0</v>
      </c>
      <c r="F56" s="639">
        <f t="shared" si="15"/>
        <v>0</v>
      </c>
      <c r="G56" s="1987" t="s">
        <v>1894</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1895</v>
      </c>
      <c r="B57" s="218">
        <f t="shared" si="17"/>
        <v>0</v>
      </c>
      <c r="C57" s="171">
        <f t="shared" si="16"/>
        <v>0</v>
      </c>
      <c r="D57" s="945">
        <v>0.25</v>
      </c>
      <c r="E57" s="217">
        <f>'数据-汇总表'!E12</f>
        <v>0</v>
      </c>
      <c r="F57" s="639">
        <f t="shared" si="15"/>
        <v>0</v>
      </c>
      <c r="G57" s="892" t="s">
        <v>1896</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1897</v>
      </c>
      <c r="B58" s="218">
        <f t="shared" si="17"/>
        <v>0</v>
      </c>
      <c r="C58" s="171">
        <f t="shared" si="16"/>
        <v>0</v>
      </c>
      <c r="D58" s="945">
        <v>0.25</v>
      </c>
      <c r="E58" s="217">
        <f>'数据-汇总表'!E13</f>
        <v>0</v>
      </c>
      <c r="F58" s="639">
        <f t="shared" si="15"/>
        <v>0</v>
      </c>
      <c r="G58" s="892" t="s">
        <v>1898</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1899</v>
      </c>
      <c r="B59" s="218">
        <f t="shared" si="17"/>
        <v>0</v>
      </c>
      <c r="C59" s="171">
        <f t="shared" si="16"/>
        <v>0</v>
      </c>
      <c r="D59" s="945">
        <v>0.25</v>
      </c>
      <c r="E59" s="217">
        <f>'数据-汇总表'!E14</f>
        <v>0</v>
      </c>
      <c r="F59" s="639">
        <f t="shared" si="15"/>
        <v>0</v>
      </c>
      <c r="G59" s="1987" t="s">
        <v>1890</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1900</v>
      </c>
      <c r="B60" s="218">
        <f t="shared" si="17"/>
        <v>0</v>
      </c>
      <c r="C60" s="171">
        <f t="shared" si="16"/>
        <v>0</v>
      </c>
      <c r="D60" s="945">
        <v>0.25</v>
      </c>
      <c r="E60" s="217">
        <f>'数据-汇总表'!E15</f>
        <v>0</v>
      </c>
      <c r="F60" s="639">
        <f t="shared" si="15"/>
        <v>0</v>
      </c>
      <c r="G60" s="1988" t="s">
        <v>1894</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1901</v>
      </c>
      <c r="B61" s="644" t="s">
        <v>22</v>
      </c>
      <c r="C61" s="644" t="s">
        <v>23</v>
      </c>
      <c r="D61" s="644" t="s">
        <v>392</v>
      </c>
      <c r="E61" s="644">
        <f>IF(B41="楼面地价",SUM(E51:E60),'数据-汇总表'!D3)</f>
        <v>2069.34</v>
      </c>
      <c r="F61" s="645">
        <f>IF(B41="楼面地价",SUM(F51:F60),ROUND(C43*E61/10000,0))</f>
        <v>193</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1796</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1921</v>
      </c>
      <c r="B66" s="288" t="str">
        <f>"北京市平均增长率"&amp;TEXT(基准地价修正!P28,"0.00%")</f>
        <v>北京市平均增长率0.00%</v>
      </c>
      <c r="C66" s="552">
        <v>100</v>
      </c>
      <c r="D66" s="544">
        <v>100</v>
      </c>
      <c r="E66" s="544">
        <f>D66-0.5</f>
        <v>99.5</v>
      </c>
      <c r="F66" s="544">
        <f>E66</f>
        <v>99.5</v>
      </c>
      <c r="G66" s="544">
        <f>F66</f>
        <v>99.5</v>
      </c>
      <c r="H66" s="544">
        <f>G66</f>
        <v>99.5</v>
      </c>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3454" t="s">
        <v>3607</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1922</v>
      </c>
      <c r="C93" s="608" t="s">
        <v>1797</v>
      </c>
      <c r="D93" s="608" t="s">
        <v>1798</v>
      </c>
      <c r="E93" s="608" t="s">
        <v>1799</v>
      </c>
      <c r="F93" s="608" t="s">
        <v>1800</v>
      </c>
      <c r="G93" s="608"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1692</v>
      </c>
      <c r="B107" s="477" t="s">
        <v>1911</v>
      </c>
      <c r="C107" s="478" t="str">
        <f t="shared" ref="C107:L107" si="25">C108&amp;"(含)"&amp;"-"&amp;D108</f>
        <v>0(含)-50000</v>
      </c>
      <c r="D107" s="478" t="str">
        <f t="shared" si="25"/>
        <v>50000(含)-100000</v>
      </c>
      <c r="E107" s="478" t="str">
        <f t="shared" si="25"/>
        <v>100000(含)-150000</v>
      </c>
      <c r="F107" s="478" t="str">
        <f t="shared" si="25"/>
        <v>150000(含)-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50000</v>
      </c>
      <c r="E108" s="544">
        <v>100000</v>
      </c>
      <c r="F108" s="544">
        <v>150000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102</v>
      </c>
      <c r="E109" s="540">
        <f>D109+2</f>
        <v>104</v>
      </c>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3455" t="s">
        <v>3613</v>
      </c>
      <c r="D110" s="3455" t="s">
        <v>3615</v>
      </c>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t="str">
        <f>C93</f>
        <v>七通</v>
      </c>
      <c r="D112" s="503" t="str">
        <f>D93</f>
        <v>六通</v>
      </c>
      <c r="E112" s="503" t="str">
        <f>E93</f>
        <v>五通</v>
      </c>
      <c r="F112" s="503" t="str">
        <f>F93</f>
        <v>四通</v>
      </c>
      <c r="G112" s="503" t="str">
        <f>G93</f>
        <v>三通</v>
      </c>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3456" t="s">
        <v>3616</v>
      </c>
      <c r="D114" s="3456" t="s">
        <v>3617</v>
      </c>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1" priority="18" stopIfTrue="1" operator="containsText" text="超过">
      <formula>NOT(ISERROR(SEARCH("超过",F46)))</formula>
    </cfRule>
  </conditionalFormatting>
  <conditionalFormatting sqref="J48">
    <cfRule type="containsText" dxfId="160" priority="17" stopIfTrue="1" operator="containsText" text="超过">
      <formula>NOT(ISERROR(SEARCH("超过",J48)))</formula>
    </cfRule>
  </conditionalFormatting>
  <conditionalFormatting sqref="H48">
    <cfRule type="containsText" dxfId="159" priority="16" stopIfTrue="1" operator="containsText" text="超过">
      <formula>NOT(ISERROR(SEARCH("超过",H48)))</formula>
    </cfRule>
  </conditionalFormatting>
  <conditionalFormatting sqref="F48">
    <cfRule type="containsText" dxfId="158" priority="15" stopIfTrue="1" operator="containsText" text="超过">
      <formula>NOT(ISERROR(SEARCH("超过",F48)))</formula>
    </cfRule>
  </conditionalFormatting>
  <conditionalFormatting sqref="F47 H47 J47">
    <cfRule type="containsText" dxfId="157" priority="14" stopIfTrue="1" operator="containsText" text="超过">
      <formula>NOT(ISERROR(SEARCH("超过",F47)))</formula>
    </cfRule>
  </conditionalFormatting>
  <conditionalFormatting sqref="E46">
    <cfRule type="expression" dxfId="156" priority="13" stopIfTrue="1">
      <formula>$F$46="超过30%"</formula>
    </cfRule>
  </conditionalFormatting>
  <conditionalFormatting sqref="G48">
    <cfRule type="expression" dxfId="155" priority="12" stopIfTrue="1">
      <formula>$H$48="超过30%"</formula>
    </cfRule>
  </conditionalFormatting>
  <conditionalFormatting sqref="E48">
    <cfRule type="expression" dxfId="154" priority="10" stopIfTrue="1">
      <formula>$F$48="超过30%"</formula>
    </cfRule>
  </conditionalFormatting>
  <conditionalFormatting sqref="G46">
    <cfRule type="expression" dxfId="153" priority="9" stopIfTrue="1">
      <formula>$H$46="超过30%"</formula>
    </cfRule>
  </conditionalFormatting>
  <conditionalFormatting sqref="G47">
    <cfRule type="expression" dxfId="152" priority="8" stopIfTrue="1">
      <formula>$H$47="超过20%"</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E47">
    <cfRule type="expression" dxfId="148" priority="53" stopIfTrue="1">
      <formula>#REF!+$F$47="超过20%"</formula>
    </cfRule>
  </conditionalFormatting>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F7:F40 H7:H40 J7:J40">
    <cfRule type="cellIs" dxfId="1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6"/>
  <sheetViews>
    <sheetView topLeftCell="I1" zoomScale="90" zoomScaleNormal="90" workbookViewId="0">
      <selection activeCell="AQ2" sqref="AQ2"/>
    </sheetView>
  </sheetViews>
  <sheetFormatPr defaultRowHeight="14.25"/>
  <cols>
    <col min="1" max="1" width="20" style="3450" customWidth="1"/>
    <col min="2" max="2" width="8.25" style="3450" customWidth="1"/>
    <col min="3" max="4" width="20" style="3450" hidden="1" customWidth="1"/>
    <col min="5" max="5" width="10.375" style="3450" customWidth="1"/>
    <col min="6" max="6" width="9.375" style="3450" hidden="1" customWidth="1"/>
    <col min="7" max="7" width="20" style="3450" customWidth="1"/>
    <col min="8" max="8" width="11.875" style="3450" customWidth="1"/>
    <col min="9" max="9" width="13.875" style="3450" customWidth="1"/>
    <col min="10" max="10" width="12.75" style="3450" customWidth="1"/>
    <col min="11" max="11" width="13.75" style="3450" customWidth="1"/>
    <col min="12" max="12" width="9.75" style="3450" hidden="1" customWidth="1"/>
    <col min="13" max="13" width="12.25" style="3450" hidden="1" customWidth="1"/>
    <col min="14" max="14" width="14.25" style="3450" customWidth="1"/>
    <col min="15" max="15" width="13.625" style="3450" customWidth="1"/>
    <col min="16" max="30" width="20" style="3450" hidden="1" customWidth="1"/>
    <col min="31" max="31" width="14.625" style="3450" customWidth="1"/>
    <col min="32" max="32" width="20" style="3450" hidden="1" customWidth="1"/>
    <col min="33" max="33" width="10.25" style="3450" customWidth="1"/>
    <col min="34" max="34" width="20" style="3450" customWidth="1"/>
    <col min="35" max="40" width="20" style="3450" hidden="1" customWidth="1"/>
    <col min="41" max="41" width="9.625" style="3450" customWidth="1"/>
    <col min="42" max="42" width="20" style="3450" hidden="1" customWidth="1"/>
    <col min="43" max="43" width="18.875" style="3452" customWidth="1"/>
    <col min="44" max="44" width="5.25" style="3450" hidden="1" customWidth="1"/>
    <col min="45" max="45" width="8.75" style="3450" customWidth="1"/>
    <col min="46" max="46" width="20" style="3450" hidden="1" customWidth="1"/>
    <col min="47" max="47" width="9.125" style="3450" customWidth="1"/>
    <col min="48" max="50" width="20" style="3450" hidden="1" customWidth="1"/>
    <col min="51" max="62" width="20" style="3450" customWidth="1"/>
    <col min="63" max="16384" width="9" style="3450"/>
  </cols>
  <sheetData>
    <row r="1" spans="1:61">
      <c r="A1" s="3450" t="s">
        <v>3409</v>
      </c>
      <c r="B1" s="3450" t="s">
        <v>3410</v>
      </c>
      <c r="C1" s="3450" t="s">
        <v>3411</v>
      </c>
      <c r="D1" s="3450" t="s">
        <v>3412</v>
      </c>
      <c r="E1" s="3450" t="s">
        <v>3413</v>
      </c>
      <c r="F1" s="3450" t="s">
        <v>3414</v>
      </c>
      <c r="G1" s="3450" t="s">
        <v>3415</v>
      </c>
      <c r="H1" s="3450" t="s">
        <v>3416</v>
      </c>
      <c r="I1" s="3450" t="s">
        <v>3417</v>
      </c>
      <c r="J1" s="3450" t="s">
        <v>3418</v>
      </c>
      <c r="K1" s="3450" t="s">
        <v>3419</v>
      </c>
      <c r="L1" s="3450" t="s">
        <v>3420</v>
      </c>
      <c r="M1" s="3450" t="s">
        <v>3421</v>
      </c>
      <c r="N1" s="3450" t="s">
        <v>3422</v>
      </c>
      <c r="O1" s="3450" t="s">
        <v>3423</v>
      </c>
      <c r="P1" s="3450" t="s">
        <v>3424</v>
      </c>
      <c r="Q1" s="3450" t="s">
        <v>3425</v>
      </c>
      <c r="R1" s="3450" t="s">
        <v>3426</v>
      </c>
      <c r="S1" s="3450" t="s">
        <v>3427</v>
      </c>
      <c r="T1" s="3450" t="s">
        <v>3428</v>
      </c>
      <c r="U1" s="3450" t="s">
        <v>3429</v>
      </c>
      <c r="V1" s="3450" t="s">
        <v>3430</v>
      </c>
      <c r="W1" s="3450" t="s">
        <v>3431</v>
      </c>
      <c r="X1" s="3450" t="s">
        <v>3432</v>
      </c>
      <c r="Y1" s="3450" t="s">
        <v>3433</v>
      </c>
      <c r="Z1" s="3450" t="s">
        <v>3434</v>
      </c>
      <c r="AA1" s="3450" t="s">
        <v>3435</v>
      </c>
      <c r="AB1" s="3450" t="s">
        <v>3436</v>
      </c>
      <c r="AC1" s="3450" t="s">
        <v>3437</v>
      </c>
      <c r="AD1" s="3450" t="s">
        <v>3438</v>
      </c>
      <c r="AE1" s="3450" t="s">
        <v>3439</v>
      </c>
      <c r="AF1" s="3450" t="s">
        <v>3440</v>
      </c>
      <c r="AG1" s="3450" t="s">
        <v>3441</v>
      </c>
      <c r="AH1" s="3450" t="s">
        <v>3442</v>
      </c>
      <c r="AI1" s="3450" t="s">
        <v>3443</v>
      </c>
      <c r="AJ1" s="3450" t="s">
        <v>3444</v>
      </c>
      <c r="AK1" s="3450" t="s">
        <v>3445</v>
      </c>
      <c r="AL1" s="3450" t="s">
        <v>3446</v>
      </c>
      <c r="AM1" s="3450" t="s">
        <v>3447</v>
      </c>
      <c r="AN1" s="3450" t="s">
        <v>3448</v>
      </c>
      <c r="AO1" s="3450" t="s">
        <v>3449</v>
      </c>
      <c r="AP1" s="3450" t="s">
        <v>3450</v>
      </c>
      <c r="AQ1" s="3452" t="s">
        <v>3451</v>
      </c>
      <c r="AR1" s="3450" t="s">
        <v>3452</v>
      </c>
      <c r="AS1" s="3450" t="s">
        <v>3453</v>
      </c>
      <c r="AT1" s="3450" t="s">
        <v>3454</v>
      </c>
      <c r="AU1" s="3450" t="s">
        <v>3455</v>
      </c>
      <c r="AV1" s="3450" t="s">
        <v>3456</v>
      </c>
      <c r="AW1" s="3450" t="s">
        <v>3457</v>
      </c>
      <c r="AX1" s="3450" t="s">
        <v>3458</v>
      </c>
      <c r="AY1" s="3450" t="s">
        <v>3459</v>
      </c>
      <c r="AZ1" s="3450" t="s">
        <v>3460</v>
      </c>
      <c r="BA1" s="3450" t="s">
        <v>3461</v>
      </c>
      <c r="BB1" s="3450" t="s">
        <v>3462</v>
      </c>
      <c r="BC1" s="3450" t="s">
        <v>3463</v>
      </c>
      <c r="BD1" s="3450" t="s">
        <v>3464</v>
      </c>
      <c r="BE1" s="3450" t="s">
        <v>3465</v>
      </c>
      <c r="BF1" s="3450" t="s">
        <v>3466</v>
      </c>
      <c r="BG1" s="3450" t="s">
        <v>3467</v>
      </c>
      <c r="BH1" s="3450" t="s">
        <v>3468</v>
      </c>
      <c r="BI1" s="3450" t="s">
        <v>3469</v>
      </c>
    </row>
    <row r="2" spans="1:61">
      <c r="A2" s="3450" t="s">
        <v>3611</v>
      </c>
      <c r="B2" s="3450" t="s">
        <v>3381</v>
      </c>
      <c r="C2" s="3450" t="s">
        <v>3470</v>
      </c>
      <c r="D2" s="3450" t="s">
        <v>3471</v>
      </c>
      <c r="E2" s="3450" t="s">
        <v>3472</v>
      </c>
      <c r="F2" s="3450" t="s">
        <v>3473</v>
      </c>
      <c r="G2" s="3450" t="s">
        <v>3474</v>
      </c>
      <c r="H2" s="3450" t="s">
        <v>3475</v>
      </c>
      <c r="I2" s="3450">
        <v>17148.3</v>
      </c>
      <c r="J2" s="3450" t="s">
        <v>3473</v>
      </c>
      <c r="K2" s="3450">
        <v>2</v>
      </c>
      <c r="L2" s="3450">
        <v>2</v>
      </c>
      <c r="M2" s="3450" t="s">
        <v>3476</v>
      </c>
      <c r="N2" s="3450" t="s">
        <v>3477</v>
      </c>
      <c r="O2" s="3450" t="s">
        <v>3475</v>
      </c>
      <c r="P2" s="3450" t="s">
        <v>3478</v>
      </c>
      <c r="Q2" s="3450" t="s">
        <v>3473</v>
      </c>
      <c r="R2" s="3450" t="s">
        <v>3473</v>
      </c>
      <c r="S2" s="3450" t="s">
        <v>3473</v>
      </c>
      <c r="T2" s="3450" t="s">
        <v>3473</v>
      </c>
      <c r="U2" s="3450" t="s">
        <v>3473</v>
      </c>
      <c r="V2" s="3450" t="s">
        <v>3473</v>
      </c>
      <c r="W2" s="3450" t="s">
        <v>3473</v>
      </c>
      <c r="X2" s="3450" t="s">
        <v>3473</v>
      </c>
      <c r="Y2" s="3450" t="s">
        <v>3473</v>
      </c>
      <c r="Z2" s="3450">
        <v>0</v>
      </c>
      <c r="AA2" s="3450">
        <v>0</v>
      </c>
      <c r="AB2" s="3451">
        <v>45365.000497685185</v>
      </c>
      <c r="AC2" s="3451">
        <v>45389.000497685185</v>
      </c>
      <c r="AD2" s="3451">
        <v>45398.000497685185</v>
      </c>
      <c r="AE2" s="3451">
        <v>45398.000497685185</v>
      </c>
      <c r="AF2" s="3450" t="s">
        <v>3479</v>
      </c>
      <c r="AG2" s="3450" t="s">
        <v>3480</v>
      </c>
      <c r="AH2" s="3450" t="s">
        <v>3481</v>
      </c>
      <c r="AI2" s="3450" t="s">
        <v>3482</v>
      </c>
      <c r="AJ2" s="3450" t="s">
        <v>3473</v>
      </c>
      <c r="AK2" s="3450" t="s">
        <v>3473</v>
      </c>
      <c r="AL2" s="3450">
        <v>1539</v>
      </c>
      <c r="AM2" s="3450">
        <v>310</v>
      </c>
      <c r="AN2" s="3450" t="s">
        <v>3483</v>
      </c>
      <c r="AO2" s="3450">
        <v>1539</v>
      </c>
      <c r="AP2" s="3450">
        <v>897.46</v>
      </c>
      <c r="AQ2" s="3452">
        <v>897.46</v>
      </c>
      <c r="AR2" s="3450">
        <v>59.83</v>
      </c>
      <c r="AS2" s="3450">
        <v>59.83</v>
      </c>
      <c r="AT2" s="3450" t="s">
        <v>3473</v>
      </c>
      <c r="AU2" s="3450">
        <f>ROUND(AO2*10000/I2*L2,0)</f>
        <v>1795</v>
      </c>
      <c r="AV2" s="3450" t="s">
        <v>3473</v>
      </c>
      <c r="AW2" s="3450" t="s">
        <v>3473</v>
      </c>
      <c r="AX2" s="3450">
        <v>0</v>
      </c>
      <c r="AY2" s="3450">
        <v>50</v>
      </c>
      <c r="AZ2" s="3450" t="s">
        <v>3473</v>
      </c>
      <c r="BA2" s="3450" t="s">
        <v>3473</v>
      </c>
      <c r="BB2" s="3450" t="s">
        <v>3473</v>
      </c>
      <c r="BC2" s="3450" t="s">
        <v>3473</v>
      </c>
      <c r="BD2" s="3450" t="s">
        <v>3473</v>
      </c>
      <c r="BE2" s="3450" t="s">
        <v>3473</v>
      </c>
      <c r="BF2" s="3450" t="s">
        <v>3473</v>
      </c>
      <c r="BG2" s="3450" t="s">
        <v>3484</v>
      </c>
      <c r="BH2" s="3450" t="s">
        <v>3485</v>
      </c>
      <c r="BI2" s="3450" t="s">
        <v>3486</v>
      </c>
    </row>
    <row r="3" spans="1:61">
      <c r="A3" s="3450" t="s">
        <v>3612</v>
      </c>
      <c r="B3" s="3450" t="s">
        <v>3381</v>
      </c>
      <c r="C3" s="3450" t="s">
        <v>3487</v>
      </c>
      <c r="D3" s="3450" t="s">
        <v>3471</v>
      </c>
      <c r="E3" s="3450" t="s">
        <v>3472</v>
      </c>
      <c r="F3" s="3450" t="s">
        <v>3473</v>
      </c>
      <c r="G3" s="3450" t="s">
        <v>3488</v>
      </c>
      <c r="H3" s="3450" t="s">
        <v>3475</v>
      </c>
      <c r="I3" s="3450">
        <v>20175.599999999999</v>
      </c>
      <c r="J3" s="3450">
        <v>20175.599999999999</v>
      </c>
      <c r="K3" s="3450">
        <v>1</v>
      </c>
      <c r="L3" s="3450">
        <v>0</v>
      </c>
      <c r="M3" s="3450" t="s">
        <v>3476</v>
      </c>
      <c r="N3" s="3450" t="s">
        <v>3477</v>
      </c>
      <c r="O3" s="3450" t="s">
        <v>3475</v>
      </c>
      <c r="P3" s="3450" t="s">
        <v>3478</v>
      </c>
      <c r="Q3" s="3450" t="s">
        <v>3473</v>
      </c>
      <c r="R3" s="3450" t="s">
        <v>3489</v>
      </c>
      <c r="S3" s="3450" t="s">
        <v>3473</v>
      </c>
      <c r="T3" s="3450" t="s">
        <v>3473</v>
      </c>
      <c r="U3" s="3450" t="s">
        <v>3473</v>
      </c>
      <c r="V3" s="3450" t="s">
        <v>3473</v>
      </c>
      <c r="W3" s="3450" t="s">
        <v>3473</v>
      </c>
      <c r="X3" s="3450" t="s">
        <v>3473</v>
      </c>
      <c r="Y3" s="3450" t="s">
        <v>3473</v>
      </c>
      <c r="Z3" s="3450">
        <v>0</v>
      </c>
      <c r="AA3" s="3450">
        <v>0</v>
      </c>
      <c r="AB3" s="3451">
        <v>45281.000497685185</v>
      </c>
      <c r="AC3" s="3451">
        <v>45302.000497685185</v>
      </c>
      <c r="AD3" s="3451">
        <v>45313.000497685185</v>
      </c>
      <c r="AE3" s="3451">
        <v>45313.000497685185</v>
      </c>
      <c r="AF3" s="3450" t="s">
        <v>3490</v>
      </c>
      <c r="AG3" s="3450" t="s">
        <v>3480</v>
      </c>
      <c r="AH3" s="3450" t="s">
        <v>3491</v>
      </c>
      <c r="AI3" s="3450" t="s">
        <v>3473</v>
      </c>
      <c r="AJ3" s="3450" t="s">
        <v>3473</v>
      </c>
      <c r="AK3" s="3450" t="s">
        <v>3473</v>
      </c>
      <c r="AL3" s="3450">
        <v>1829</v>
      </c>
      <c r="AM3" s="3450">
        <v>370</v>
      </c>
      <c r="AN3" s="3450" t="s">
        <v>3492</v>
      </c>
      <c r="AO3" s="3450">
        <v>1829</v>
      </c>
      <c r="AP3" s="3450">
        <v>906.54</v>
      </c>
      <c r="AQ3" s="3452">
        <v>906.54</v>
      </c>
      <c r="AR3" s="3450">
        <v>60.44</v>
      </c>
      <c r="AS3" s="3450">
        <v>60.44</v>
      </c>
      <c r="AT3" s="3450">
        <v>907</v>
      </c>
      <c r="AU3" s="3450">
        <v>907</v>
      </c>
      <c r="AV3" s="3450" t="s">
        <v>3473</v>
      </c>
      <c r="AW3" s="3450" t="s">
        <v>3473</v>
      </c>
      <c r="AX3" s="3450">
        <v>0</v>
      </c>
      <c r="AY3" s="3450">
        <v>50</v>
      </c>
      <c r="AZ3" s="3450" t="s">
        <v>3473</v>
      </c>
      <c r="BA3" s="3450" t="s">
        <v>3473</v>
      </c>
      <c r="BB3" s="3450" t="s">
        <v>3473</v>
      </c>
      <c r="BC3" s="3450" t="s">
        <v>3473</v>
      </c>
      <c r="BD3" s="3450" t="s">
        <v>3473</v>
      </c>
      <c r="BE3" s="3450" t="s">
        <v>3473</v>
      </c>
      <c r="BF3" s="3450" t="s">
        <v>3473</v>
      </c>
      <c r="BG3" s="3450" t="s">
        <v>3493</v>
      </c>
      <c r="BH3" s="3450" t="s">
        <v>3485</v>
      </c>
      <c r="BI3" s="3450" t="s">
        <v>3486</v>
      </c>
    </row>
    <row r="4" spans="1:61">
      <c r="A4" s="3450" t="s">
        <v>3494</v>
      </c>
      <c r="B4" s="3450" t="s">
        <v>3381</v>
      </c>
      <c r="C4" s="3450" t="s">
        <v>3495</v>
      </c>
      <c r="D4" s="3450" t="s">
        <v>3471</v>
      </c>
      <c r="E4" s="3450" t="s">
        <v>3472</v>
      </c>
      <c r="F4" s="3450" t="s">
        <v>3496</v>
      </c>
      <c r="G4" s="3450" t="s">
        <v>3497</v>
      </c>
      <c r="H4" s="3450" t="s">
        <v>3475</v>
      </c>
      <c r="I4" s="3450">
        <v>133333.4</v>
      </c>
      <c r="J4" s="3450">
        <v>333333.5</v>
      </c>
      <c r="K4" s="3450">
        <v>2.5</v>
      </c>
      <c r="L4" s="3450">
        <v>2.5</v>
      </c>
      <c r="M4" s="3450" t="s">
        <v>3476</v>
      </c>
      <c r="N4" s="3450" t="s">
        <v>3477</v>
      </c>
      <c r="O4" s="3450" t="s">
        <v>3498</v>
      </c>
      <c r="P4" s="3450" t="s">
        <v>3478</v>
      </c>
      <c r="Q4" s="3450" t="s">
        <v>3473</v>
      </c>
      <c r="R4" s="3450" t="s">
        <v>3499</v>
      </c>
      <c r="S4" s="3450" t="s">
        <v>3473</v>
      </c>
      <c r="T4" s="3450" t="s">
        <v>3473</v>
      </c>
      <c r="U4" s="3450" t="s">
        <v>3473</v>
      </c>
      <c r="V4" s="3450" t="s">
        <v>3473</v>
      </c>
      <c r="W4" s="3450" t="s">
        <v>3473</v>
      </c>
      <c r="X4" s="3450" t="s">
        <v>3473</v>
      </c>
      <c r="Y4" s="3450" t="s">
        <v>3473</v>
      </c>
      <c r="Z4" s="3450">
        <v>0</v>
      </c>
      <c r="AA4" s="3450">
        <v>0</v>
      </c>
      <c r="AB4" s="3451">
        <v>45236.000497685185</v>
      </c>
      <c r="AC4" s="3451">
        <v>45257.000497685185</v>
      </c>
      <c r="AD4" s="3451">
        <v>45266.000497685185</v>
      </c>
      <c r="AE4" s="3451">
        <v>45266.000497685185</v>
      </c>
      <c r="AF4" s="3450" t="s">
        <v>3500</v>
      </c>
      <c r="AG4" s="3450" t="s">
        <v>3480</v>
      </c>
      <c r="AH4" s="3450" t="s">
        <v>3501</v>
      </c>
      <c r="AI4" s="3450" t="s">
        <v>3473</v>
      </c>
      <c r="AJ4" s="3450" t="s">
        <v>3473</v>
      </c>
      <c r="AK4" s="3450" t="s">
        <v>3473</v>
      </c>
      <c r="AL4" s="3450">
        <v>13000</v>
      </c>
      <c r="AM4" s="3450">
        <v>2600</v>
      </c>
      <c r="AN4" s="3450" t="s">
        <v>3502</v>
      </c>
      <c r="AO4" s="3450">
        <v>13000</v>
      </c>
      <c r="AP4" s="3450">
        <v>974.99</v>
      </c>
      <c r="AQ4" s="3452">
        <v>974.99</v>
      </c>
      <c r="AR4" s="3450">
        <v>65</v>
      </c>
      <c r="AS4" s="3450">
        <v>65</v>
      </c>
      <c r="AT4" s="3450">
        <v>390</v>
      </c>
      <c r="AU4" s="3450">
        <v>390</v>
      </c>
      <c r="AV4" s="3450" t="s">
        <v>3473</v>
      </c>
      <c r="AW4" s="3450" t="s">
        <v>3473</v>
      </c>
      <c r="AX4" s="3450">
        <v>0</v>
      </c>
      <c r="AY4" s="3450">
        <v>50</v>
      </c>
      <c r="AZ4" s="3450" t="s">
        <v>3473</v>
      </c>
      <c r="BA4" s="3450" t="s">
        <v>3473</v>
      </c>
      <c r="BB4" s="3450" t="s">
        <v>3473</v>
      </c>
      <c r="BC4" s="3450" t="s">
        <v>3473</v>
      </c>
      <c r="BD4" s="3450" t="s">
        <v>3473</v>
      </c>
      <c r="BE4" s="3450" t="s">
        <v>3473</v>
      </c>
      <c r="BF4" s="3450" t="s">
        <v>3473</v>
      </c>
      <c r="BG4" s="3450" t="s">
        <v>3493</v>
      </c>
      <c r="BH4" s="3450" t="s">
        <v>3485</v>
      </c>
      <c r="BI4" s="3450" t="s">
        <v>3486</v>
      </c>
    </row>
    <row r="5" spans="1:61">
      <c r="A5" s="3450" t="s">
        <v>3503</v>
      </c>
      <c r="B5" s="3450" t="s">
        <v>3381</v>
      </c>
      <c r="C5" s="3450" t="s">
        <v>3504</v>
      </c>
      <c r="D5" s="3450" t="s">
        <v>3471</v>
      </c>
      <c r="E5" s="3450" t="s">
        <v>3472</v>
      </c>
      <c r="F5" s="3450" t="s">
        <v>3505</v>
      </c>
      <c r="G5" s="3450" t="s">
        <v>3506</v>
      </c>
      <c r="H5" s="3450" t="s">
        <v>3475</v>
      </c>
      <c r="I5" s="3450">
        <v>28138.7</v>
      </c>
      <c r="J5" s="3450">
        <v>56277.4</v>
      </c>
      <c r="K5" s="3450" t="s">
        <v>3507</v>
      </c>
      <c r="L5" s="3450">
        <v>2</v>
      </c>
      <c r="M5" s="3450" t="s">
        <v>3476</v>
      </c>
      <c r="N5" s="3450" t="s">
        <v>3477</v>
      </c>
      <c r="O5" s="3450" t="s">
        <v>3508</v>
      </c>
      <c r="P5" s="3450" t="s">
        <v>3478</v>
      </c>
      <c r="Q5" s="3450" t="s">
        <v>3473</v>
      </c>
      <c r="R5" s="3450" t="s">
        <v>3509</v>
      </c>
      <c r="S5" s="3450" t="s">
        <v>3473</v>
      </c>
      <c r="T5" s="3450" t="s">
        <v>3473</v>
      </c>
      <c r="U5" s="3450" t="s">
        <v>3473</v>
      </c>
      <c r="V5" s="3450" t="s">
        <v>3473</v>
      </c>
      <c r="W5" s="3450" t="s">
        <v>3473</v>
      </c>
      <c r="X5" s="3450" t="s">
        <v>3473</v>
      </c>
      <c r="Y5" s="3450" t="s">
        <v>3473</v>
      </c>
      <c r="Z5" s="3450">
        <v>0</v>
      </c>
      <c r="AA5" s="3450">
        <v>0</v>
      </c>
      <c r="AB5" s="3451">
        <v>45224.000497685185</v>
      </c>
      <c r="AC5" s="3451">
        <v>45244.000497685185</v>
      </c>
      <c r="AD5" s="3451">
        <v>45254.000497685185</v>
      </c>
      <c r="AE5" s="3451">
        <v>45254.000497685185</v>
      </c>
      <c r="AF5" s="3450" t="s">
        <v>3510</v>
      </c>
      <c r="AG5" s="3450" t="s">
        <v>3480</v>
      </c>
      <c r="AH5" s="3450" t="s">
        <v>3511</v>
      </c>
      <c r="AI5" s="3450" t="s">
        <v>3473</v>
      </c>
      <c r="AJ5" s="3450" t="s">
        <v>3473</v>
      </c>
      <c r="AK5" s="3450" t="s">
        <v>3473</v>
      </c>
      <c r="AL5" s="3450">
        <v>980</v>
      </c>
      <c r="AM5" s="3450">
        <v>980</v>
      </c>
      <c r="AN5" s="3450" t="s">
        <v>3512</v>
      </c>
      <c r="AO5" s="3450">
        <v>980</v>
      </c>
      <c r="AP5" s="3450">
        <v>348.27</v>
      </c>
      <c r="AQ5" s="3452">
        <v>348.27</v>
      </c>
      <c r="AR5" s="3450">
        <v>23.22</v>
      </c>
      <c r="AS5" s="3450">
        <v>23.22</v>
      </c>
      <c r="AT5" s="3450">
        <v>174</v>
      </c>
      <c r="AU5" s="3450">
        <v>174</v>
      </c>
      <c r="AV5" s="3450" t="s">
        <v>3473</v>
      </c>
      <c r="AW5" s="3450" t="s">
        <v>3473</v>
      </c>
      <c r="AX5" s="3450">
        <v>0</v>
      </c>
      <c r="AY5" s="3450">
        <v>20</v>
      </c>
      <c r="AZ5" s="3450" t="s">
        <v>3473</v>
      </c>
      <c r="BA5" s="3450" t="s">
        <v>3473</v>
      </c>
      <c r="BB5" s="3450" t="s">
        <v>3473</v>
      </c>
      <c r="BC5" s="3450" t="s">
        <v>3473</v>
      </c>
      <c r="BD5" s="3450" t="s">
        <v>3473</v>
      </c>
      <c r="BE5" s="3450" t="s">
        <v>3473</v>
      </c>
      <c r="BF5" s="3450" t="s">
        <v>3473</v>
      </c>
      <c r="BG5" s="3450" t="s">
        <v>3493</v>
      </c>
      <c r="BH5" s="3450" t="s">
        <v>3485</v>
      </c>
      <c r="BI5" s="3450" t="s">
        <v>3486</v>
      </c>
    </row>
    <row r="6" spans="1:61">
      <c r="A6" s="3450" t="s">
        <v>3513</v>
      </c>
      <c r="B6" s="3450" t="s">
        <v>3381</v>
      </c>
      <c r="C6" s="3450" t="s">
        <v>3514</v>
      </c>
      <c r="D6" s="3450" t="s">
        <v>3471</v>
      </c>
      <c r="E6" s="3450" t="s">
        <v>3472</v>
      </c>
      <c r="F6" s="3450" t="s">
        <v>3496</v>
      </c>
      <c r="G6" s="3450" t="s">
        <v>3515</v>
      </c>
      <c r="H6" s="3450" t="s">
        <v>3475</v>
      </c>
      <c r="I6" s="3450">
        <v>50400.5</v>
      </c>
      <c r="J6" s="3450">
        <v>126001.25</v>
      </c>
      <c r="K6" s="3450" t="s">
        <v>3516</v>
      </c>
      <c r="L6" s="3450">
        <v>2.5</v>
      </c>
      <c r="M6" s="3450" t="s">
        <v>3476</v>
      </c>
      <c r="N6" s="3450" t="s">
        <v>3477</v>
      </c>
      <c r="O6" s="3450" t="s">
        <v>3517</v>
      </c>
      <c r="P6" s="3450" t="s">
        <v>3478</v>
      </c>
      <c r="Q6" s="3450" t="s">
        <v>3473</v>
      </c>
      <c r="R6" s="3450">
        <v>0.4</v>
      </c>
      <c r="S6" s="3450" t="s">
        <v>3473</v>
      </c>
      <c r="T6" s="3450" t="s">
        <v>3473</v>
      </c>
      <c r="U6" s="3450" t="s">
        <v>3473</v>
      </c>
      <c r="V6" s="3450" t="s">
        <v>3473</v>
      </c>
      <c r="W6" s="3450" t="s">
        <v>3473</v>
      </c>
      <c r="X6" s="3450" t="s">
        <v>3473</v>
      </c>
      <c r="Y6" s="3450" t="s">
        <v>3473</v>
      </c>
      <c r="Z6" s="3450">
        <v>0</v>
      </c>
      <c r="AA6" s="3450">
        <v>0</v>
      </c>
      <c r="AB6" s="3451">
        <v>45181.000497685185</v>
      </c>
      <c r="AC6" s="3451">
        <v>45206.000497685185</v>
      </c>
      <c r="AD6" s="3451">
        <v>45215.000497685185</v>
      </c>
      <c r="AE6" s="3451">
        <v>45215.000497685185</v>
      </c>
      <c r="AF6" s="3450" t="s">
        <v>3518</v>
      </c>
      <c r="AG6" s="3450" t="s">
        <v>3480</v>
      </c>
      <c r="AH6" s="3450" t="s">
        <v>3519</v>
      </c>
      <c r="AI6" s="3450" t="s">
        <v>3473</v>
      </c>
      <c r="AJ6" s="3450" t="s">
        <v>3473</v>
      </c>
      <c r="AK6" s="3450" t="s">
        <v>3473</v>
      </c>
      <c r="AL6" s="3450">
        <v>5670</v>
      </c>
      <c r="AM6" s="3450">
        <v>5670</v>
      </c>
      <c r="AN6" s="3450" t="s">
        <v>3520</v>
      </c>
      <c r="AO6" s="3450">
        <v>5670</v>
      </c>
      <c r="AP6" s="3450">
        <v>1124.98</v>
      </c>
      <c r="AQ6" s="3452">
        <v>1124.98</v>
      </c>
      <c r="AR6" s="3450">
        <v>75</v>
      </c>
      <c r="AS6" s="3450">
        <v>75</v>
      </c>
      <c r="AT6" s="3450">
        <v>450</v>
      </c>
      <c r="AU6" s="3450">
        <v>450</v>
      </c>
      <c r="AV6" s="3450" t="s">
        <v>3473</v>
      </c>
      <c r="AW6" s="3450" t="s">
        <v>3473</v>
      </c>
      <c r="AX6" s="3450">
        <v>0</v>
      </c>
      <c r="AY6" s="3450" t="s">
        <v>3521</v>
      </c>
      <c r="AZ6" s="3450" t="s">
        <v>3473</v>
      </c>
      <c r="BA6" s="3450" t="s">
        <v>3473</v>
      </c>
      <c r="BB6" s="3450" t="s">
        <v>3473</v>
      </c>
      <c r="BC6" s="3450" t="s">
        <v>3473</v>
      </c>
      <c r="BD6" s="3450" t="s">
        <v>3473</v>
      </c>
      <c r="BE6" s="3450" t="s">
        <v>3473</v>
      </c>
      <c r="BF6" s="3450" t="s">
        <v>3473</v>
      </c>
      <c r="BG6" s="3450" t="s">
        <v>3493</v>
      </c>
      <c r="BH6" s="3450" t="s">
        <v>3485</v>
      </c>
      <c r="BI6" s="3450" t="s">
        <v>3486</v>
      </c>
    </row>
    <row r="7" spans="1:61">
      <c r="A7" s="3450" t="s">
        <v>3522</v>
      </c>
      <c r="B7" s="3450" t="s">
        <v>3381</v>
      </c>
      <c r="C7" s="3450" t="s">
        <v>3523</v>
      </c>
      <c r="D7" s="3450" t="s">
        <v>3471</v>
      </c>
      <c r="E7" s="3450" t="s">
        <v>3472</v>
      </c>
      <c r="F7" s="3450" t="s">
        <v>3524</v>
      </c>
      <c r="G7" s="3450" t="s">
        <v>3525</v>
      </c>
      <c r="H7" s="3450" t="s">
        <v>3475</v>
      </c>
      <c r="I7" s="3450">
        <v>13333.4</v>
      </c>
      <c r="J7" s="3450">
        <v>24000.12</v>
      </c>
      <c r="K7" s="3450" t="s">
        <v>3526</v>
      </c>
      <c r="L7" s="3450">
        <v>1.8</v>
      </c>
      <c r="M7" s="3450" t="s">
        <v>3476</v>
      </c>
      <c r="N7" s="3450" t="s">
        <v>3477</v>
      </c>
      <c r="O7" s="3450" t="s">
        <v>3527</v>
      </c>
      <c r="P7" s="3450" t="s">
        <v>3478</v>
      </c>
      <c r="Q7" s="3450" t="s">
        <v>3473</v>
      </c>
      <c r="R7" s="3450">
        <v>0.4</v>
      </c>
      <c r="S7" s="3450" t="s">
        <v>3473</v>
      </c>
      <c r="T7" s="3450" t="s">
        <v>3473</v>
      </c>
      <c r="U7" s="3450" t="s">
        <v>3473</v>
      </c>
      <c r="V7" s="3450" t="s">
        <v>3473</v>
      </c>
      <c r="W7" s="3450" t="s">
        <v>3473</v>
      </c>
      <c r="X7" s="3450" t="s">
        <v>3473</v>
      </c>
      <c r="Y7" s="3450" t="s">
        <v>3473</v>
      </c>
      <c r="Z7" s="3450">
        <v>0</v>
      </c>
      <c r="AA7" s="3450">
        <v>0</v>
      </c>
      <c r="AB7" s="3451">
        <v>45181.000497685185</v>
      </c>
      <c r="AC7" s="3451">
        <v>45206.000497685185</v>
      </c>
      <c r="AD7" s="3451">
        <v>45215.000497685185</v>
      </c>
      <c r="AE7" s="3451">
        <v>45215.000497685185</v>
      </c>
      <c r="AF7" s="3450" t="s">
        <v>3528</v>
      </c>
      <c r="AG7" s="3450" t="s">
        <v>3480</v>
      </c>
      <c r="AH7" s="3450" t="s">
        <v>3529</v>
      </c>
      <c r="AI7" s="3450" t="s">
        <v>3473</v>
      </c>
      <c r="AJ7" s="3450" t="s">
        <v>3473</v>
      </c>
      <c r="AK7" s="3450" t="s">
        <v>3473</v>
      </c>
      <c r="AL7" s="3450">
        <v>1196</v>
      </c>
      <c r="AM7" s="3450">
        <v>240</v>
      </c>
      <c r="AN7" s="3450" t="s">
        <v>3520</v>
      </c>
      <c r="AO7" s="3450">
        <v>1196</v>
      </c>
      <c r="AP7" s="3450">
        <v>896.99</v>
      </c>
      <c r="AQ7" s="3452">
        <v>896.99</v>
      </c>
      <c r="AR7" s="3450">
        <v>59.8</v>
      </c>
      <c r="AS7" s="3450">
        <v>59.8</v>
      </c>
      <c r="AT7" s="3450">
        <v>498</v>
      </c>
      <c r="AU7" s="3450">
        <v>498</v>
      </c>
      <c r="AV7" s="3450" t="s">
        <v>3473</v>
      </c>
      <c r="AW7" s="3450" t="s">
        <v>3473</v>
      </c>
      <c r="AX7" s="3450">
        <v>0</v>
      </c>
      <c r="AY7" s="3450" t="s">
        <v>3521</v>
      </c>
      <c r="AZ7" s="3450" t="s">
        <v>3473</v>
      </c>
      <c r="BA7" s="3450" t="s">
        <v>3473</v>
      </c>
      <c r="BB7" s="3450" t="s">
        <v>3473</v>
      </c>
      <c r="BC7" s="3450" t="s">
        <v>3473</v>
      </c>
      <c r="BD7" s="3450" t="s">
        <v>3473</v>
      </c>
      <c r="BE7" s="3450" t="s">
        <v>3473</v>
      </c>
      <c r="BF7" s="3450" t="s">
        <v>3473</v>
      </c>
      <c r="BG7" s="3450" t="s">
        <v>3493</v>
      </c>
      <c r="BH7" s="3450" t="s">
        <v>3485</v>
      </c>
      <c r="BI7" s="3450" t="s">
        <v>3486</v>
      </c>
    </row>
    <row r="8" spans="1:61">
      <c r="A8" s="3450" t="s">
        <v>3530</v>
      </c>
      <c r="B8" s="3450" t="s">
        <v>3381</v>
      </c>
      <c r="C8" s="3450" t="s">
        <v>3531</v>
      </c>
      <c r="D8" s="3450" t="s">
        <v>3471</v>
      </c>
      <c r="E8" s="3450" t="s">
        <v>3472</v>
      </c>
      <c r="F8" s="3450" t="s">
        <v>3473</v>
      </c>
      <c r="G8" s="3450" t="s">
        <v>3532</v>
      </c>
      <c r="H8" s="3450" t="s">
        <v>3475</v>
      </c>
      <c r="I8" s="3450">
        <v>27454.3</v>
      </c>
      <c r="J8" s="3450">
        <v>54908.6</v>
      </c>
      <c r="K8" s="3450" t="s">
        <v>3533</v>
      </c>
      <c r="L8" s="3450">
        <v>2</v>
      </c>
      <c r="M8" s="3450" t="s">
        <v>3476</v>
      </c>
      <c r="N8" s="3450" t="s">
        <v>3477</v>
      </c>
      <c r="O8" s="3450" t="s">
        <v>3534</v>
      </c>
      <c r="P8" s="3450" t="s">
        <v>3478</v>
      </c>
      <c r="Q8" s="3450" t="s">
        <v>3473</v>
      </c>
      <c r="R8" s="3450" t="s">
        <v>3473</v>
      </c>
      <c r="S8" s="3450" t="s">
        <v>3473</v>
      </c>
      <c r="T8" s="3450" t="s">
        <v>3473</v>
      </c>
      <c r="U8" s="3450" t="s">
        <v>3473</v>
      </c>
      <c r="V8" s="3450" t="s">
        <v>3473</v>
      </c>
      <c r="W8" s="3450" t="s">
        <v>3473</v>
      </c>
      <c r="X8" s="3450" t="s">
        <v>3473</v>
      </c>
      <c r="Y8" s="3450" t="s">
        <v>3473</v>
      </c>
      <c r="Z8" s="3450">
        <v>0</v>
      </c>
      <c r="AA8" s="3450">
        <v>0</v>
      </c>
      <c r="AB8" s="3451">
        <v>45058.000497685185</v>
      </c>
      <c r="AC8" s="3451">
        <v>45079.000497685185</v>
      </c>
      <c r="AD8" s="3451">
        <v>45110.000497685185</v>
      </c>
      <c r="AE8" s="3451">
        <v>45110.000497685185</v>
      </c>
      <c r="AF8" s="3450" t="s">
        <v>3535</v>
      </c>
      <c r="AG8" s="3450" t="s">
        <v>3480</v>
      </c>
      <c r="AH8" s="3450" t="s">
        <v>3536</v>
      </c>
      <c r="AI8" s="3450" t="s">
        <v>3473</v>
      </c>
      <c r="AJ8" s="3450" t="s">
        <v>3473</v>
      </c>
      <c r="AK8" s="3450" t="s">
        <v>3473</v>
      </c>
      <c r="AL8" s="3450">
        <v>2480</v>
      </c>
      <c r="AM8" s="3450">
        <v>500</v>
      </c>
      <c r="AN8" s="3450" t="s">
        <v>3537</v>
      </c>
      <c r="AO8" s="3450">
        <v>2480</v>
      </c>
      <c r="AP8" s="3450">
        <v>903.31</v>
      </c>
      <c r="AQ8" s="3452">
        <v>903.31</v>
      </c>
      <c r="AR8" s="3450">
        <v>60.22</v>
      </c>
      <c r="AS8" s="3450">
        <v>60.22</v>
      </c>
      <c r="AT8" s="3450">
        <v>452</v>
      </c>
      <c r="AU8" s="3450">
        <v>452</v>
      </c>
      <c r="AV8" s="3450" t="s">
        <v>3473</v>
      </c>
      <c r="AW8" s="3450" t="s">
        <v>3473</v>
      </c>
      <c r="AX8" s="3450">
        <v>0</v>
      </c>
      <c r="AY8" s="3450" t="s">
        <v>3538</v>
      </c>
      <c r="AZ8" s="3450" t="s">
        <v>3473</v>
      </c>
      <c r="BA8" s="3450" t="s">
        <v>3473</v>
      </c>
      <c r="BB8" s="3450" t="s">
        <v>3473</v>
      </c>
      <c r="BC8" s="3450" t="s">
        <v>3473</v>
      </c>
      <c r="BD8" s="3450" t="s">
        <v>3473</v>
      </c>
      <c r="BE8" s="3450" t="s">
        <v>3473</v>
      </c>
      <c r="BF8" s="3450" t="s">
        <v>3473</v>
      </c>
      <c r="BG8" s="3450" t="s">
        <v>3493</v>
      </c>
      <c r="BH8" s="3450" t="s">
        <v>3485</v>
      </c>
      <c r="BI8" s="3450" t="s">
        <v>3486</v>
      </c>
    </row>
    <row r="9" spans="1:61">
      <c r="A9" s="3450" t="s">
        <v>3539</v>
      </c>
      <c r="B9" s="3450" t="s">
        <v>3381</v>
      </c>
      <c r="C9" s="3450" t="s">
        <v>3540</v>
      </c>
      <c r="D9" s="3450" t="s">
        <v>3471</v>
      </c>
      <c r="E9" s="3450" t="s">
        <v>3472</v>
      </c>
      <c r="F9" s="3450" t="s">
        <v>3473</v>
      </c>
      <c r="G9" s="3450" t="s">
        <v>3541</v>
      </c>
      <c r="H9" s="3450" t="s">
        <v>3475</v>
      </c>
      <c r="I9" s="3450">
        <v>102516.3</v>
      </c>
      <c r="J9" s="3450">
        <v>123019.56</v>
      </c>
      <c r="K9" s="3450" t="s">
        <v>3542</v>
      </c>
      <c r="L9" s="3450">
        <v>1.2</v>
      </c>
      <c r="M9" s="3450" t="s">
        <v>3476</v>
      </c>
      <c r="N9" s="3450" t="s">
        <v>3543</v>
      </c>
      <c r="O9" s="3450" t="s">
        <v>3544</v>
      </c>
      <c r="P9" s="3450" t="s">
        <v>3478</v>
      </c>
      <c r="Q9" s="3450" t="s">
        <v>3473</v>
      </c>
      <c r="R9" s="3450" t="s">
        <v>3473</v>
      </c>
      <c r="S9" s="3450" t="s">
        <v>3473</v>
      </c>
      <c r="T9" s="3450" t="s">
        <v>3473</v>
      </c>
      <c r="U9" s="3450" t="s">
        <v>3473</v>
      </c>
      <c r="V9" s="3450" t="s">
        <v>3473</v>
      </c>
      <c r="W9" s="3450" t="s">
        <v>3473</v>
      </c>
      <c r="X9" s="3450" t="s">
        <v>3473</v>
      </c>
      <c r="Y9" s="3450" t="s">
        <v>3473</v>
      </c>
      <c r="Z9" s="3450">
        <v>0</v>
      </c>
      <c r="AA9" s="3450">
        <v>0</v>
      </c>
      <c r="AB9" s="3451">
        <v>45033.000497685185</v>
      </c>
      <c r="AC9" s="3451">
        <v>45054.000497685185</v>
      </c>
      <c r="AD9" s="3451">
        <v>45064.000497685185</v>
      </c>
      <c r="AE9" s="3451">
        <v>45064.000497685185</v>
      </c>
      <c r="AF9" s="3450" t="s">
        <v>3545</v>
      </c>
      <c r="AG9" s="3450" t="s">
        <v>3480</v>
      </c>
      <c r="AH9" s="3450" t="s">
        <v>3546</v>
      </c>
      <c r="AI9" s="3450" t="s">
        <v>3473</v>
      </c>
      <c r="AJ9" s="3450" t="s">
        <v>3473</v>
      </c>
      <c r="AK9" s="3450" t="s">
        <v>3473</v>
      </c>
      <c r="AL9" s="3450">
        <v>11534</v>
      </c>
      <c r="AM9" s="3450">
        <v>11534</v>
      </c>
      <c r="AN9" s="3450" t="s">
        <v>3547</v>
      </c>
      <c r="AO9" s="3450">
        <v>11534</v>
      </c>
      <c r="AP9" s="3450">
        <v>1125.08</v>
      </c>
      <c r="AQ9" s="3452">
        <v>1125.08</v>
      </c>
      <c r="AR9" s="3450">
        <v>75.010000000000005</v>
      </c>
      <c r="AS9" s="3450">
        <v>75.010000000000005</v>
      </c>
      <c r="AT9" s="3450">
        <v>938</v>
      </c>
      <c r="AU9" s="3450">
        <v>938</v>
      </c>
      <c r="AV9" s="3450" t="s">
        <v>3473</v>
      </c>
      <c r="AW9" s="3450" t="s">
        <v>3473</v>
      </c>
      <c r="AX9" s="3450">
        <v>0</v>
      </c>
      <c r="AY9" s="3450" t="s">
        <v>3538</v>
      </c>
      <c r="AZ9" s="3450" t="s">
        <v>3473</v>
      </c>
      <c r="BA9" s="3450" t="s">
        <v>3473</v>
      </c>
      <c r="BB9" s="3450" t="s">
        <v>3473</v>
      </c>
      <c r="BC9" s="3450" t="s">
        <v>3473</v>
      </c>
      <c r="BD9" s="3450" t="s">
        <v>3473</v>
      </c>
      <c r="BE9" s="3450" t="s">
        <v>3473</v>
      </c>
      <c r="BF9" s="3450" t="s">
        <v>3473</v>
      </c>
      <c r="BG9" s="3450" t="s">
        <v>3493</v>
      </c>
      <c r="BH9" s="3450" t="s">
        <v>3485</v>
      </c>
      <c r="BI9" s="3450" t="s">
        <v>3486</v>
      </c>
    </row>
    <row r="10" spans="1:61">
      <c r="A10" s="3450" t="s">
        <v>3548</v>
      </c>
      <c r="B10" s="3450" t="s">
        <v>3381</v>
      </c>
      <c r="C10" s="3450" t="s">
        <v>3549</v>
      </c>
      <c r="D10" s="3450" t="s">
        <v>3471</v>
      </c>
      <c r="E10" s="3450" t="s">
        <v>3472</v>
      </c>
      <c r="F10" s="3450" t="s">
        <v>3473</v>
      </c>
      <c r="G10" s="3450" t="s">
        <v>3550</v>
      </c>
      <c r="H10" s="3450" t="s">
        <v>3475</v>
      </c>
      <c r="I10" s="3450">
        <v>20000</v>
      </c>
      <c r="J10" s="3450">
        <v>30000</v>
      </c>
      <c r="K10" s="3450" t="s">
        <v>3551</v>
      </c>
      <c r="L10" s="3450">
        <v>1.5</v>
      </c>
      <c r="M10" s="3450" t="s">
        <v>3476</v>
      </c>
      <c r="N10" s="3450" t="s">
        <v>3477</v>
      </c>
      <c r="O10" s="3450" t="s">
        <v>3534</v>
      </c>
      <c r="P10" s="3450" t="s">
        <v>3478</v>
      </c>
      <c r="Q10" s="3450" t="s">
        <v>3473</v>
      </c>
      <c r="R10" s="3450" t="s">
        <v>3473</v>
      </c>
      <c r="S10" s="3450" t="s">
        <v>3473</v>
      </c>
      <c r="T10" s="3450" t="s">
        <v>3473</v>
      </c>
      <c r="U10" s="3450" t="s">
        <v>3473</v>
      </c>
      <c r="V10" s="3450" t="s">
        <v>3473</v>
      </c>
      <c r="W10" s="3450" t="s">
        <v>3473</v>
      </c>
      <c r="X10" s="3450" t="s">
        <v>3473</v>
      </c>
      <c r="Y10" s="3450" t="s">
        <v>3473</v>
      </c>
      <c r="Z10" s="3450">
        <v>0</v>
      </c>
      <c r="AA10" s="3450">
        <v>0</v>
      </c>
      <c r="AB10" s="3451">
        <v>44985.000497685185</v>
      </c>
      <c r="AC10" s="3451">
        <v>45006.000497685185</v>
      </c>
      <c r="AD10" s="3451">
        <v>45036.000497685185</v>
      </c>
      <c r="AE10" s="3451">
        <v>45036.000497685185</v>
      </c>
      <c r="AF10" s="3450" t="s">
        <v>3552</v>
      </c>
      <c r="AG10" s="3450" t="s">
        <v>3480</v>
      </c>
      <c r="AH10" s="3450" t="s">
        <v>3553</v>
      </c>
      <c r="AI10" s="3450" t="s">
        <v>3473</v>
      </c>
      <c r="AJ10" s="3450" t="s">
        <v>3473</v>
      </c>
      <c r="AK10" s="3450" t="s">
        <v>3473</v>
      </c>
      <c r="AL10" s="3450">
        <v>1785</v>
      </c>
      <c r="AM10" s="3450">
        <v>360</v>
      </c>
      <c r="AN10" s="3450" t="s">
        <v>3554</v>
      </c>
      <c r="AO10" s="3450">
        <v>1785</v>
      </c>
      <c r="AP10" s="3450">
        <v>892.5</v>
      </c>
      <c r="AQ10" s="3452">
        <v>892.5</v>
      </c>
      <c r="AR10" s="3450">
        <v>59.5</v>
      </c>
      <c r="AS10" s="3450">
        <v>59.5</v>
      </c>
      <c r="AT10" s="3450">
        <v>595</v>
      </c>
      <c r="AU10" s="3450">
        <v>595</v>
      </c>
      <c r="AV10" s="3450" t="s">
        <v>3473</v>
      </c>
      <c r="AW10" s="3450" t="s">
        <v>3473</v>
      </c>
      <c r="AX10" s="3450">
        <v>0</v>
      </c>
      <c r="AY10" s="3450" t="s">
        <v>3538</v>
      </c>
      <c r="AZ10" s="3450" t="s">
        <v>3473</v>
      </c>
      <c r="BA10" s="3450" t="s">
        <v>3473</v>
      </c>
      <c r="BB10" s="3450" t="s">
        <v>3473</v>
      </c>
      <c r="BC10" s="3450" t="s">
        <v>3473</v>
      </c>
      <c r="BD10" s="3450" t="s">
        <v>3473</v>
      </c>
      <c r="BE10" s="3450" t="s">
        <v>3473</v>
      </c>
      <c r="BF10" s="3450" t="s">
        <v>3473</v>
      </c>
      <c r="BG10" s="3450" t="s">
        <v>3493</v>
      </c>
      <c r="BH10" s="3450" t="s">
        <v>3485</v>
      </c>
      <c r="BI10" s="3450" t="s">
        <v>3486</v>
      </c>
    </row>
    <row r="11" spans="1:61">
      <c r="A11" s="3450" t="s">
        <v>3555</v>
      </c>
      <c r="B11" s="3450" t="s">
        <v>3381</v>
      </c>
      <c r="C11" s="3450" t="s">
        <v>3556</v>
      </c>
      <c r="D11" s="3450" t="s">
        <v>3471</v>
      </c>
      <c r="E11" s="3450" t="s">
        <v>3472</v>
      </c>
      <c r="F11" s="3450" t="s">
        <v>3473</v>
      </c>
      <c r="G11" s="3450" t="s">
        <v>3557</v>
      </c>
      <c r="H11" s="3450" t="s">
        <v>3475</v>
      </c>
      <c r="I11" s="3450">
        <v>20000</v>
      </c>
      <c r="J11" s="3450">
        <v>36000</v>
      </c>
      <c r="K11" s="3450" t="s">
        <v>3558</v>
      </c>
      <c r="L11" s="3450">
        <v>1.8</v>
      </c>
      <c r="M11" s="3450" t="s">
        <v>3476</v>
      </c>
      <c r="N11" s="3450" t="s">
        <v>3477</v>
      </c>
      <c r="O11" s="3450" t="s">
        <v>3534</v>
      </c>
      <c r="P11" s="3450" t="s">
        <v>3478</v>
      </c>
      <c r="Q11" s="3450" t="s">
        <v>3473</v>
      </c>
      <c r="R11" s="3450" t="s">
        <v>3473</v>
      </c>
      <c r="S11" s="3450" t="s">
        <v>3473</v>
      </c>
      <c r="T11" s="3450" t="s">
        <v>3473</v>
      </c>
      <c r="U11" s="3450" t="s">
        <v>3473</v>
      </c>
      <c r="V11" s="3450" t="s">
        <v>3473</v>
      </c>
      <c r="W11" s="3450" t="s">
        <v>3473</v>
      </c>
      <c r="X11" s="3450" t="s">
        <v>3473</v>
      </c>
      <c r="Y11" s="3450" t="s">
        <v>3473</v>
      </c>
      <c r="Z11" s="3450">
        <v>0</v>
      </c>
      <c r="AA11" s="3450">
        <v>0</v>
      </c>
      <c r="AB11" s="3451">
        <v>44985.000497685185</v>
      </c>
      <c r="AC11" s="3451">
        <v>45006.000497685185</v>
      </c>
      <c r="AD11" s="3451">
        <v>45015.000497685185</v>
      </c>
      <c r="AE11" s="3451">
        <v>45015.000497685185</v>
      </c>
      <c r="AF11" s="3450" t="s">
        <v>3559</v>
      </c>
      <c r="AG11" s="3450" t="s">
        <v>3480</v>
      </c>
      <c r="AH11" s="3450" t="s">
        <v>3560</v>
      </c>
      <c r="AI11" s="3450" t="s">
        <v>3473</v>
      </c>
      <c r="AJ11" s="3450" t="s">
        <v>3473</v>
      </c>
      <c r="AK11" s="3450" t="s">
        <v>3473</v>
      </c>
      <c r="AL11" s="3450">
        <v>1789</v>
      </c>
      <c r="AM11" s="3450">
        <v>360</v>
      </c>
      <c r="AN11" s="3450" t="s">
        <v>3561</v>
      </c>
      <c r="AO11" s="3450">
        <v>1789</v>
      </c>
      <c r="AP11" s="3450">
        <v>894.5</v>
      </c>
      <c r="AQ11" s="3452">
        <v>894.5</v>
      </c>
      <c r="AR11" s="3450">
        <v>59.63</v>
      </c>
      <c r="AS11" s="3450">
        <v>59.63</v>
      </c>
      <c r="AT11" s="3450">
        <v>497</v>
      </c>
      <c r="AU11" s="3450">
        <v>497</v>
      </c>
      <c r="AV11" s="3450" t="s">
        <v>3473</v>
      </c>
      <c r="AW11" s="3450" t="s">
        <v>3473</v>
      </c>
      <c r="AX11" s="3450">
        <v>0</v>
      </c>
      <c r="AY11" s="3450" t="s">
        <v>3538</v>
      </c>
      <c r="AZ11" s="3450" t="s">
        <v>3473</v>
      </c>
      <c r="BA11" s="3450" t="s">
        <v>3473</v>
      </c>
      <c r="BB11" s="3450" t="s">
        <v>3473</v>
      </c>
      <c r="BC11" s="3450" t="s">
        <v>3473</v>
      </c>
      <c r="BD11" s="3450" t="s">
        <v>3473</v>
      </c>
      <c r="BE11" s="3450" t="s">
        <v>3473</v>
      </c>
      <c r="BF11" s="3450" t="s">
        <v>3473</v>
      </c>
      <c r="BG11" s="3450" t="s">
        <v>3493</v>
      </c>
      <c r="BH11" s="3450" t="s">
        <v>3485</v>
      </c>
      <c r="BI11" s="3450" t="s">
        <v>3486</v>
      </c>
    </row>
    <row r="12" spans="1:61">
      <c r="A12" s="3450" t="s">
        <v>3562</v>
      </c>
      <c r="B12" s="3450" t="s">
        <v>3381</v>
      </c>
      <c r="C12" s="3450" t="s">
        <v>3563</v>
      </c>
      <c r="D12" s="3450" t="s">
        <v>3471</v>
      </c>
      <c r="E12" s="3450" t="s">
        <v>3472</v>
      </c>
      <c r="F12" s="3450" t="s">
        <v>3473</v>
      </c>
      <c r="G12" s="3450" t="s">
        <v>3564</v>
      </c>
      <c r="H12" s="3450" t="s">
        <v>3475</v>
      </c>
      <c r="I12" s="3450">
        <v>53024.2</v>
      </c>
      <c r="J12" s="3450">
        <v>79536.3</v>
      </c>
      <c r="K12" s="3450" t="s">
        <v>3565</v>
      </c>
      <c r="L12" s="3450">
        <v>1.5</v>
      </c>
      <c r="M12" s="3450" t="s">
        <v>3476</v>
      </c>
      <c r="N12" s="3450" t="s">
        <v>3477</v>
      </c>
      <c r="O12" s="3450" t="s">
        <v>3534</v>
      </c>
      <c r="P12" s="3450" t="s">
        <v>3478</v>
      </c>
      <c r="Q12" s="3450" t="s">
        <v>3473</v>
      </c>
      <c r="R12" s="3450" t="s">
        <v>3473</v>
      </c>
      <c r="S12" s="3450" t="s">
        <v>3473</v>
      </c>
      <c r="T12" s="3450" t="s">
        <v>3473</v>
      </c>
      <c r="U12" s="3450" t="s">
        <v>3473</v>
      </c>
      <c r="V12" s="3450" t="s">
        <v>3473</v>
      </c>
      <c r="W12" s="3450" t="s">
        <v>3473</v>
      </c>
      <c r="X12" s="3450" t="s">
        <v>3473</v>
      </c>
      <c r="Y12" s="3450" t="s">
        <v>3473</v>
      </c>
      <c r="Z12" s="3450">
        <v>0</v>
      </c>
      <c r="AA12" s="3450">
        <v>0</v>
      </c>
      <c r="AB12" s="3451">
        <v>44960.000497685185</v>
      </c>
      <c r="AC12" s="3451">
        <v>44981.000497685185</v>
      </c>
      <c r="AD12" s="3451">
        <v>44991.000497685185</v>
      </c>
      <c r="AE12" s="3451">
        <v>44991.000497685185</v>
      </c>
      <c r="AF12" s="3450" t="s">
        <v>3566</v>
      </c>
      <c r="AG12" s="3450" t="s">
        <v>3480</v>
      </c>
      <c r="AH12" s="3450" t="s">
        <v>3567</v>
      </c>
      <c r="AI12" s="3450" t="s">
        <v>3473</v>
      </c>
      <c r="AJ12" s="3450" t="s">
        <v>3473</v>
      </c>
      <c r="AK12" s="3450" t="s">
        <v>3473</v>
      </c>
      <c r="AL12" s="3450">
        <v>3500</v>
      </c>
      <c r="AM12" s="3450">
        <v>700</v>
      </c>
      <c r="AN12" s="3450" t="s">
        <v>3568</v>
      </c>
      <c r="AO12" s="3450">
        <v>3500</v>
      </c>
      <c r="AP12" s="3450">
        <v>660.07</v>
      </c>
      <c r="AQ12" s="3452">
        <v>660.07</v>
      </c>
      <c r="AR12" s="3450">
        <v>44.01</v>
      </c>
      <c r="AS12" s="3450">
        <v>44.01</v>
      </c>
      <c r="AT12" s="3450">
        <v>440</v>
      </c>
      <c r="AU12" s="3450">
        <v>440</v>
      </c>
      <c r="AV12" s="3450" t="s">
        <v>3473</v>
      </c>
      <c r="AW12" s="3450" t="s">
        <v>3473</v>
      </c>
      <c r="AX12" s="3450">
        <v>0</v>
      </c>
      <c r="AY12" s="3450" t="s">
        <v>3538</v>
      </c>
      <c r="AZ12" s="3450" t="s">
        <v>3473</v>
      </c>
      <c r="BA12" s="3450" t="s">
        <v>3473</v>
      </c>
      <c r="BB12" s="3450" t="s">
        <v>3473</v>
      </c>
      <c r="BC12" s="3450" t="s">
        <v>3473</v>
      </c>
      <c r="BD12" s="3450" t="s">
        <v>3473</v>
      </c>
      <c r="BE12" s="3450" t="s">
        <v>3473</v>
      </c>
      <c r="BF12" s="3450" t="s">
        <v>3473</v>
      </c>
      <c r="BG12" s="3450" t="s">
        <v>3493</v>
      </c>
      <c r="BH12" s="3450" t="s">
        <v>3485</v>
      </c>
      <c r="BI12" s="3450" t="s">
        <v>3486</v>
      </c>
    </row>
    <row r="13" spans="1:61">
      <c r="A13" s="3450" t="s">
        <v>3569</v>
      </c>
      <c r="B13" s="3450" t="s">
        <v>3381</v>
      </c>
      <c r="C13" s="3450" t="s">
        <v>3570</v>
      </c>
      <c r="D13" s="3450" t="s">
        <v>3471</v>
      </c>
      <c r="E13" s="3450" t="s">
        <v>3472</v>
      </c>
      <c r="F13" s="3450" t="s">
        <v>3473</v>
      </c>
      <c r="G13" s="3450" t="s">
        <v>3571</v>
      </c>
      <c r="H13" s="3450" t="s">
        <v>3475</v>
      </c>
      <c r="I13" s="3450">
        <v>40838.400000000001</v>
      </c>
      <c r="J13" s="3450">
        <v>61257.599999999999</v>
      </c>
      <c r="K13" s="3450" t="s">
        <v>3565</v>
      </c>
      <c r="L13" s="3450">
        <v>1.5</v>
      </c>
      <c r="M13" s="3450" t="s">
        <v>3476</v>
      </c>
      <c r="N13" s="3450" t="s">
        <v>3477</v>
      </c>
      <c r="O13" s="3450" t="s">
        <v>3534</v>
      </c>
      <c r="P13" s="3450" t="s">
        <v>3478</v>
      </c>
      <c r="Q13" s="3450" t="s">
        <v>3473</v>
      </c>
      <c r="R13" s="3450" t="s">
        <v>3473</v>
      </c>
      <c r="S13" s="3450" t="s">
        <v>3473</v>
      </c>
      <c r="T13" s="3450" t="s">
        <v>3473</v>
      </c>
      <c r="U13" s="3450" t="s">
        <v>3473</v>
      </c>
      <c r="V13" s="3450" t="s">
        <v>3473</v>
      </c>
      <c r="W13" s="3450" t="s">
        <v>3473</v>
      </c>
      <c r="X13" s="3450" t="s">
        <v>3473</v>
      </c>
      <c r="Y13" s="3450" t="s">
        <v>3473</v>
      </c>
      <c r="Z13" s="3450">
        <v>0</v>
      </c>
      <c r="AA13" s="3450">
        <v>0</v>
      </c>
      <c r="AB13" s="3451">
        <v>44868.000497685185</v>
      </c>
      <c r="AC13" s="3451">
        <v>44889.000497685185</v>
      </c>
      <c r="AD13" s="3451">
        <v>44900.000497685185</v>
      </c>
      <c r="AE13" s="3451">
        <v>44900.000497685185</v>
      </c>
      <c r="AF13" s="3450" t="s">
        <v>3572</v>
      </c>
      <c r="AG13" s="3450" t="s">
        <v>3480</v>
      </c>
      <c r="AH13" s="3450" t="s">
        <v>3573</v>
      </c>
      <c r="AI13" s="3450" t="s">
        <v>3473</v>
      </c>
      <c r="AJ13" s="3450" t="s">
        <v>3473</v>
      </c>
      <c r="AK13" s="3450" t="s">
        <v>3473</v>
      </c>
      <c r="AL13" s="3450">
        <v>3700</v>
      </c>
      <c r="AM13" s="3450">
        <v>740</v>
      </c>
      <c r="AN13" s="3450" t="s">
        <v>3574</v>
      </c>
      <c r="AO13" s="3450">
        <v>3700</v>
      </c>
      <c r="AP13" s="3450">
        <v>906.01</v>
      </c>
      <c r="AQ13" s="3452">
        <v>906.01</v>
      </c>
      <c r="AR13" s="3450">
        <v>60.4</v>
      </c>
      <c r="AS13" s="3450">
        <v>60.4</v>
      </c>
      <c r="AT13" s="3450">
        <v>604</v>
      </c>
      <c r="AU13" s="3450">
        <v>604</v>
      </c>
      <c r="AV13" s="3450" t="s">
        <v>3473</v>
      </c>
      <c r="AW13" s="3450" t="s">
        <v>3473</v>
      </c>
      <c r="AX13" s="3450">
        <v>0</v>
      </c>
      <c r="AY13" s="3450" t="s">
        <v>3538</v>
      </c>
      <c r="AZ13" s="3450" t="s">
        <v>3473</v>
      </c>
      <c r="BA13" s="3450" t="s">
        <v>3473</v>
      </c>
      <c r="BB13" s="3450" t="s">
        <v>3473</v>
      </c>
      <c r="BC13" s="3450" t="s">
        <v>3473</v>
      </c>
      <c r="BD13" s="3450" t="s">
        <v>3473</v>
      </c>
      <c r="BE13" s="3450" t="s">
        <v>3473</v>
      </c>
      <c r="BF13" s="3450" t="s">
        <v>3473</v>
      </c>
      <c r="BG13" s="3450" t="s">
        <v>3493</v>
      </c>
      <c r="BH13" s="3450" t="s">
        <v>3485</v>
      </c>
      <c r="BI13" s="3450" t="s">
        <v>3486</v>
      </c>
    </row>
    <row r="14" spans="1:61">
      <c r="A14" s="3450" t="s">
        <v>3575</v>
      </c>
      <c r="B14" s="3450" t="s">
        <v>3381</v>
      </c>
      <c r="C14" s="3450" t="s">
        <v>3576</v>
      </c>
      <c r="D14" s="3450" t="s">
        <v>3471</v>
      </c>
      <c r="E14" s="3450" t="s">
        <v>3472</v>
      </c>
      <c r="F14" s="3450" t="s">
        <v>3473</v>
      </c>
      <c r="G14" s="3450" t="s">
        <v>3577</v>
      </c>
      <c r="H14" s="3450" t="s">
        <v>3475</v>
      </c>
      <c r="I14" s="3450">
        <v>71098.5</v>
      </c>
      <c r="J14" s="3450">
        <v>120867.45</v>
      </c>
      <c r="K14" s="3450" t="s">
        <v>3578</v>
      </c>
      <c r="L14" s="3450">
        <v>1.7</v>
      </c>
      <c r="M14" s="3450" t="s">
        <v>3476</v>
      </c>
      <c r="N14" s="3450" t="s">
        <v>3477</v>
      </c>
      <c r="O14" s="3450" t="s">
        <v>3534</v>
      </c>
      <c r="P14" s="3450" t="s">
        <v>3478</v>
      </c>
      <c r="Q14" s="3450" t="s">
        <v>3473</v>
      </c>
      <c r="R14" s="3450" t="s">
        <v>3473</v>
      </c>
      <c r="S14" s="3450" t="s">
        <v>3473</v>
      </c>
      <c r="T14" s="3450" t="s">
        <v>3473</v>
      </c>
      <c r="U14" s="3450" t="s">
        <v>3473</v>
      </c>
      <c r="V14" s="3450" t="s">
        <v>3473</v>
      </c>
      <c r="W14" s="3450" t="s">
        <v>3473</v>
      </c>
      <c r="X14" s="3450" t="s">
        <v>3473</v>
      </c>
      <c r="Y14" s="3450" t="s">
        <v>3473</v>
      </c>
      <c r="Z14" s="3450">
        <v>0</v>
      </c>
      <c r="AA14" s="3450">
        <v>0</v>
      </c>
      <c r="AB14" s="3451">
        <v>44811.000497685185</v>
      </c>
      <c r="AC14" s="3451">
        <v>44832.000497685185</v>
      </c>
      <c r="AD14" s="3451">
        <v>44844.000497685185</v>
      </c>
      <c r="AE14" s="3451">
        <v>44844.000497685185</v>
      </c>
      <c r="AF14" s="3450" t="s">
        <v>3579</v>
      </c>
      <c r="AG14" s="3450" t="s">
        <v>3480</v>
      </c>
      <c r="AH14" s="3450" t="s">
        <v>3580</v>
      </c>
      <c r="AI14" s="3450" t="s">
        <v>3473</v>
      </c>
      <c r="AJ14" s="3450" t="s">
        <v>3473</v>
      </c>
      <c r="AK14" s="3450" t="s">
        <v>3473</v>
      </c>
      <c r="AL14" s="3450">
        <v>7260</v>
      </c>
      <c r="AM14" s="3450">
        <v>1460</v>
      </c>
      <c r="AN14" s="3450" t="s">
        <v>3581</v>
      </c>
      <c r="AO14" s="3450">
        <v>7260</v>
      </c>
      <c r="AP14" s="3450">
        <v>1021.11</v>
      </c>
      <c r="AQ14" s="3452">
        <v>1021.11</v>
      </c>
      <c r="AR14" s="3450">
        <v>68.069999999999993</v>
      </c>
      <c r="AS14" s="3450">
        <v>68.069999999999993</v>
      </c>
      <c r="AT14" s="3450">
        <v>601</v>
      </c>
      <c r="AU14" s="3450">
        <v>601</v>
      </c>
      <c r="AV14" s="3450" t="s">
        <v>3473</v>
      </c>
      <c r="AW14" s="3450" t="s">
        <v>3473</v>
      </c>
      <c r="AX14" s="3450">
        <v>0</v>
      </c>
      <c r="AY14" s="3450" t="s">
        <v>3538</v>
      </c>
      <c r="AZ14" s="3450" t="s">
        <v>3473</v>
      </c>
      <c r="BA14" s="3450" t="s">
        <v>3473</v>
      </c>
      <c r="BB14" s="3450" t="s">
        <v>3473</v>
      </c>
      <c r="BC14" s="3450" t="s">
        <v>3473</v>
      </c>
      <c r="BD14" s="3450" t="s">
        <v>3473</v>
      </c>
      <c r="BE14" s="3450" t="s">
        <v>3473</v>
      </c>
      <c r="BF14" s="3450" t="s">
        <v>3473</v>
      </c>
      <c r="BG14" s="3450" t="s">
        <v>3493</v>
      </c>
      <c r="BH14" s="3450" t="s">
        <v>3485</v>
      </c>
      <c r="BI14" s="3450" t="s">
        <v>3486</v>
      </c>
    </row>
    <row r="15" spans="1:61">
      <c r="A15" s="3450" t="s">
        <v>3582</v>
      </c>
      <c r="B15" s="3450" t="s">
        <v>3381</v>
      </c>
      <c r="C15" s="3450" t="s">
        <v>3583</v>
      </c>
      <c r="D15" s="3450" t="s">
        <v>3471</v>
      </c>
      <c r="E15" s="3450" t="s">
        <v>3472</v>
      </c>
      <c r="F15" s="3450" t="s">
        <v>3473</v>
      </c>
      <c r="G15" s="3450" t="s">
        <v>3584</v>
      </c>
      <c r="H15" s="3450" t="s">
        <v>3475</v>
      </c>
      <c r="I15" s="3450">
        <v>562485.30000000005</v>
      </c>
      <c r="J15" s="3450">
        <v>1406213.25</v>
      </c>
      <c r="K15" s="3450" t="s">
        <v>3585</v>
      </c>
      <c r="L15" s="3450">
        <v>2.5</v>
      </c>
      <c r="M15" s="3450" t="s">
        <v>3476</v>
      </c>
      <c r="N15" s="3450" t="s">
        <v>3477</v>
      </c>
      <c r="O15" s="3450" t="s">
        <v>3475</v>
      </c>
      <c r="P15" s="3450" t="s">
        <v>3478</v>
      </c>
      <c r="Q15" s="3450" t="s">
        <v>3473</v>
      </c>
      <c r="R15" s="3450" t="s">
        <v>3473</v>
      </c>
      <c r="S15" s="3450" t="s">
        <v>3473</v>
      </c>
      <c r="T15" s="3450" t="s">
        <v>3473</v>
      </c>
      <c r="U15" s="3450" t="s">
        <v>3473</v>
      </c>
      <c r="V15" s="3450" t="s">
        <v>3473</v>
      </c>
      <c r="W15" s="3450" t="s">
        <v>3473</v>
      </c>
      <c r="X15" s="3450" t="s">
        <v>3473</v>
      </c>
      <c r="Y15" s="3450" t="s">
        <v>3473</v>
      </c>
      <c r="Z15" s="3450">
        <v>0</v>
      </c>
      <c r="AA15" s="3450">
        <v>0</v>
      </c>
      <c r="AB15" s="3451">
        <v>44771.000497685185</v>
      </c>
      <c r="AC15" s="3451">
        <v>44792.000497685185</v>
      </c>
      <c r="AD15" s="3451">
        <v>44810.000497685185</v>
      </c>
      <c r="AE15" s="3451">
        <v>44810.000497685185</v>
      </c>
      <c r="AF15" s="3450" t="s">
        <v>3586</v>
      </c>
      <c r="AG15" s="3450" t="s">
        <v>3480</v>
      </c>
      <c r="AH15" s="3450" t="s">
        <v>3587</v>
      </c>
      <c r="AI15" s="3450" t="s">
        <v>3588</v>
      </c>
      <c r="AJ15" s="3450" t="s">
        <v>3473</v>
      </c>
      <c r="AK15" s="3450" t="s">
        <v>3473</v>
      </c>
      <c r="AL15" s="3450">
        <v>50970</v>
      </c>
      <c r="AM15" s="3450">
        <v>10200</v>
      </c>
      <c r="AN15" s="3450" t="s">
        <v>3589</v>
      </c>
      <c r="AO15" s="3450">
        <v>50970</v>
      </c>
      <c r="AP15" s="3450">
        <v>906.15</v>
      </c>
      <c r="AQ15" s="3452">
        <v>906.15</v>
      </c>
      <c r="AR15" s="3450">
        <v>60.41</v>
      </c>
      <c r="AS15" s="3450">
        <v>60.41</v>
      </c>
      <c r="AT15" s="3450">
        <v>362</v>
      </c>
      <c r="AU15" s="3450">
        <v>362</v>
      </c>
      <c r="AV15" s="3450" t="s">
        <v>3473</v>
      </c>
      <c r="AW15" s="3450" t="s">
        <v>3473</v>
      </c>
      <c r="AX15" s="3450">
        <v>0</v>
      </c>
      <c r="AY15" s="3450">
        <v>50</v>
      </c>
      <c r="AZ15" s="3450" t="s">
        <v>3473</v>
      </c>
      <c r="BA15" s="3450" t="s">
        <v>3473</v>
      </c>
      <c r="BB15" s="3450" t="s">
        <v>3473</v>
      </c>
      <c r="BC15" s="3450" t="s">
        <v>3473</v>
      </c>
      <c r="BD15" s="3450" t="s">
        <v>3473</v>
      </c>
      <c r="BE15" s="3450" t="s">
        <v>3473</v>
      </c>
      <c r="BF15" s="3450" t="s">
        <v>3473</v>
      </c>
      <c r="BG15" s="3450" t="s">
        <v>3493</v>
      </c>
      <c r="BH15" s="3450" t="s">
        <v>3485</v>
      </c>
      <c r="BI15" s="3450" t="s">
        <v>3486</v>
      </c>
    </row>
    <row r="16" spans="1:61">
      <c r="A16" s="3450" t="s">
        <v>3590</v>
      </c>
      <c r="B16" s="3450" t="s">
        <v>3381</v>
      </c>
      <c r="C16" s="3450" t="s">
        <v>3591</v>
      </c>
      <c r="D16" s="3450" t="s">
        <v>3471</v>
      </c>
      <c r="E16" s="3450" t="s">
        <v>3472</v>
      </c>
      <c r="F16" s="3450" t="s">
        <v>3473</v>
      </c>
      <c r="G16" s="3450" t="s">
        <v>3592</v>
      </c>
      <c r="H16" s="3450" t="s">
        <v>3475</v>
      </c>
      <c r="I16" s="3450">
        <v>46155.199999999997</v>
      </c>
      <c r="J16" s="3450">
        <v>69232.800000000003</v>
      </c>
      <c r="K16" s="3450" t="s">
        <v>3565</v>
      </c>
      <c r="L16" s="3450">
        <v>1.5</v>
      </c>
      <c r="M16" s="3450" t="s">
        <v>3476</v>
      </c>
      <c r="N16" s="3450" t="s">
        <v>3477</v>
      </c>
      <c r="O16" s="3450" t="s">
        <v>3534</v>
      </c>
      <c r="P16" s="3450" t="s">
        <v>3478</v>
      </c>
      <c r="Q16" s="3450" t="s">
        <v>3473</v>
      </c>
      <c r="R16" s="3450" t="s">
        <v>3473</v>
      </c>
      <c r="S16" s="3450" t="s">
        <v>3473</v>
      </c>
      <c r="T16" s="3450" t="s">
        <v>3473</v>
      </c>
      <c r="U16" s="3450" t="s">
        <v>3473</v>
      </c>
      <c r="V16" s="3450" t="s">
        <v>3473</v>
      </c>
      <c r="W16" s="3450" t="s">
        <v>3473</v>
      </c>
      <c r="X16" s="3450" t="s">
        <v>3473</v>
      </c>
      <c r="Y16" s="3450" t="s">
        <v>3473</v>
      </c>
      <c r="Z16" s="3450">
        <v>0</v>
      </c>
      <c r="AA16" s="3450">
        <v>0</v>
      </c>
      <c r="AB16" s="3451">
        <v>44705.000497685185</v>
      </c>
      <c r="AC16" s="3451">
        <v>44726.000497685185</v>
      </c>
      <c r="AD16" s="3451">
        <v>44735.000497685185</v>
      </c>
      <c r="AE16" s="3451">
        <v>44735.000497685185</v>
      </c>
      <c r="AF16" s="3450" t="s">
        <v>3593</v>
      </c>
      <c r="AG16" s="3450" t="s">
        <v>3480</v>
      </c>
      <c r="AH16" s="3450" t="s">
        <v>3594</v>
      </c>
      <c r="AI16" s="3450" t="s">
        <v>3473</v>
      </c>
      <c r="AJ16" s="3450" t="s">
        <v>3473</v>
      </c>
      <c r="AK16" s="3450" t="s">
        <v>3473</v>
      </c>
      <c r="AL16" s="3450">
        <v>4130</v>
      </c>
      <c r="AM16" s="3450">
        <v>900</v>
      </c>
      <c r="AN16" s="3450" t="s">
        <v>3595</v>
      </c>
      <c r="AO16" s="3450">
        <v>4130</v>
      </c>
      <c r="AP16" s="3450">
        <v>894.8</v>
      </c>
      <c r="AQ16" s="3452">
        <v>894.8</v>
      </c>
      <c r="AR16" s="3450">
        <v>59.65</v>
      </c>
      <c r="AS16" s="3450">
        <v>59.65</v>
      </c>
      <c r="AT16" s="3450">
        <v>597</v>
      </c>
      <c r="AU16" s="3450">
        <v>597</v>
      </c>
      <c r="AV16" s="3450" t="s">
        <v>3473</v>
      </c>
      <c r="AW16" s="3450" t="s">
        <v>3473</v>
      </c>
      <c r="AX16" s="3450">
        <v>0</v>
      </c>
      <c r="AY16" s="3450" t="s">
        <v>3538</v>
      </c>
      <c r="AZ16" s="3450" t="s">
        <v>3473</v>
      </c>
      <c r="BA16" s="3450" t="s">
        <v>3473</v>
      </c>
      <c r="BB16" s="3450" t="s">
        <v>3473</v>
      </c>
      <c r="BC16" s="3450" t="s">
        <v>3473</v>
      </c>
      <c r="BD16" s="3450" t="s">
        <v>3473</v>
      </c>
      <c r="BE16" s="3450" t="s">
        <v>3473</v>
      </c>
      <c r="BF16" s="3450" t="s">
        <v>3473</v>
      </c>
      <c r="BG16" s="3450" t="s">
        <v>3493</v>
      </c>
      <c r="BH16" s="3450" t="s">
        <v>3485</v>
      </c>
      <c r="BI16" s="3450" t="s">
        <v>3486</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2" zoomScale="80" zoomScaleNormal="70" zoomScaleSheetLayoutView="80" workbookViewId="0">
      <selection activeCell="D35" sqref="D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f ca="1">J53</f>
        <v>47.41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1418.6351</v>
      </c>
      <c r="C2" s="1387" t="s">
        <v>879</v>
      </c>
      <c r="D2" s="1471">
        <f ca="1">C40+J29+L46</f>
        <v>14186351</v>
      </c>
      <c r="E2" s="1388" t="s">
        <v>880</v>
      </c>
      <c r="F2" s="1389"/>
      <c r="G2" s="2702"/>
      <c r="H2" s="2691"/>
      <c r="I2" s="2691"/>
      <c r="J2" s="2691"/>
      <c r="K2" s="2692"/>
      <c r="L2" s="2691"/>
      <c r="M2" s="2691"/>
    </row>
    <row r="3" spans="1:37" ht="18" customHeight="1" thickBot="1">
      <c r="A3" s="1390" t="s">
        <v>881</v>
      </c>
      <c r="B3" s="1391">
        <f ca="1">IF(ISERROR(D2/F43),0,ROUND(D2/F43,0))</f>
        <v>6855</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680628</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679778</v>
      </c>
      <c r="D6" s="155" t="s">
        <v>2103</v>
      </c>
      <c r="E6" s="302" t="s">
        <v>696</v>
      </c>
      <c r="F6" s="303">
        <f ca="1">INDIRECT("'数据-取费表'!u"&amp;$G$1)</f>
        <v>1</v>
      </c>
      <c r="G6" s="1384"/>
      <c r="H6" s="1069" t="s">
        <v>398</v>
      </c>
      <c r="I6" s="3646" t="s">
        <v>694</v>
      </c>
      <c r="J6" s="301">
        <f ca="1">ROUND(M6*M8*M7*(1-M9),0)</f>
        <v>0</v>
      </c>
      <c r="K6" s="1376" t="s">
        <v>2104</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2069.34</v>
      </c>
      <c r="G7" s="1384"/>
      <c r="H7" s="304"/>
      <c r="I7" s="3647"/>
      <c r="J7" s="306"/>
      <c r="K7" s="307"/>
      <c r="L7" s="302" t="s">
        <v>697</v>
      </c>
      <c r="M7" s="303">
        <f ca="1">F7</f>
        <v>2069.34</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850</v>
      </c>
      <c r="D10" s="1366" t="s">
        <v>2113</v>
      </c>
      <c r="E10" s="313" t="s">
        <v>701</v>
      </c>
      <c r="F10" s="1116" t="s">
        <v>3600</v>
      </c>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10912818</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8277360</v>
      </c>
      <c r="D14" s="1345" t="s">
        <v>708</v>
      </c>
      <c r="E14" s="1342"/>
      <c r="F14" s="319"/>
      <c r="G14" s="1384"/>
      <c r="H14" s="982" t="s">
        <v>398</v>
      </c>
      <c r="I14" s="302" t="s">
        <v>709</v>
      </c>
      <c r="J14" s="21">
        <f ca="1">C29</f>
        <v>11250328</v>
      </c>
      <c r="K14" s="12"/>
      <c r="L14" s="807"/>
      <c r="M14" s="808"/>
    </row>
    <row r="15" spans="1:37" s="1397" customFormat="1" ht="18" customHeight="1" thickBot="1">
      <c r="A15" s="982" t="s">
        <v>399</v>
      </c>
      <c r="B15" s="302" t="s">
        <v>710</v>
      </c>
      <c r="C15" s="21">
        <f ca="1">ROUND(C14*F15,0)</f>
        <v>248321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22501</v>
      </c>
      <c r="K16" s="1087" t="s">
        <v>715</v>
      </c>
      <c r="L16" s="1088"/>
      <c r="M16" s="1072"/>
    </row>
    <row r="17" spans="1:37" s="1397" customFormat="1" ht="18" customHeight="1">
      <c r="A17" s="982" t="s">
        <v>681</v>
      </c>
      <c r="B17" s="302" t="s">
        <v>716</v>
      </c>
      <c r="C17" s="21">
        <f ca="1">ROUND(F17*(F43+INDIRECT("'数据-取费表'!S"&amp;$G$1)),0)</f>
        <v>413868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124160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9063709</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181274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22501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238197</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-22501</v>
      </c>
      <c r="K25" s="1095" t="s">
        <v>753</v>
      </c>
      <c r="L25" s="1096"/>
      <c r="M25" s="1097"/>
    </row>
    <row r="26" spans="1:37" ht="18" customHeight="1">
      <c r="A26" s="982" t="s">
        <v>397</v>
      </c>
      <c r="B26" s="302" t="s">
        <v>754</v>
      </c>
      <c r="C26" s="21">
        <f ca="1">ROUND((C19+C20)*F26,0)</f>
        <v>924498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11250328</v>
      </c>
      <c r="D29" s="1092"/>
      <c r="E29" s="1090"/>
      <c r="F29" s="1093"/>
      <c r="G29" s="1396"/>
      <c r="H29" s="334" t="s">
        <v>396</v>
      </c>
      <c r="I29" s="335" t="s">
        <v>768</v>
      </c>
      <c r="J29" s="336">
        <f ca="1">ROUND(J26/(1+F40)^F41,0)</f>
        <v>0</v>
      </c>
      <c r="K29" s="337" t="s">
        <v>769</v>
      </c>
      <c r="L29" s="338"/>
      <c r="M29" s="339">
        <f ca="1">INDIRECT("'数据-取费表'!k"&amp;$G$1)</f>
        <v>2069.34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116743</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81968</v>
      </c>
      <c r="D31" s="1345" t="s">
        <v>720</v>
      </c>
      <c r="E31" s="1344" t="s">
        <v>770</v>
      </c>
      <c r="F31" s="2315" t="str">
        <f>IF(项目基本情况!B11="企业","——",IF(M47="住宅",IF(F6*F7*F8/12/(1+'数据-取费表'!F30)&gt;100000,4%,2.5%),IF(F6*F7*F8/12/(1+'数据-取费表'!F30)&gt;100000,12%,7%)))</f>
        <v>——</v>
      </c>
      <c r="G31" s="1384"/>
      <c r="H31" s="2804" t="s">
        <v>2302</v>
      </c>
      <c r="I31" s="1398"/>
      <c r="J31" s="1399"/>
      <c r="K31" s="2471"/>
      <c r="L31" s="2694"/>
      <c r="M31" s="2695"/>
    </row>
    <row r="32" spans="1:37" ht="18" customHeight="1">
      <c r="A32" s="982" t="s">
        <v>397</v>
      </c>
      <c r="B32" s="302" t="s">
        <v>723</v>
      </c>
      <c r="C32" s="21">
        <f ca="1">IF(项目基本情况!B11="自然人","——",ROUND(C6*F32/(1+'数据-取费表'!C42),0))</f>
        <v>35607</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45843.44</v>
      </c>
      <c r="D33" s="1370" t="s">
        <v>3621</v>
      </c>
      <c r="E33" s="302" t="s">
        <v>712</v>
      </c>
      <c r="F33" s="322" t="str">
        <f>IF(D33="按票据","——",IF(D33="按租金收入计税",'数据-取费表'!B51,'数据-取费表'!B50))</f>
        <v>——</v>
      </c>
      <c r="G33" s="1384"/>
      <c r="H33" s="2696"/>
      <c r="I33" s="1398"/>
      <c r="J33" s="1399"/>
      <c r="K33" s="2697"/>
      <c r="L33" s="2696"/>
      <c r="M33" s="2696"/>
    </row>
    <row r="34" spans="1:18" ht="18" customHeight="1">
      <c r="A34" s="1069" t="s">
        <v>680</v>
      </c>
      <c r="B34" s="155" t="s">
        <v>730</v>
      </c>
      <c r="C34" s="3797">
        <f>SUM(I38:I40)</f>
        <v>517.31999999999994</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22501</v>
      </c>
      <c r="D36" s="1344" t="s">
        <v>771</v>
      </c>
      <c r="E36" s="302" t="s">
        <v>712</v>
      </c>
      <c r="F36" s="328">
        <f ca="1">INDIRECT("'数据-取费表'!Ak"&amp;$G$1)</f>
        <v>2E-3</v>
      </c>
      <c r="G36" s="1384"/>
      <c r="H36" s="2696"/>
      <c r="I36" s="1398"/>
      <c r="J36" s="1399"/>
      <c r="K36" s="2540"/>
      <c r="L36" s="2696"/>
      <c r="M36" s="2696"/>
    </row>
    <row r="37" spans="1:18" ht="18" customHeight="1">
      <c r="A37" s="982" t="s">
        <v>437</v>
      </c>
      <c r="B37" s="302" t="s">
        <v>742</v>
      </c>
      <c r="C37" s="21">
        <f ca="1">ROUND(C13*F37,0)</f>
        <v>10913</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ROUND(C5*F38,0)</f>
        <v>1361</v>
      </c>
      <c r="D38" s="1092" t="s">
        <v>748</v>
      </c>
      <c r="E38" s="1090" t="s">
        <v>744</v>
      </c>
      <c r="F38" s="1086">
        <f ca="1">INDIRECT("'数据-取费表'!Am"&amp;$G$1)</f>
        <v>2E-3</v>
      </c>
      <c r="G38" s="1384"/>
      <c r="H38" s="2696"/>
      <c r="I38" s="1398">
        <v>180.41</v>
      </c>
      <c r="J38" s="1399"/>
      <c r="K38" s="2700"/>
      <c r="L38" s="2696"/>
      <c r="M38" s="2696"/>
    </row>
    <row r="39" spans="1:18" ht="24.6" customHeight="1" thickTop="1">
      <c r="A39" s="1079" t="s">
        <v>394</v>
      </c>
      <c r="B39" s="1094" t="s">
        <v>772</v>
      </c>
      <c r="C39" s="310">
        <f ca="1">C5-C30</f>
        <v>563885</v>
      </c>
      <c r="D39" s="1095" t="s">
        <v>773</v>
      </c>
      <c r="E39" s="1096"/>
      <c r="F39" s="1097"/>
      <c r="G39" s="1384"/>
      <c r="H39" s="2696">
        <f ca="1">C39/C5</f>
        <v>0.82847752369870176</v>
      </c>
      <c r="I39" s="1398">
        <v>180.41</v>
      </c>
      <c r="J39" s="1399"/>
      <c r="K39" s="2700"/>
      <c r="L39" s="2696"/>
      <c r="M39" s="2696"/>
    </row>
    <row r="40" spans="1:18" ht="18" customHeight="1">
      <c r="A40" s="299" t="s">
        <v>395</v>
      </c>
      <c r="B40" s="300" t="s">
        <v>774</v>
      </c>
      <c r="C40" s="301">
        <f ca="1">ROUND(C39*(1-((1+F42)/(1+F40))^F41)/(F40-F42),0)</f>
        <v>14040419</v>
      </c>
      <c r="D40" s="324" t="s">
        <v>758</v>
      </c>
      <c r="E40" s="302" t="s">
        <v>759</v>
      </c>
      <c r="F40" s="312">
        <f ca="1">INDIRECT("'数据-取费表'!I"&amp;$G$1)</f>
        <v>0.05</v>
      </c>
      <c r="G40" s="1384"/>
      <c r="H40" s="1461"/>
      <c r="I40" s="1398">
        <v>156.5</v>
      </c>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47.41</v>
      </c>
      <c r="G41" s="1384"/>
      <c r="H41" s="1191"/>
      <c r="I41" s="1398"/>
      <c r="J41" s="1399"/>
      <c r="K41" s="2540"/>
      <c r="L41" s="1191"/>
      <c r="M41" s="1191"/>
    </row>
    <row r="42" spans="1:18" ht="18" customHeight="1">
      <c r="A42" s="308"/>
      <c r="B42" s="309"/>
      <c r="C42" s="310"/>
      <c r="D42" s="327"/>
      <c r="E42" s="302" t="s">
        <v>766</v>
      </c>
      <c r="F42" s="312">
        <f ca="1">INDIRECT("'数据-取费表'!v"&amp;$G$1)</f>
        <v>0.02</v>
      </c>
      <c r="G42" s="1384"/>
      <c r="H42" s="1191"/>
      <c r="I42" s="1398"/>
      <c r="J42" s="1399"/>
      <c r="K42" s="2540"/>
      <c r="L42" s="1191"/>
      <c r="M42" s="1191"/>
    </row>
    <row r="43" spans="1:18" ht="18" customHeight="1" thickBot="1">
      <c r="A43" s="334" t="s">
        <v>396</v>
      </c>
      <c r="B43" s="335" t="s">
        <v>776</v>
      </c>
      <c r="C43" s="336">
        <f ca="1">ROUND(C40/F43,0)</f>
        <v>6785</v>
      </c>
      <c r="D43" s="337" t="s">
        <v>777</v>
      </c>
      <c r="E43" s="338" t="s">
        <v>778</v>
      </c>
      <c r="F43" s="339">
        <f ca="1">INDIRECT("'数据-取费表'!k"&amp;$G$1)</f>
        <v>2069.34</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3348</v>
      </c>
      <c r="B45" s="1400"/>
      <c r="C45" s="1472" t="e">
        <f ca="1">ROUND((C68-C40)/10000,4)</f>
        <v>#VALUE!</v>
      </c>
      <c r="D45" s="3428" t="s">
        <v>3349</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f ca="1">IF(M47="住宅",0,IF(L48&gt;J51,L60,J60))</f>
        <v>145932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3601</v>
      </c>
      <c r="K47" s="1416" t="s">
        <v>816</v>
      </c>
      <c r="L47" s="1417">
        <f ca="1">INDIRECT("'数据-取费表'!d"&amp;$G$1)</f>
        <v>50</v>
      </c>
      <c r="M47" s="1380" t="str">
        <f>IF(ISNUMBER(FIND("住宅",C1)),"住宅","非住宅")</f>
        <v>非住宅</v>
      </c>
      <c r="O47" s="1418" t="s">
        <v>403</v>
      </c>
      <c r="P47" s="1419" t="s">
        <v>817</v>
      </c>
      <c r="Q47" s="1420">
        <f ca="1">C40+J29</f>
        <v>14040419</v>
      </c>
      <c r="R47" s="1420" t="s">
        <v>818</v>
      </c>
    </row>
    <row r="48" spans="1:18" s="1384" customFormat="1" ht="28.5" thickBot="1">
      <c r="A48" s="1110" t="s">
        <v>438</v>
      </c>
      <c r="B48" s="300" t="s">
        <v>692</v>
      </c>
      <c r="C48" s="1359">
        <f ca="1">C49+C53+C55</f>
        <v>0</v>
      </c>
      <c r="D48" s="1112"/>
      <c r="E48" s="1113"/>
      <c r="F48" s="962"/>
      <c r="G48" s="722"/>
      <c r="H48" s="723"/>
      <c r="I48" s="1421" t="s">
        <v>819</v>
      </c>
      <c r="J48" s="1422" t="s">
        <v>3602</v>
      </c>
      <c r="K48" s="1423" t="s">
        <v>820</v>
      </c>
      <c r="L48" s="1424">
        <f ca="1">INDIRECT("'数据-取费表'!f"&amp;$G$1)</f>
        <v>47.41</v>
      </c>
      <c r="O48" s="1418" t="s">
        <v>404</v>
      </c>
      <c r="P48" s="1419" t="s">
        <v>821</v>
      </c>
      <c r="Q48" s="1420">
        <f ca="1">J60</f>
        <v>145932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2022</v>
      </c>
      <c r="K49" s="1423" t="s">
        <v>824</v>
      </c>
      <c r="L49" s="1427"/>
      <c r="O49" s="1428" t="s">
        <v>405</v>
      </c>
      <c r="P49" s="1419" t="s">
        <v>825</v>
      </c>
      <c r="Q49" s="1420">
        <f ca="1">C29</f>
        <v>11250328</v>
      </c>
      <c r="R49" s="1420" t="s">
        <v>818</v>
      </c>
    </row>
    <row r="50" spans="1:18" s="1384" customFormat="1" ht="13.5" thickBot="1">
      <c r="A50" s="976"/>
      <c r="B50" s="979"/>
      <c r="C50" s="980"/>
      <c r="D50" s="953"/>
      <c r="E50" s="1056" t="s">
        <v>697</v>
      </c>
      <c r="F50" s="1057">
        <f ca="1">F7</f>
        <v>2069.34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-4098698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47.41</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47.41</v>
      </c>
      <c r="K53" s="3644" t="s">
        <v>837</v>
      </c>
      <c r="L53" s="3645"/>
      <c r="O53" s="1418" t="s">
        <v>409</v>
      </c>
      <c r="P53" s="1419" t="s">
        <v>838</v>
      </c>
      <c r="Q53" s="1420">
        <f ca="1">Q47+Q48</f>
        <v>14186351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10912818</v>
      </c>
      <c r="D56" s="1447"/>
      <c r="E56" s="1448"/>
      <c r="F56" s="1440"/>
      <c r="I56" s="1449" t="s">
        <v>842</v>
      </c>
      <c r="J56" s="1450" t="s">
        <v>3388</v>
      </c>
      <c r="K56" s="1421" t="s">
        <v>843</v>
      </c>
      <c r="L56" s="1424" t="str">
        <f ca="1">IF(L48&lt;J51,"——",L48-J51)</f>
        <v>——</v>
      </c>
      <c r="O56" s="1418" t="s">
        <v>403</v>
      </c>
      <c r="P56" s="1419" t="s">
        <v>817</v>
      </c>
      <c r="Q56" s="1420">
        <f ca="1">C40+J29</f>
        <v>14040419</v>
      </c>
      <c r="R56" s="1420" t="s">
        <v>818</v>
      </c>
    </row>
    <row r="57" spans="1:18" s="1384" customFormat="1" ht="24.75" thickBot="1">
      <c r="A57" s="1451"/>
      <c r="B57" s="950" t="s">
        <v>767</v>
      </c>
      <c r="C57" s="238">
        <f ca="1">C29</f>
        <v>11250328</v>
      </c>
      <c r="D57" s="1452"/>
      <c r="E57" s="1453"/>
      <c r="F57" s="1454"/>
      <c r="I57" s="1455" t="s">
        <v>844</v>
      </c>
      <c r="J57" s="1456">
        <f ca="1">IF(OR(M47="住宅",J51&lt;L48,J56="是"),"——",J51-L48)</f>
        <v>10.590000000000003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t="e">
        <f ca="1">ROUND(C59+C64+C65+C66,0)</f>
        <v>#VALUE!</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#VALUE!</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4500131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145932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#VALUE!</v>
      </c>
      <c r="D61" s="1370" t="s">
        <v>3332</v>
      </c>
      <c r="E61" s="950" t="s">
        <v>783</v>
      </c>
      <c r="F61" s="322" t="str">
        <f t="shared" si="0"/>
        <v>——</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14040419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22501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10913</v>
      </c>
      <c r="D65" s="964" t="s">
        <v>743</v>
      </c>
      <c r="E65" s="950" t="s">
        <v>744</v>
      </c>
      <c r="F65" s="330">
        <f t="shared" ca="1" si="0"/>
        <v>1E-3</v>
      </c>
      <c r="I65" s="1462" t="s">
        <v>867</v>
      </c>
      <c r="J65" s="1463">
        <v>40</v>
      </c>
      <c r="K65" s="1463">
        <v>30</v>
      </c>
      <c r="L65" s="1463">
        <v>50</v>
      </c>
      <c r="M65" s="1465">
        <v>0.02</v>
      </c>
      <c r="O65" s="1418" t="s">
        <v>403</v>
      </c>
      <c r="P65" s="1419" t="s">
        <v>868</v>
      </c>
      <c r="Q65" s="1420">
        <f ca="1">C40+J29</f>
        <v>14040419</v>
      </c>
      <c r="R65" s="1420" t="s">
        <v>818</v>
      </c>
    </row>
    <row r="66" spans="1:18" s="1384" customFormat="1" ht="16.5" thickBot="1">
      <c r="A66" s="982" t="s">
        <v>793</v>
      </c>
      <c r="B66" s="950" t="s">
        <v>728</v>
      </c>
      <c r="C66" s="21">
        <f ca="1">ROUND(C48*F66,0)</f>
        <v>0</v>
      </c>
      <c r="D66" s="964" t="s">
        <v>794</v>
      </c>
      <c r="E66" s="950" t="s">
        <v>712</v>
      </c>
      <c r="F66" s="312">
        <f t="shared" ca="1" si="0"/>
        <v>2E-3</v>
      </c>
      <c r="O66" s="1418" t="s">
        <v>404</v>
      </c>
      <c r="P66" s="1419" t="s">
        <v>846</v>
      </c>
      <c r="Q66" s="1420">
        <f ca="1">L60</f>
        <v>0</v>
      </c>
      <c r="R66" s="1420" t="s">
        <v>869</v>
      </c>
    </row>
    <row r="67" spans="1:18" s="1384" customFormat="1" ht="16.5" thickBot="1">
      <c r="A67" s="957" t="s">
        <v>394</v>
      </c>
      <c r="B67" s="967" t="s">
        <v>752</v>
      </c>
      <c r="C67" s="316" t="e">
        <f ca="1">C48-C58</f>
        <v>#VALUE!</v>
      </c>
      <c r="D67" s="963" t="s">
        <v>753</v>
      </c>
      <c r="E67" s="968"/>
      <c r="F67" s="969"/>
      <c r="O67" s="1428" t="s">
        <v>405</v>
      </c>
      <c r="P67" s="1419" t="s">
        <v>850</v>
      </c>
      <c r="Q67" s="1466">
        <f ca="1">L51</f>
        <v>-4098698</v>
      </c>
      <c r="R67" s="1420" t="s">
        <v>870</v>
      </c>
    </row>
    <row r="68" spans="1:18" s="1384" customFormat="1" ht="16.5" thickBot="1">
      <c r="A68" s="947" t="s">
        <v>395</v>
      </c>
      <c r="B68" s="948" t="s">
        <v>774</v>
      </c>
      <c r="C68" s="301" t="e">
        <f ca="1">ROUND(C67*(1-((1+F70)/(1+F68))^F69)/(F68-F70),0)</f>
        <v>#VALUE!</v>
      </c>
      <c r="D68" s="965" t="s">
        <v>758</v>
      </c>
      <c r="E68" s="950" t="s">
        <v>759</v>
      </c>
      <c r="F68" s="312">
        <f ca="1">F40</f>
        <v>0.05</v>
      </c>
      <c r="O68" s="1428" t="s">
        <v>406</v>
      </c>
      <c r="P68" s="1467" t="s">
        <v>871</v>
      </c>
      <c r="Q68" s="1420">
        <f ca="1">ROUND(Q69-Q70*Q71,0)</f>
        <v>-200012</v>
      </c>
      <c r="R68" s="1420" t="s">
        <v>414</v>
      </c>
    </row>
    <row r="69" spans="1:18" s="1384" customFormat="1" ht="13.5" thickBot="1">
      <c r="A69" s="951"/>
      <c r="B69" s="952"/>
      <c r="C69" s="306"/>
      <c r="D69" s="970" t="s">
        <v>762</v>
      </c>
      <c r="E69" s="950" t="s">
        <v>763</v>
      </c>
      <c r="F69" s="333">
        <f ca="1">F41</f>
        <v>47.41</v>
      </c>
      <c r="O69" s="1428" t="s">
        <v>411</v>
      </c>
      <c r="P69" s="1467" t="s">
        <v>872</v>
      </c>
      <c r="Q69" s="1420">
        <f ca="1">C39</f>
        <v>563885</v>
      </c>
      <c r="R69" s="1420" t="s">
        <v>818</v>
      </c>
    </row>
    <row r="70" spans="1:18" s="1384" customFormat="1" ht="13.5" thickBot="1">
      <c r="A70" s="954"/>
      <c r="B70" s="955"/>
      <c r="C70" s="310"/>
      <c r="D70" s="966"/>
      <c r="E70" s="950" t="s">
        <v>766</v>
      </c>
      <c r="F70" s="1054"/>
      <c r="O70" s="1428" t="s">
        <v>412</v>
      </c>
      <c r="P70" s="1467" t="s">
        <v>873</v>
      </c>
      <c r="Q70" s="1420">
        <f ca="1">C13</f>
        <v>10912818</v>
      </c>
      <c r="R70" s="1420" t="s">
        <v>818</v>
      </c>
    </row>
    <row r="71" spans="1:18" s="1384" customFormat="1" ht="13.5" thickBot="1">
      <c r="A71" s="971" t="s">
        <v>396</v>
      </c>
      <c r="B71" s="972" t="s">
        <v>776</v>
      </c>
      <c r="C71" s="336" t="e">
        <f ca="1">ROUND(C68/F71,0)</f>
        <v>#VALUE!</v>
      </c>
      <c r="D71" s="973" t="s">
        <v>777</v>
      </c>
      <c r="E71" s="974" t="s">
        <v>778</v>
      </c>
      <c r="F71" s="339">
        <f ca="1">F43</f>
        <v>2069.34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763897</v>
      </c>
      <c r="D75" s="1384"/>
      <c r="E75" s="1384"/>
      <c r="F75" s="1384"/>
      <c r="K75" s="1402"/>
      <c r="L75" s="1384"/>
      <c r="O75" s="1418" t="s">
        <v>409</v>
      </c>
      <c r="P75" s="1419" t="s">
        <v>838</v>
      </c>
      <c r="Q75" s="1420">
        <f ca="1">Q65+Q66</f>
        <v>14040419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-0.35499999999999998</v>
      </c>
    </row>
    <row r="80" spans="1:18">
      <c r="B80" s="340" t="s">
        <v>800</v>
      </c>
      <c r="C80" s="274">
        <f ca="1">ROUND(C75/C39,3)</f>
        <v>1.355</v>
      </c>
    </row>
    <row r="81" spans="2:3">
      <c r="B81" s="270" t="s">
        <v>801</v>
      </c>
      <c r="C81" s="238"/>
    </row>
    <row r="82" spans="2:3">
      <c r="B82" s="273" t="s">
        <v>802</v>
      </c>
      <c r="C82" s="275">
        <f ca="1">1-C83</f>
        <v>0.22299999999999998</v>
      </c>
    </row>
    <row r="83" spans="2:3">
      <c r="B83" s="273" t="s">
        <v>803</v>
      </c>
      <c r="C83" s="274">
        <f ca="1">ROUND(C13/C40,3)</f>
        <v>0.77700000000000002</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5" t="s">
        <v>2311</v>
      </c>
      <c r="B2" s="2839" t="e">
        <f>IF(D2="——",C40,C40+E2)</f>
        <v>#DIV/0!</v>
      </c>
      <c r="C2" s="2840" t="s">
        <v>2312</v>
      </c>
      <c r="D2" s="3439" t="s">
        <v>3355</v>
      </c>
      <c r="E2" s="3440"/>
      <c r="F2" s="2842"/>
      <c r="G2" s="2843"/>
      <c r="H2" s="2844"/>
      <c r="I2" s="2845"/>
      <c r="J2" s="3691" t="s">
        <v>2313</v>
      </c>
      <c r="K2" s="3692"/>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693" t="s">
        <v>2323</v>
      </c>
      <c r="K3" s="3694"/>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693" t="s">
        <v>2325</v>
      </c>
      <c r="K4" s="3694"/>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695" t="s">
        <v>2329</v>
      </c>
      <c r="B6" s="3696"/>
      <c r="C6" s="3697"/>
      <c r="D6" s="2866"/>
      <c r="E6" s="2867"/>
      <c r="F6" s="2868"/>
      <c r="G6" s="2869"/>
      <c r="H6" s="2844"/>
      <c r="I6" s="2845"/>
      <c r="J6" s="3698">
        <v>1</v>
      </c>
      <c r="K6" s="3699"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698"/>
      <c r="K7" s="3700"/>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02" t="s">
        <v>2343</v>
      </c>
      <c r="C8" s="3703"/>
      <c r="D8" s="2885" t="s">
        <v>2344</v>
      </c>
      <c r="E8" s="2886" t="s">
        <v>2345</v>
      </c>
      <c r="F8" s="2887" t="s">
        <v>2346</v>
      </c>
      <c r="G8" s="2888"/>
      <c r="H8" s="2844"/>
      <c r="I8" s="2845"/>
      <c r="J8" s="3698"/>
      <c r="K8" s="3700"/>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02" t="s">
        <v>2349</v>
      </c>
      <c r="C9" s="3703"/>
      <c r="D9" s="2885">
        <f>ROUND(D6*E9,0)</f>
        <v>0</v>
      </c>
      <c r="E9" s="2889"/>
      <c r="F9" s="2890" t="s">
        <v>2350</v>
      </c>
      <c r="G9" s="2869"/>
      <c r="H9" s="2844"/>
      <c r="I9" s="2845"/>
      <c r="J9" s="3698"/>
      <c r="K9" s="3700"/>
      <c r="L9" s="2879" t="s">
        <v>2351</v>
      </c>
      <c r="M9" s="2880"/>
      <c r="N9" s="2856"/>
      <c r="O9" s="2881"/>
      <c r="P9" s="2881"/>
      <c r="Q9" s="2882">
        <v>365</v>
      </c>
      <c r="R9" s="2883">
        <f t="shared" si="0"/>
        <v>0</v>
      </c>
      <c r="S9" s="2837"/>
      <c r="T9" s="2837"/>
      <c r="U9" s="2837"/>
      <c r="V9" s="2845"/>
    </row>
    <row r="10" spans="1:22" s="2849" customFormat="1" ht="13.15" customHeight="1">
      <c r="A10" s="2884">
        <v>2</v>
      </c>
      <c r="B10" s="3702" t="s">
        <v>2352</v>
      </c>
      <c r="C10" s="3703"/>
      <c r="D10" s="2885">
        <f>ROUND(D6*E10,0)</f>
        <v>0</v>
      </c>
      <c r="E10" s="2889"/>
      <c r="F10" s="2890" t="s">
        <v>2353</v>
      </c>
      <c r="G10" s="2869"/>
      <c r="H10" s="2844"/>
      <c r="I10" s="2845"/>
      <c r="J10" s="3698"/>
      <c r="K10" s="3700"/>
      <c r="L10" s="2879" t="s">
        <v>2354</v>
      </c>
      <c r="M10" s="2880"/>
      <c r="N10" s="2856"/>
      <c r="O10" s="2881"/>
      <c r="P10" s="2881"/>
      <c r="Q10" s="2882">
        <v>365</v>
      </c>
      <c r="R10" s="2883">
        <f t="shared" si="0"/>
        <v>0</v>
      </c>
      <c r="S10" s="2837"/>
      <c r="T10" s="2837"/>
      <c r="U10" s="2837"/>
      <c r="V10" s="2845"/>
    </row>
    <row r="11" spans="1:22" s="2849" customFormat="1" ht="13.15" customHeight="1">
      <c r="A11" s="2884">
        <v>3</v>
      </c>
      <c r="B11" s="3702" t="s">
        <v>2355</v>
      </c>
      <c r="C11" s="3703"/>
      <c r="D11" s="2885">
        <f>D12+D14+D15+D16</f>
        <v>0</v>
      </c>
      <c r="E11" s="2891" t="e">
        <f>D11/D6</f>
        <v>#DIV/0!</v>
      </c>
      <c r="F11" s="2887"/>
      <c r="G11" s="2888"/>
      <c r="H11" s="2844"/>
      <c r="I11" s="2845"/>
      <c r="J11" s="3698"/>
      <c r="K11" s="3700"/>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04" t="s">
        <v>2358</v>
      </c>
      <c r="C12" s="3705"/>
      <c r="D12" s="2893">
        <f>ROUND(D13*1.2%*(1-30%),0)</f>
        <v>0</v>
      </c>
      <c r="E12" s="2894">
        <v>1.2E-2</v>
      </c>
      <c r="F12" s="2887" t="s">
        <v>2359</v>
      </c>
      <c r="G12" s="2888"/>
      <c r="H12" s="2844"/>
      <c r="I12" s="2845"/>
      <c r="J12" s="3698"/>
      <c r="K12" s="3700"/>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698"/>
      <c r="K13" s="3700"/>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04" t="s">
        <v>2364</v>
      </c>
      <c r="C14" s="3705"/>
      <c r="D14" s="2893">
        <f>ROUND(E14*B5/10000,0)</f>
        <v>0</v>
      </c>
      <c r="E14" s="2882"/>
      <c r="F14" s="2887" t="s">
        <v>2365</v>
      </c>
      <c r="G14" s="2888"/>
      <c r="H14" s="2844"/>
      <c r="I14" s="2845"/>
      <c r="J14" s="3698"/>
      <c r="K14" s="3701"/>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04" t="s">
        <v>2368</v>
      </c>
      <c r="C15" s="3705"/>
      <c r="D15" s="2893">
        <f>ROUND(D6*E15,0)</f>
        <v>0</v>
      </c>
      <c r="E15" s="2894">
        <v>5.5E-2</v>
      </c>
      <c r="F15" s="2887" t="s">
        <v>2369</v>
      </c>
      <c r="G15" s="2869"/>
      <c r="H15" s="2844"/>
      <c r="I15" s="2845"/>
      <c r="J15" s="3698">
        <v>2</v>
      </c>
      <c r="K15" s="3699"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04" t="s">
        <v>2377</v>
      </c>
      <c r="C16" s="3705"/>
      <c r="D16" s="2904">
        <f>D6*E16</f>
        <v>0</v>
      </c>
      <c r="E16" s="2905"/>
      <c r="F16" s="2890" t="s">
        <v>2378</v>
      </c>
      <c r="G16" s="2869"/>
      <c r="H16" s="2844"/>
      <c r="I16" s="2845"/>
      <c r="J16" s="3698"/>
      <c r="K16" s="3700"/>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06" t="s">
        <v>2380</v>
      </c>
      <c r="C17" s="3707"/>
      <c r="D17" s="2907">
        <f>ROUND(D6*E17,0)</f>
        <v>0</v>
      </c>
      <c r="E17" s="2908"/>
      <c r="F17" s="2909" t="s">
        <v>2381</v>
      </c>
      <c r="G17" s="2869"/>
      <c r="H17" s="2844"/>
      <c r="I17" s="2845"/>
      <c r="J17" s="3698"/>
      <c r="K17" s="3700"/>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698"/>
      <c r="K18" s="3700"/>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698"/>
      <c r="K19" s="3701"/>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8">
        <v>3</v>
      </c>
      <c r="K20" s="3699"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698"/>
      <c r="K21" s="3700"/>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698"/>
      <c r="K22" s="3700"/>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698"/>
      <c r="K23" s="3700"/>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698"/>
      <c r="K24" s="3701"/>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08">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0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691" t="s">
        <v>2313</v>
      </c>
      <c r="K32" s="3692"/>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693" t="s">
        <v>2323</v>
      </c>
      <c r="K33" s="3694"/>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693" t="s">
        <v>2325</v>
      </c>
      <c r="K34" s="369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698">
        <v>1</v>
      </c>
      <c r="K36" s="3699"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698"/>
      <c r="K37" s="3700"/>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8"/>
      <c r="K38" s="3700"/>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698"/>
      <c r="K39" s="3700"/>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698"/>
      <c r="K40" s="3701"/>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8">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0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3"/>
      <c r="G1" s="1489"/>
      <c r="H1" s="1489"/>
      <c r="I1" s="1489"/>
      <c r="J1" s="1489"/>
      <c r="K1" s="1489"/>
      <c r="L1" s="1489"/>
      <c r="M1" s="1489"/>
      <c r="N1" s="1489"/>
      <c r="O1" s="1489"/>
      <c r="P1" s="1489"/>
      <c r="Q1" s="1489"/>
      <c r="R1" s="1489"/>
      <c r="S1" s="1489"/>
    </row>
    <row r="2" spans="1:22" ht="15.75">
      <c r="A2" s="1870" t="s">
        <v>1460</v>
      </c>
      <c r="B2" s="1871">
        <f ca="1">SUMIF(B6:B13,"&lt;&gt;#ref!",B6:B13)</f>
        <v>1418.6351</v>
      </c>
      <c r="C2" s="1872" t="s">
        <v>1649</v>
      </c>
      <c r="D2" s="1873" t="s">
        <v>1650</v>
      </c>
      <c r="E2" s="2603">
        <f>SUM(E6:E13)</f>
        <v>2069.34</v>
      </c>
      <c r="F2" s="2703"/>
      <c r="G2" s="1489"/>
      <c r="H2" s="1489"/>
      <c r="I2" s="1489"/>
      <c r="J2" s="1489"/>
      <c r="K2" s="1489"/>
      <c r="L2" s="1489"/>
      <c r="M2" s="1489"/>
      <c r="N2" s="1489"/>
      <c r="O2" s="1489"/>
      <c r="P2" s="1489"/>
      <c r="Q2" s="1489"/>
      <c r="R2" s="1489"/>
      <c r="S2" s="1489"/>
    </row>
    <row r="3" spans="1:22" ht="15.75">
      <c r="A3" s="1870" t="s">
        <v>686</v>
      </c>
      <c r="B3" s="2597">
        <f ca="1">ROUND(B2*10000/E2,0)</f>
        <v>6855</v>
      </c>
      <c r="C3" s="1872" t="s">
        <v>1657</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1651</v>
      </c>
      <c r="B5" s="3710" t="s">
        <v>1652</v>
      </c>
      <c r="C5" s="3711"/>
      <c r="D5" s="2704"/>
      <c r="E5" s="1874" t="s">
        <v>1653</v>
      </c>
      <c r="F5" s="1875" t="s">
        <v>1654</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1418.6351</v>
      </c>
      <c r="C6" s="1872" t="s">
        <v>1649</v>
      </c>
      <c r="D6" s="2705"/>
      <c r="E6" s="2602">
        <f>IF(OR(A6=0,F6="否"),0,'数据-取费表'!K6+'数据-取费表'!S6)</f>
        <v>2069.34</v>
      </c>
      <c r="F6" s="1876" t="s">
        <v>1655</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1649</v>
      </c>
      <c r="D7" s="2705"/>
      <c r="E7" s="2602">
        <f>IF(OR(A7=0,F7="否"),0,'数据-取费表'!K7+'数据-取费表'!S7)</f>
        <v>0</v>
      </c>
      <c r="F7" s="1876" t="s">
        <v>1655</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1649</v>
      </c>
      <c r="D8" s="2705"/>
      <c r="E8" s="2602">
        <f>IF(OR(A8=0,F8="否"),0,'数据-取费表'!K8+'数据-取费表'!S8)</f>
        <v>0</v>
      </c>
      <c r="F8" s="1876" t="s">
        <v>1655</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1649</v>
      </c>
      <c r="D9" s="2705"/>
      <c r="E9" s="2602">
        <f>IF(OR(A9=0,F9="否"),0,'数据-取费表'!K9+'数据-取费表'!S9)</f>
        <v>0</v>
      </c>
      <c r="F9" s="1876" t="s">
        <v>1655</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1649</v>
      </c>
      <c r="D10" s="2705"/>
      <c r="E10" s="2602">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1649</v>
      </c>
      <c r="D11" s="2705"/>
      <c r="E11" s="2602">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1649</v>
      </c>
      <c r="D12" s="2705"/>
      <c r="E12" s="2602">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1649</v>
      </c>
      <c r="D13" s="2706"/>
      <c r="E13" s="2602">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2"/>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2069.34</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1664</v>
      </c>
      <c r="B4" s="356"/>
      <c r="C4" s="3664" t="s">
        <v>1665</v>
      </c>
      <c r="D4" s="3665"/>
      <c r="E4" s="3666" t="s">
        <v>1666</v>
      </c>
      <c r="F4" s="3667"/>
      <c r="G4" s="3664" t="s">
        <v>1667</v>
      </c>
      <c r="H4" s="3665"/>
      <c r="I4" s="3664" t="s">
        <v>1668</v>
      </c>
      <c r="J4" s="3665"/>
      <c r="K4" s="1889" t="s">
        <v>1669</v>
      </c>
      <c r="L4" s="2711"/>
      <c r="M4" s="2712"/>
      <c r="N4" s="2712"/>
      <c r="O4" s="2712"/>
      <c r="P4" s="3668" t="s">
        <v>1670</v>
      </c>
      <c r="Q4" s="3669"/>
      <c r="R4" s="3678" t="s">
        <v>1666</v>
      </c>
      <c r="S4" s="3679"/>
      <c r="T4" s="3678" t="s">
        <v>1667</v>
      </c>
      <c r="U4" s="3679"/>
      <c r="V4" s="3656" t="s">
        <v>1668</v>
      </c>
      <c r="W4" s="3656"/>
      <c r="X4" s="1355"/>
      <c r="Y4" s="3678" t="s">
        <v>1670</v>
      </c>
      <c r="Z4" s="3679"/>
      <c r="AA4" s="3661" t="s">
        <v>1666</v>
      </c>
      <c r="AB4" s="3661" t="s">
        <v>1667</v>
      </c>
      <c r="AC4" s="3661" t="s">
        <v>1668</v>
      </c>
    </row>
    <row r="5" spans="1:29" ht="15">
      <c r="A5" s="358"/>
      <c r="B5" s="359"/>
      <c r="C5" s="3682" t="s">
        <v>1671</v>
      </c>
      <c r="D5" s="3683"/>
      <c r="E5" s="3674" t="s">
        <v>1672</v>
      </c>
      <c r="F5" s="3675"/>
      <c r="G5" s="3682" t="s">
        <v>1673</v>
      </c>
      <c r="H5" s="3683"/>
      <c r="I5" s="3682" t="s">
        <v>1674</v>
      </c>
      <c r="J5" s="3683"/>
      <c r="K5" s="1890"/>
      <c r="L5" s="2711"/>
      <c r="M5" s="2712"/>
      <c r="N5" s="2712"/>
      <c r="O5" s="2712"/>
      <c r="P5" s="3670"/>
      <c r="Q5" s="3671"/>
      <c r="R5" s="3680"/>
      <c r="S5" s="3681"/>
      <c r="T5" s="3680"/>
      <c r="U5" s="3681"/>
      <c r="V5" s="3656"/>
      <c r="W5" s="3656"/>
      <c r="X5" s="1355"/>
      <c r="Y5" s="3680"/>
      <c r="Z5" s="3681"/>
      <c r="AA5" s="3662"/>
      <c r="AB5" s="3662"/>
      <c r="AC5" s="3662"/>
    </row>
    <row r="6" spans="1:29" ht="15.75" thickBot="1">
      <c r="A6" s="360"/>
      <c r="B6" s="361"/>
      <c r="C6" s="3712" t="s">
        <v>1675</v>
      </c>
      <c r="D6" s="3713"/>
      <c r="E6" s="3714" t="s">
        <v>1675</v>
      </c>
      <c r="F6" s="3715"/>
      <c r="G6" s="3712" t="s">
        <v>1675</v>
      </c>
      <c r="H6" s="3713"/>
      <c r="I6" s="3712" t="s">
        <v>1675</v>
      </c>
      <c r="J6" s="3713"/>
      <c r="K6" s="1890" t="s">
        <v>1676</v>
      </c>
      <c r="L6" s="2711"/>
      <c r="M6" s="2712"/>
      <c r="N6" s="2712"/>
      <c r="O6" s="2712"/>
      <c r="P6" s="3672"/>
      <c r="Q6" s="3673"/>
      <c r="R6" s="3680"/>
      <c r="S6" s="3681"/>
      <c r="T6" s="3689"/>
      <c r="U6" s="3690"/>
      <c r="V6" s="3656"/>
      <c r="W6" s="3656"/>
      <c r="X6" s="1355"/>
      <c r="Y6" s="3689"/>
      <c r="Z6" s="3690"/>
      <c r="AA6" s="3663"/>
      <c r="AB6" s="3663"/>
      <c r="AC6" s="3663"/>
    </row>
    <row r="7" spans="1:29" s="108" customFormat="1" ht="15.75" thickBot="1">
      <c r="A7" s="362" t="s">
        <v>1677</v>
      </c>
      <c r="B7" s="363"/>
      <c r="C7" s="364">
        <f>'数据-取费表'!B2</f>
        <v>45440</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54" t="s">
        <v>1678</v>
      </c>
      <c r="Q7" s="3686"/>
      <c r="R7" s="701" t="s">
        <v>20</v>
      </c>
      <c r="S7" s="702">
        <f t="shared" ref="S7:S15" si="0">F7</f>
        <v>0</v>
      </c>
      <c r="T7" s="701" t="s">
        <v>20</v>
      </c>
      <c r="U7" s="702">
        <f t="shared" ref="U7:U15" si="1">H7</f>
        <v>0</v>
      </c>
      <c r="V7" s="701" t="s">
        <v>20</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54" t="s">
        <v>1681</v>
      </c>
      <c r="Q8" s="3655"/>
      <c r="R8" s="701" t="s">
        <v>20</v>
      </c>
      <c r="S8" s="702">
        <f t="shared" si="0"/>
        <v>100</v>
      </c>
      <c r="T8" s="701" t="s">
        <v>20</v>
      </c>
      <c r="U8" s="702">
        <f t="shared" si="1"/>
        <v>100</v>
      </c>
      <c r="V8" s="701" t="s">
        <v>20</v>
      </c>
      <c r="W8" s="702">
        <f t="shared" si="2"/>
        <v>100</v>
      </c>
      <c r="X8" s="703"/>
      <c r="Y8" s="3654" t="s">
        <v>1681</v>
      </c>
      <c r="Z8" s="365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77" t="s">
        <v>1684</v>
      </c>
      <c r="Q9" s="1343" t="str">
        <f t="shared" ref="Q9:Q15" si="6">B9</f>
        <v>用途</v>
      </c>
      <c r="R9" s="701" t="s">
        <v>14</v>
      </c>
      <c r="S9" s="702">
        <f t="shared" si="0"/>
        <v>100</v>
      </c>
      <c r="T9" s="701" t="s">
        <v>14</v>
      </c>
      <c r="U9" s="702">
        <f t="shared" si="1"/>
        <v>100</v>
      </c>
      <c r="V9" s="701" t="s">
        <v>14</v>
      </c>
      <c r="W9" s="702">
        <f t="shared" si="2"/>
        <v>100</v>
      </c>
      <c r="X9" s="703"/>
      <c r="Y9" s="3617"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7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7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7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7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2" t="s">
        <v>1689</v>
      </c>
      <c r="Q15" s="1352" t="str">
        <f t="shared" si="6"/>
        <v>居住社区成熟度</v>
      </c>
      <c r="R15" s="705" t="s">
        <v>18</v>
      </c>
      <c r="S15" s="706">
        <f t="shared" si="0"/>
        <v>100</v>
      </c>
      <c r="T15" s="705" t="s">
        <v>18</v>
      </c>
      <c r="U15" s="706">
        <f t="shared" si="1"/>
        <v>100</v>
      </c>
      <c r="V15" s="705" t="s">
        <v>18</v>
      </c>
      <c r="W15" s="706">
        <f t="shared" si="2"/>
        <v>100</v>
      </c>
      <c r="X15" s="1355"/>
      <c r="Y15" s="3657"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23"/>
      <c r="Q16" s="1352"/>
      <c r="R16" s="705"/>
      <c r="S16" s="706"/>
      <c r="T16" s="705"/>
      <c r="U16" s="706"/>
      <c r="V16" s="705"/>
      <c r="W16" s="706"/>
      <c r="X16" s="1355"/>
      <c r="Y16" s="3658"/>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3"/>
      <c r="Q17" s="1352" t="str">
        <f>B17</f>
        <v>交通便捷度</v>
      </c>
      <c r="R17" s="705" t="s">
        <v>18</v>
      </c>
      <c r="S17" s="706">
        <f>F17</f>
        <v>100</v>
      </c>
      <c r="T17" s="705" t="s">
        <v>18</v>
      </c>
      <c r="U17" s="706">
        <f>H17</f>
        <v>100</v>
      </c>
      <c r="V17" s="705" t="s">
        <v>18</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23"/>
      <c r="Q18" s="1352"/>
      <c r="R18" s="705"/>
      <c r="S18" s="706"/>
      <c r="T18" s="705"/>
      <c r="U18" s="706"/>
      <c r="V18" s="705"/>
      <c r="W18" s="706"/>
      <c r="X18" s="1355"/>
      <c r="Y18" s="3658"/>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3"/>
      <c r="Q19" s="1352" t="str">
        <f>B19</f>
        <v>公共配套设施</v>
      </c>
      <c r="R19" s="705" t="s">
        <v>18</v>
      </c>
      <c r="S19" s="706">
        <f>F19</f>
        <v>100</v>
      </c>
      <c r="T19" s="705" t="s">
        <v>18</v>
      </c>
      <c r="U19" s="706">
        <f>H19</f>
        <v>100</v>
      </c>
      <c r="V19" s="705" t="s">
        <v>18</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23"/>
      <c r="Q20" s="1352"/>
      <c r="R20" s="705"/>
      <c r="S20" s="706"/>
      <c r="T20" s="705"/>
      <c r="U20" s="706"/>
      <c r="V20" s="705"/>
      <c r="W20" s="706"/>
      <c r="X20" s="1355"/>
      <c r="Y20" s="3658"/>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3"/>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23"/>
      <c r="Q22" s="1352"/>
      <c r="R22" s="705"/>
      <c r="S22" s="706"/>
      <c r="T22" s="705"/>
      <c r="U22" s="706"/>
      <c r="V22" s="705"/>
      <c r="W22" s="706"/>
      <c r="X22" s="1355"/>
      <c r="Y22" s="3658"/>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3"/>
      <c r="Q23" s="1352" t="str">
        <f>B23</f>
        <v>自然及人文环境</v>
      </c>
      <c r="R23" s="705" t="s">
        <v>18</v>
      </c>
      <c r="S23" s="706">
        <f>F23</f>
        <v>100</v>
      </c>
      <c r="T23" s="705" t="s">
        <v>18</v>
      </c>
      <c r="U23" s="706">
        <f>H23</f>
        <v>100</v>
      </c>
      <c r="V23" s="705" t="s">
        <v>18</v>
      </c>
      <c r="W23" s="706">
        <f>J23</f>
        <v>100</v>
      </c>
      <c r="X23" s="1355"/>
      <c r="Y23" s="365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23"/>
      <c r="Q24" s="1352"/>
      <c r="R24" s="705"/>
      <c r="S24" s="706"/>
      <c r="T24" s="705"/>
      <c r="U24" s="706"/>
      <c r="V24" s="705"/>
      <c r="W24" s="706"/>
      <c r="X24" s="1355"/>
      <c r="Y24" s="3658"/>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23"/>
      <c r="Q26" s="1352" t="str">
        <f t="shared" si="11"/>
        <v>朝向</v>
      </c>
      <c r="R26" s="705" t="s">
        <v>18</v>
      </c>
      <c r="S26" s="706">
        <f t="shared" si="12"/>
        <v>100</v>
      </c>
      <c r="T26" s="705" t="s">
        <v>18</v>
      </c>
      <c r="U26" s="706">
        <f t="shared" si="13"/>
        <v>100</v>
      </c>
      <c r="V26" s="705" t="s">
        <v>18</v>
      </c>
      <c r="W26" s="706">
        <f t="shared" si="14"/>
        <v>100</v>
      </c>
      <c r="X26" s="1355"/>
      <c r="Y26" s="365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23"/>
      <c r="Q27" s="1343">
        <f t="shared" si="11"/>
        <v>111</v>
      </c>
      <c r="R27" s="701" t="s">
        <v>18</v>
      </c>
      <c r="S27" s="702">
        <f t="shared" si="12"/>
        <v>100</v>
      </c>
      <c r="T27" s="701" t="s">
        <v>18</v>
      </c>
      <c r="U27" s="702">
        <f t="shared" si="13"/>
        <v>100</v>
      </c>
      <c r="V27" s="701" t="s">
        <v>18</v>
      </c>
      <c r="W27" s="702">
        <f t="shared" si="14"/>
        <v>100</v>
      </c>
      <c r="X27" s="703"/>
      <c r="Y27" s="365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23"/>
      <c r="Q28" s="1352">
        <f t="shared" si="11"/>
        <v>111</v>
      </c>
      <c r="R28" s="705" t="s">
        <v>18</v>
      </c>
      <c r="S28" s="706">
        <f t="shared" si="12"/>
        <v>100</v>
      </c>
      <c r="T28" s="705" t="s">
        <v>18</v>
      </c>
      <c r="U28" s="706">
        <f t="shared" si="13"/>
        <v>100</v>
      </c>
      <c r="V28" s="705" t="s">
        <v>18</v>
      </c>
      <c r="W28" s="706">
        <f t="shared" si="14"/>
        <v>100</v>
      </c>
      <c r="X28" s="1355"/>
      <c r="Y28" s="365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23"/>
      <c r="Q29" s="1352">
        <f t="shared" si="11"/>
        <v>111</v>
      </c>
      <c r="R29" s="705" t="s">
        <v>18</v>
      </c>
      <c r="S29" s="706">
        <f t="shared" si="12"/>
        <v>100</v>
      </c>
      <c r="T29" s="705" t="s">
        <v>18</v>
      </c>
      <c r="U29" s="706">
        <f t="shared" si="13"/>
        <v>100</v>
      </c>
      <c r="V29" s="705" t="s">
        <v>18</v>
      </c>
      <c r="W29" s="706">
        <f t="shared" si="14"/>
        <v>100</v>
      </c>
      <c r="X29" s="1355"/>
      <c r="Y29" s="365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23"/>
      <c r="Q30" s="1352">
        <f t="shared" si="11"/>
        <v>111</v>
      </c>
      <c r="R30" s="705" t="s">
        <v>18</v>
      </c>
      <c r="S30" s="706">
        <f t="shared" si="12"/>
        <v>100</v>
      </c>
      <c r="T30" s="705" t="s">
        <v>18</v>
      </c>
      <c r="U30" s="706">
        <f t="shared" si="13"/>
        <v>100</v>
      </c>
      <c r="V30" s="705" t="s">
        <v>18</v>
      </c>
      <c r="W30" s="706">
        <f t="shared" si="14"/>
        <v>100</v>
      </c>
      <c r="X30" s="1355"/>
      <c r="Y30" s="365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23"/>
      <c r="Q31" s="1352">
        <f t="shared" si="11"/>
        <v>111</v>
      </c>
      <c r="R31" s="705" t="s">
        <v>18</v>
      </c>
      <c r="S31" s="706">
        <f t="shared" si="12"/>
        <v>100</v>
      </c>
      <c r="T31" s="705" t="s">
        <v>18</v>
      </c>
      <c r="U31" s="706">
        <f t="shared" si="13"/>
        <v>100</v>
      </c>
      <c r="V31" s="705" t="s">
        <v>18</v>
      </c>
      <c r="W31" s="706">
        <f t="shared" si="14"/>
        <v>100</v>
      </c>
      <c r="X31" s="1355"/>
      <c r="Y31" s="3658"/>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18" t="s">
        <v>1694</v>
      </c>
      <c r="Q32" s="1352" t="str">
        <f t="shared" si="11"/>
        <v>建筑类型</v>
      </c>
      <c r="R32" s="705" t="s">
        <v>18</v>
      </c>
      <c r="S32" s="706">
        <f t="shared" si="12"/>
        <v>100</v>
      </c>
      <c r="T32" s="705" t="s">
        <v>18</v>
      </c>
      <c r="U32" s="706">
        <f t="shared" si="13"/>
        <v>100</v>
      </c>
      <c r="V32" s="705" t="s">
        <v>18</v>
      </c>
      <c r="W32" s="706">
        <f t="shared" si="14"/>
        <v>100</v>
      </c>
      <c r="X32" s="1355"/>
      <c r="Y32" s="3660"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19"/>
      <c r="Q33" s="707" t="str">
        <f t="shared" si="11"/>
        <v>项目建筑规模</v>
      </c>
      <c r="R33" s="708" t="s">
        <v>18</v>
      </c>
      <c r="S33" s="709" t="e">
        <f t="shared" si="12"/>
        <v>#N/A</v>
      </c>
      <c r="T33" s="708" t="s">
        <v>18</v>
      </c>
      <c r="U33" s="709" t="e">
        <f t="shared" si="13"/>
        <v>#N/A</v>
      </c>
      <c r="V33" s="708" t="s">
        <v>18</v>
      </c>
      <c r="W33" s="709" t="e">
        <f t="shared" si="14"/>
        <v>#N/A</v>
      </c>
      <c r="X33" s="710"/>
      <c r="Y33" s="3660"/>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19"/>
      <c r="Q34" s="1352" t="str">
        <f t="shared" si="11"/>
        <v>建筑结构</v>
      </c>
      <c r="R34" s="705" t="s">
        <v>18</v>
      </c>
      <c r="S34" s="706">
        <f t="shared" si="12"/>
        <v>100</v>
      </c>
      <c r="T34" s="705" t="s">
        <v>18</v>
      </c>
      <c r="U34" s="706">
        <f t="shared" si="13"/>
        <v>100</v>
      </c>
      <c r="V34" s="705" t="s">
        <v>18</v>
      </c>
      <c r="W34" s="706">
        <f t="shared" si="14"/>
        <v>100</v>
      </c>
      <c r="X34" s="1355"/>
      <c r="Y34" s="3660"/>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19"/>
      <c r="Q35" s="1352" t="str">
        <f t="shared" si="11"/>
        <v>建筑品质</v>
      </c>
      <c r="R35" s="705" t="s">
        <v>18</v>
      </c>
      <c r="S35" s="706">
        <f t="shared" si="12"/>
        <v>100</v>
      </c>
      <c r="T35" s="705" t="s">
        <v>18</v>
      </c>
      <c r="U35" s="706">
        <f t="shared" si="13"/>
        <v>100</v>
      </c>
      <c r="V35" s="705" t="s">
        <v>18</v>
      </c>
      <c r="W35" s="706">
        <f t="shared" si="14"/>
        <v>100</v>
      </c>
      <c r="X35" s="1355"/>
      <c r="Y35" s="3660"/>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19"/>
      <c r="Q36" s="1352" t="str">
        <f t="shared" si="11"/>
        <v>公共部分装修</v>
      </c>
      <c r="R36" s="705" t="s">
        <v>18</v>
      </c>
      <c r="S36" s="706">
        <f t="shared" si="12"/>
        <v>100</v>
      </c>
      <c r="T36" s="705" t="s">
        <v>18</v>
      </c>
      <c r="U36" s="706">
        <f t="shared" si="13"/>
        <v>100</v>
      </c>
      <c r="V36" s="705" t="s">
        <v>18</v>
      </c>
      <c r="W36" s="706">
        <f t="shared" si="14"/>
        <v>100</v>
      </c>
      <c r="X36" s="1355"/>
      <c r="Y36" s="3660"/>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9"/>
      <c r="Q37" s="1343" t="str">
        <f t="shared" si="11"/>
        <v>成新度</v>
      </c>
      <c r="R37" s="701" t="s">
        <v>18</v>
      </c>
      <c r="S37" s="702" t="e">
        <f t="shared" si="12"/>
        <v>#N/A</v>
      </c>
      <c r="T37" s="701" t="s">
        <v>18</v>
      </c>
      <c r="U37" s="702" t="e">
        <f t="shared" si="13"/>
        <v>#N/A</v>
      </c>
      <c r="V37" s="701" t="s">
        <v>18</v>
      </c>
      <c r="W37" s="702" t="e">
        <f t="shared" si="14"/>
        <v>#N/A</v>
      </c>
      <c r="X37" s="703"/>
      <c r="Y37" s="3660"/>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19" t="s">
        <v>1694</v>
      </c>
      <c r="Q38" s="1352" t="str">
        <f t="shared" si="11"/>
        <v>物业管理</v>
      </c>
      <c r="R38" s="705" t="s">
        <v>18</v>
      </c>
      <c r="S38" s="706">
        <f t="shared" si="12"/>
        <v>100</v>
      </c>
      <c r="T38" s="705" t="s">
        <v>18</v>
      </c>
      <c r="U38" s="706">
        <f t="shared" si="13"/>
        <v>100</v>
      </c>
      <c r="V38" s="705" t="s">
        <v>18</v>
      </c>
      <c r="W38" s="706">
        <f t="shared" si="14"/>
        <v>100</v>
      </c>
      <c r="X38" s="1355"/>
      <c r="Y38" s="3660"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19"/>
      <c r="Q39" s="1352" t="str">
        <f t="shared" si="11"/>
        <v>市政基础设施</v>
      </c>
      <c r="R39" s="705" t="s">
        <v>18</v>
      </c>
      <c r="S39" s="706">
        <f t="shared" si="12"/>
        <v>100</v>
      </c>
      <c r="T39" s="705" t="s">
        <v>18</v>
      </c>
      <c r="U39" s="706">
        <f t="shared" si="13"/>
        <v>100</v>
      </c>
      <c r="V39" s="705" t="s">
        <v>18</v>
      </c>
      <c r="W39" s="706">
        <f t="shared" si="14"/>
        <v>100</v>
      </c>
      <c r="X39" s="1355"/>
      <c r="Y39" s="3660"/>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19"/>
      <c r="Q40" s="1352" t="str">
        <f t="shared" si="11"/>
        <v>房型</v>
      </c>
      <c r="R40" s="705" t="s">
        <v>18</v>
      </c>
      <c r="S40" s="706">
        <f t="shared" si="12"/>
        <v>100</v>
      </c>
      <c r="T40" s="705" t="s">
        <v>18</v>
      </c>
      <c r="U40" s="706">
        <f t="shared" si="13"/>
        <v>100</v>
      </c>
      <c r="V40" s="705" t="s">
        <v>18</v>
      </c>
      <c r="W40" s="706">
        <f t="shared" si="14"/>
        <v>100</v>
      </c>
      <c r="X40" s="1355"/>
      <c r="Y40" s="3660"/>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19"/>
      <c r="Q41" s="707" t="str">
        <f t="shared" si="11"/>
        <v>单套/主力户型建筑面积</v>
      </c>
      <c r="R41" s="708" t="s">
        <v>18</v>
      </c>
      <c r="S41" s="709">
        <f t="shared" si="12"/>
        <v>100</v>
      </c>
      <c r="T41" s="708" t="s">
        <v>18</v>
      </c>
      <c r="U41" s="709">
        <f t="shared" si="13"/>
        <v>100</v>
      </c>
      <c r="V41" s="708" t="s">
        <v>18</v>
      </c>
      <c r="W41" s="709">
        <f t="shared" si="14"/>
        <v>100</v>
      </c>
      <c r="X41" s="710"/>
      <c r="Y41" s="3660"/>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19"/>
      <c r="Q42" s="1352" t="str">
        <f t="shared" si="11"/>
        <v>内部装修</v>
      </c>
      <c r="R42" s="705" t="s">
        <v>18</v>
      </c>
      <c r="S42" s="706">
        <f t="shared" si="12"/>
        <v>100</v>
      </c>
      <c r="T42" s="705" t="s">
        <v>18</v>
      </c>
      <c r="U42" s="706">
        <f t="shared" si="13"/>
        <v>100</v>
      </c>
      <c r="V42" s="705" t="s">
        <v>18</v>
      </c>
      <c r="W42" s="706">
        <f t="shared" si="14"/>
        <v>100</v>
      </c>
      <c r="X42" s="1355"/>
      <c r="Y42" s="3660"/>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19"/>
      <c r="Q43" s="1352" t="str">
        <f t="shared" si="11"/>
        <v>内部装修维护情况</v>
      </c>
      <c r="R43" s="705" t="s">
        <v>18</v>
      </c>
      <c r="S43" s="706">
        <f t="shared" si="12"/>
        <v>100</v>
      </c>
      <c r="T43" s="705" t="s">
        <v>18</v>
      </c>
      <c r="U43" s="706">
        <f t="shared" si="13"/>
        <v>100</v>
      </c>
      <c r="V43" s="705" t="s">
        <v>18</v>
      </c>
      <c r="W43" s="706">
        <f t="shared" si="14"/>
        <v>100</v>
      </c>
      <c r="X43" s="1355"/>
      <c r="Y43" s="366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19"/>
      <c r="Q44" s="1343">
        <f t="shared" si="11"/>
        <v>111</v>
      </c>
      <c r="R44" s="701" t="s">
        <v>18</v>
      </c>
      <c r="S44" s="702">
        <f t="shared" si="12"/>
        <v>100</v>
      </c>
      <c r="T44" s="701" t="s">
        <v>18</v>
      </c>
      <c r="U44" s="702">
        <f t="shared" si="13"/>
        <v>100</v>
      </c>
      <c r="V44" s="701" t="s">
        <v>18</v>
      </c>
      <c r="W44" s="702">
        <f t="shared" si="14"/>
        <v>100</v>
      </c>
      <c r="X44" s="703"/>
      <c r="Y44" s="366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19"/>
      <c r="Q45" s="1352">
        <f t="shared" si="11"/>
        <v>111</v>
      </c>
      <c r="R45" s="705" t="s">
        <v>18</v>
      </c>
      <c r="S45" s="706">
        <f t="shared" si="12"/>
        <v>100</v>
      </c>
      <c r="T45" s="705" t="s">
        <v>18</v>
      </c>
      <c r="U45" s="706">
        <f t="shared" si="13"/>
        <v>100</v>
      </c>
      <c r="V45" s="705" t="s">
        <v>18</v>
      </c>
      <c r="W45" s="706">
        <f t="shared" si="14"/>
        <v>100</v>
      </c>
      <c r="X45" s="1355"/>
      <c r="Y45" s="366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20"/>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0"/>
      <c r="M47" s="2721"/>
      <c r="N47" s="2712"/>
      <c r="O47" s="2721"/>
      <c r="P47" s="3652" t="str">
        <f>A47</f>
        <v>成交单价（元/平方米）</v>
      </c>
      <c r="Q47" s="3652"/>
      <c r="R47" s="3717">
        <f>E47</f>
        <v>0</v>
      </c>
      <c r="S47" s="3717"/>
      <c r="T47" s="3717">
        <f>G47</f>
        <v>0</v>
      </c>
      <c r="U47" s="3717"/>
      <c r="V47" s="3717">
        <f>I47</f>
        <v>0</v>
      </c>
      <c r="W47" s="3717"/>
      <c r="X47" s="690"/>
      <c r="Y47" s="712"/>
      <c r="Z47" s="690"/>
      <c r="AA47" s="690"/>
      <c r="AB47" s="690"/>
      <c r="AC47" s="690"/>
    </row>
    <row r="48" spans="1:29" ht="15.75" thickBot="1">
      <c r="A48" s="437" t="s">
        <v>1707</v>
      </c>
      <c r="B48" s="438"/>
      <c r="C48" s="1160" t="e">
        <f>R49</f>
        <v>#DIV/0!</v>
      </c>
      <c r="D48" s="2317" t="s">
        <v>2135</v>
      </c>
      <c r="E48" s="1161" t="e">
        <f>R48</f>
        <v>#DIV/0!</v>
      </c>
      <c r="F48" s="2318"/>
      <c r="G48" s="1160" t="e">
        <f>T48</f>
        <v>#DIV/0!</v>
      </c>
      <c r="H48" s="2318"/>
      <c r="I48" s="1161" t="e">
        <f>V48</f>
        <v>#DIV/0!</v>
      </c>
      <c r="J48" s="2318"/>
      <c r="K48" s="2319">
        <f>F48+H48+J48</f>
        <v>0</v>
      </c>
      <c r="L48" s="2720"/>
      <c r="M48" s="2721"/>
      <c r="N48" s="2721"/>
      <c r="O48" s="2721"/>
      <c r="P48" s="3652" t="str">
        <f>A48</f>
        <v>比较价值（元/平方米）</v>
      </c>
      <c r="Q48" s="3652"/>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0"/>
      <c r="M49" s="2721"/>
      <c r="N49" s="2721"/>
      <c r="O49" s="2721"/>
      <c r="P49" s="3649" t="str">
        <f>A49</f>
        <v>估价对象XX用房的比较价值（楼面单价，元/平方米）</v>
      </c>
      <c r="Q49" s="3650"/>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2"/>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2069.34</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1767</v>
      </c>
      <c r="B4" s="356"/>
      <c r="C4" s="3664" t="s">
        <v>1768</v>
      </c>
      <c r="D4" s="3665"/>
      <c r="E4" s="3666" t="s">
        <v>1769</v>
      </c>
      <c r="F4" s="3667"/>
      <c r="G4" s="3664" t="s">
        <v>1770</v>
      </c>
      <c r="H4" s="3665"/>
      <c r="I4" s="3664" t="s">
        <v>1771</v>
      </c>
      <c r="J4" s="3665"/>
      <c r="K4" s="559" t="s">
        <v>1772</v>
      </c>
      <c r="L4" s="2711"/>
      <c r="M4" s="2712"/>
      <c r="N4" s="2712"/>
      <c r="O4" s="2712"/>
      <c r="P4" s="3668" t="s">
        <v>1773</v>
      </c>
      <c r="Q4" s="3669"/>
      <c r="R4" s="3678" t="s">
        <v>1769</v>
      </c>
      <c r="S4" s="3679"/>
      <c r="T4" s="3678" t="s">
        <v>1770</v>
      </c>
      <c r="U4" s="3679"/>
      <c r="V4" s="3656" t="s">
        <v>1771</v>
      </c>
      <c r="W4" s="3656"/>
      <c r="X4" s="1355"/>
      <c r="Y4" s="3678" t="s">
        <v>1773</v>
      </c>
      <c r="Z4" s="3679"/>
      <c r="AA4" s="3661" t="s">
        <v>1769</v>
      </c>
      <c r="AB4" s="3656" t="s">
        <v>1770</v>
      </c>
      <c r="AC4" s="3661" t="s">
        <v>1771</v>
      </c>
    </row>
    <row r="5" spans="1:29" ht="15">
      <c r="A5" s="358"/>
      <c r="B5" s="359"/>
      <c r="C5" s="3682" t="s">
        <v>1671</v>
      </c>
      <c r="D5" s="3683"/>
      <c r="E5" s="3674" t="s">
        <v>1672</v>
      </c>
      <c r="F5" s="3675"/>
      <c r="G5" s="3682" t="s">
        <v>1673</v>
      </c>
      <c r="H5" s="3683"/>
      <c r="I5" s="3682" t="s">
        <v>1674</v>
      </c>
      <c r="J5" s="3683"/>
      <c r="K5" s="559"/>
      <c r="L5" s="2711"/>
      <c r="M5" s="2712"/>
      <c r="N5" s="2712"/>
      <c r="O5" s="2712"/>
      <c r="P5" s="3670"/>
      <c r="Q5" s="3671"/>
      <c r="R5" s="3680"/>
      <c r="S5" s="3681"/>
      <c r="T5" s="3680"/>
      <c r="U5" s="3681"/>
      <c r="V5" s="3656"/>
      <c r="W5" s="3656"/>
      <c r="X5" s="1355"/>
      <c r="Y5" s="3680"/>
      <c r="Z5" s="3681"/>
      <c r="AA5" s="3662"/>
      <c r="AB5" s="3656"/>
      <c r="AC5" s="3662"/>
    </row>
    <row r="6" spans="1:29" ht="15.75" thickBot="1">
      <c r="A6" s="360"/>
      <c r="B6" s="361"/>
      <c r="C6" s="3712" t="s">
        <v>1675</v>
      </c>
      <c r="D6" s="3713"/>
      <c r="E6" s="3714" t="s">
        <v>1675</v>
      </c>
      <c r="F6" s="3715"/>
      <c r="G6" s="3712" t="s">
        <v>1675</v>
      </c>
      <c r="H6" s="3713"/>
      <c r="I6" s="3712" t="s">
        <v>1675</v>
      </c>
      <c r="J6" s="3713"/>
      <c r="K6" s="559" t="s">
        <v>1676</v>
      </c>
      <c r="L6" s="2711"/>
      <c r="M6" s="2712"/>
      <c r="N6" s="2712"/>
      <c r="O6" s="2712"/>
      <c r="P6" s="3672"/>
      <c r="Q6" s="3673"/>
      <c r="R6" s="3680"/>
      <c r="S6" s="3681"/>
      <c r="T6" s="3689"/>
      <c r="U6" s="3690"/>
      <c r="V6" s="3656"/>
      <c r="W6" s="3656"/>
      <c r="X6" s="1355"/>
      <c r="Y6" s="3689"/>
      <c r="Z6" s="3690"/>
      <c r="AA6" s="3663"/>
      <c r="AB6" s="3656"/>
      <c r="AC6" s="3663"/>
    </row>
    <row r="7" spans="1:29" s="108" customFormat="1" ht="15.75" thickBot="1">
      <c r="A7" s="362" t="s">
        <v>1677</v>
      </c>
      <c r="B7" s="363"/>
      <c r="C7" s="364">
        <f>'数据-取费表'!B2</f>
        <v>45440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54" t="s">
        <v>1678</v>
      </c>
      <c r="Q7" s="3686"/>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54" t="s">
        <v>1681</v>
      </c>
      <c r="Q8" s="3655"/>
      <c r="R8" s="701" t="s">
        <v>14</v>
      </c>
      <c r="S8" s="702">
        <f t="shared" si="0"/>
        <v>100</v>
      </c>
      <c r="T8" s="701" t="s">
        <v>14</v>
      </c>
      <c r="U8" s="702">
        <f t="shared" si="1"/>
        <v>100</v>
      </c>
      <c r="V8" s="701" t="s">
        <v>14</v>
      </c>
      <c r="W8" s="702">
        <f t="shared" si="2"/>
        <v>100</v>
      </c>
      <c r="X8" s="703"/>
      <c r="Y8" s="3654" t="s">
        <v>1681</v>
      </c>
      <c r="Z8" s="3655"/>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77" t="s">
        <v>1684</v>
      </c>
      <c r="Q9" s="1343" t="str">
        <f t="shared" ref="Q9:Q15" si="6">B9</f>
        <v>用途</v>
      </c>
      <c r="R9" s="701" t="s">
        <v>14</v>
      </c>
      <c r="S9" s="702">
        <f t="shared" si="0"/>
        <v>100</v>
      </c>
      <c r="T9" s="701" t="s">
        <v>14</v>
      </c>
      <c r="U9" s="702">
        <f t="shared" si="1"/>
        <v>100</v>
      </c>
      <c r="V9" s="701" t="s">
        <v>14</v>
      </c>
      <c r="W9" s="702">
        <f t="shared" si="2"/>
        <v>100</v>
      </c>
      <c r="X9" s="703"/>
      <c r="Y9" s="3617"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7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2" t="s">
        <v>1689</v>
      </c>
      <c r="Q15" s="1352" t="str">
        <f t="shared" si="6"/>
        <v>商业繁华度</v>
      </c>
      <c r="R15" s="705" t="s">
        <v>14</v>
      </c>
      <c r="S15" s="706">
        <f t="shared" si="0"/>
        <v>100</v>
      </c>
      <c r="T15" s="705" t="s">
        <v>14</v>
      </c>
      <c r="U15" s="706">
        <f t="shared" si="1"/>
        <v>100</v>
      </c>
      <c r="V15" s="705" t="s">
        <v>14</v>
      </c>
      <c r="W15" s="706">
        <f t="shared" si="2"/>
        <v>100</v>
      </c>
      <c r="X15" s="1355"/>
      <c r="Y15" s="3657"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23"/>
      <c r="Q16" s="1352"/>
      <c r="R16" s="705"/>
      <c r="S16" s="706"/>
      <c r="T16" s="705"/>
      <c r="U16" s="706"/>
      <c r="V16" s="705"/>
      <c r="W16" s="706"/>
      <c r="X16" s="1355"/>
      <c r="Y16" s="3658"/>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3"/>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23"/>
      <c r="Q18" s="1352"/>
      <c r="R18" s="705"/>
      <c r="S18" s="706"/>
      <c r="T18" s="705"/>
      <c r="U18" s="706"/>
      <c r="V18" s="705"/>
      <c r="W18" s="706"/>
      <c r="X18" s="1355"/>
      <c r="Y18" s="3658"/>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3"/>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23"/>
      <c r="Q20" s="1352"/>
      <c r="R20" s="705"/>
      <c r="S20" s="706"/>
      <c r="T20" s="705"/>
      <c r="U20" s="706"/>
      <c r="V20" s="705"/>
      <c r="W20" s="706"/>
      <c r="X20" s="1355"/>
      <c r="Y20" s="3658"/>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3"/>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23"/>
      <c r="Q22" s="1352"/>
      <c r="R22" s="705"/>
      <c r="S22" s="706"/>
      <c r="T22" s="705"/>
      <c r="U22" s="706"/>
      <c r="V22" s="705"/>
      <c r="W22" s="706"/>
      <c r="X22" s="1355"/>
      <c r="Y22" s="3658"/>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3"/>
      <c r="Q23" s="1352" t="str">
        <f>B23</f>
        <v>自然及人文环境</v>
      </c>
      <c r="R23" s="705" t="s">
        <v>14</v>
      </c>
      <c r="S23" s="706">
        <f>F23</f>
        <v>100</v>
      </c>
      <c r="T23" s="705" t="s">
        <v>14</v>
      </c>
      <c r="U23" s="706">
        <f>H23</f>
        <v>100</v>
      </c>
      <c r="V23" s="705" t="s">
        <v>14</v>
      </c>
      <c r="W23" s="706">
        <f>J23</f>
        <v>100</v>
      </c>
      <c r="X23" s="1355"/>
      <c r="Y23" s="36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23"/>
      <c r="Q24" s="1352"/>
      <c r="R24" s="705"/>
      <c r="S24" s="706"/>
      <c r="T24" s="705"/>
      <c r="U24" s="706"/>
      <c r="V24" s="705"/>
      <c r="W24" s="706"/>
      <c r="X24" s="1355"/>
      <c r="Y24" s="3658"/>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3"/>
      <c r="Q25" s="1352" t="str">
        <f t="shared" ref="Q25:Q46" si="11">B25</f>
        <v>临街状况</v>
      </c>
      <c r="R25" s="705" t="s">
        <v>14</v>
      </c>
      <c r="S25" s="706">
        <f>F25</f>
        <v>100</v>
      </c>
      <c r="T25" s="705" t="s">
        <v>14</v>
      </c>
      <c r="U25" s="706">
        <f>H25</f>
        <v>100</v>
      </c>
      <c r="V25" s="705" t="s">
        <v>14</v>
      </c>
      <c r="W25" s="706">
        <f>J25</f>
        <v>100</v>
      </c>
      <c r="X25" s="1355"/>
      <c r="Y25" s="3658"/>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3"/>
      <c r="Q26" s="1352" t="str">
        <f t="shared" si="11"/>
        <v>平面位置/可视性</v>
      </c>
      <c r="R26" s="705" t="s">
        <v>14</v>
      </c>
      <c r="S26" s="706">
        <f>F26</f>
        <v>100</v>
      </c>
      <c r="T26" s="705" t="s">
        <v>14</v>
      </c>
      <c r="U26" s="706">
        <f>H26</f>
        <v>100</v>
      </c>
      <c r="V26" s="705" t="s">
        <v>14</v>
      </c>
      <c r="W26" s="706">
        <f>J26</f>
        <v>100</v>
      </c>
      <c r="X26" s="1355"/>
      <c r="Y26" s="3658"/>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23"/>
      <c r="Q27" s="1343" t="str">
        <f t="shared" si="11"/>
        <v>人流量</v>
      </c>
      <c r="R27" s="701" t="s">
        <v>14</v>
      </c>
      <c r="S27" s="702">
        <f>F27</f>
        <v>100</v>
      </c>
      <c r="T27" s="701" t="s">
        <v>14</v>
      </c>
      <c r="U27" s="702">
        <f>H27</f>
        <v>100</v>
      </c>
      <c r="V27" s="701" t="s">
        <v>14</v>
      </c>
      <c r="W27" s="702">
        <f>J27</f>
        <v>100</v>
      </c>
      <c r="X27" s="703"/>
      <c r="Y27" s="3658"/>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3"/>
      <c r="Q29" s="1352">
        <f t="shared" si="11"/>
        <v>111</v>
      </c>
      <c r="R29" s="705" t="s">
        <v>14</v>
      </c>
      <c r="S29" s="706">
        <f t="shared" si="12"/>
        <v>100</v>
      </c>
      <c r="T29" s="705" t="s">
        <v>14</v>
      </c>
      <c r="U29" s="706">
        <f t="shared" si="13"/>
        <v>100</v>
      </c>
      <c r="V29" s="705" t="s">
        <v>14</v>
      </c>
      <c r="W29" s="706">
        <f t="shared" si="14"/>
        <v>100</v>
      </c>
      <c r="X29" s="1355"/>
      <c r="Y29" s="36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3"/>
      <c r="Q30" s="1352">
        <f t="shared" si="11"/>
        <v>111</v>
      </c>
      <c r="R30" s="705" t="s">
        <v>14</v>
      </c>
      <c r="S30" s="706">
        <f t="shared" si="12"/>
        <v>100</v>
      </c>
      <c r="T30" s="705" t="s">
        <v>14</v>
      </c>
      <c r="U30" s="706">
        <f t="shared" si="13"/>
        <v>100</v>
      </c>
      <c r="V30" s="705" t="s">
        <v>14</v>
      </c>
      <c r="W30" s="706">
        <f t="shared" si="14"/>
        <v>100</v>
      </c>
      <c r="X30" s="1355"/>
      <c r="Y30" s="365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3"/>
      <c r="Q31" s="1352">
        <f t="shared" si="11"/>
        <v>111</v>
      </c>
      <c r="R31" s="705" t="s">
        <v>14</v>
      </c>
      <c r="S31" s="706">
        <f t="shared" si="12"/>
        <v>100</v>
      </c>
      <c r="T31" s="705" t="s">
        <v>14</v>
      </c>
      <c r="U31" s="706">
        <f t="shared" si="13"/>
        <v>100</v>
      </c>
      <c r="V31" s="705" t="s">
        <v>14</v>
      </c>
      <c r="W31" s="706">
        <f t="shared" si="14"/>
        <v>100</v>
      </c>
      <c r="X31" s="1355"/>
      <c r="Y31" s="3658"/>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18" t="s">
        <v>1694</v>
      </c>
      <c r="Q32" s="1352" t="str">
        <f t="shared" si="11"/>
        <v>商业类型</v>
      </c>
      <c r="R32" s="705" t="s">
        <v>14</v>
      </c>
      <c r="S32" s="706">
        <f t="shared" si="12"/>
        <v>100</v>
      </c>
      <c r="T32" s="705" t="s">
        <v>14</v>
      </c>
      <c r="U32" s="706">
        <f t="shared" si="13"/>
        <v>100</v>
      </c>
      <c r="V32" s="705" t="s">
        <v>14</v>
      </c>
      <c r="W32" s="706">
        <f t="shared" si="14"/>
        <v>100</v>
      </c>
      <c r="X32" s="1355"/>
      <c r="Y32" s="3660"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9"/>
      <c r="Q33" s="707" t="str">
        <f t="shared" si="11"/>
        <v>项目建筑规模</v>
      </c>
      <c r="R33" s="708" t="s">
        <v>14</v>
      </c>
      <c r="S33" s="709" t="e">
        <f t="shared" si="12"/>
        <v>#N/A</v>
      </c>
      <c r="T33" s="708" t="s">
        <v>14</v>
      </c>
      <c r="U33" s="709" t="e">
        <f t="shared" si="13"/>
        <v>#N/A</v>
      </c>
      <c r="V33" s="708" t="s">
        <v>14</v>
      </c>
      <c r="W33" s="709" t="e">
        <f t="shared" si="14"/>
        <v>#N/A</v>
      </c>
      <c r="X33" s="710"/>
      <c r="Y33" s="3660"/>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19"/>
      <c r="Q34" s="1352" t="str">
        <f t="shared" si="11"/>
        <v>建筑结构</v>
      </c>
      <c r="R34" s="705" t="s">
        <v>14</v>
      </c>
      <c r="S34" s="706">
        <f t="shared" si="12"/>
        <v>100</v>
      </c>
      <c r="T34" s="705" t="s">
        <v>14</v>
      </c>
      <c r="U34" s="706">
        <f t="shared" si="13"/>
        <v>100</v>
      </c>
      <c r="V34" s="705" t="s">
        <v>14</v>
      </c>
      <c r="W34" s="706">
        <f t="shared" si="14"/>
        <v>100</v>
      </c>
      <c r="X34" s="1355"/>
      <c r="Y34" s="3660"/>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19"/>
      <c r="Q35" s="1352" t="str">
        <f t="shared" si="11"/>
        <v>公共部分装修</v>
      </c>
      <c r="R35" s="705" t="s">
        <v>14</v>
      </c>
      <c r="S35" s="706">
        <f t="shared" si="12"/>
        <v>100</v>
      </c>
      <c r="T35" s="705" t="s">
        <v>14</v>
      </c>
      <c r="U35" s="706">
        <f t="shared" si="13"/>
        <v>100</v>
      </c>
      <c r="V35" s="705" t="s">
        <v>14</v>
      </c>
      <c r="W35" s="706">
        <f t="shared" si="14"/>
        <v>100</v>
      </c>
      <c r="X35" s="1355"/>
      <c r="Y35" s="3660"/>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9"/>
      <c r="Q36" s="1352" t="str">
        <f t="shared" si="11"/>
        <v>成新度</v>
      </c>
      <c r="R36" s="705" t="s">
        <v>14</v>
      </c>
      <c r="S36" s="706" t="e">
        <f t="shared" si="12"/>
        <v>#N/A</v>
      </c>
      <c r="T36" s="705" t="s">
        <v>14</v>
      </c>
      <c r="U36" s="706" t="e">
        <f t="shared" si="13"/>
        <v>#N/A</v>
      </c>
      <c r="V36" s="705" t="s">
        <v>14</v>
      </c>
      <c r="W36" s="706" t="e">
        <f t="shared" si="14"/>
        <v>#N/A</v>
      </c>
      <c r="X36" s="1355"/>
      <c r="Y36" s="3660"/>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19"/>
      <c r="Q37" s="1343" t="str">
        <f t="shared" si="11"/>
        <v>市政基础设施</v>
      </c>
      <c r="R37" s="701" t="s">
        <v>14</v>
      </c>
      <c r="S37" s="702">
        <f t="shared" si="12"/>
        <v>100</v>
      </c>
      <c r="T37" s="701" t="s">
        <v>14</v>
      </c>
      <c r="U37" s="702">
        <f t="shared" si="13"/>
        <v>100</v>
      </c>
      <c r="V37" s="701" t="s">
        <v>14</v>
      </c>
      <c r="W37" s="702">
        <f t="shared" si="14"/>
        <v>100</v>
      </c>
      <c r="X37" s="703"/>
      <c r="Y37" s="3660"/>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19" t="s">
        <v>1694</v>
      </c>
      <c r="Q38" s="1352" t="str">
        <f t="shared" si="11"/>
        <v>业态</v>
      </c>
      <c r="R38" s="705" t="s">
        <v>14</v>
      </c>
      <c r="S38" s="706">
        <f t="shared" si="12"/>
        <v>100</v>
      </c>
      <c r="T38" s="705" t="s">
        <v>14</v>
      </c>
      <c r="U38" s="706">
        <f t="shared" si="13"/>
        <v>100</v>
      </c>
      <c r="V38" s="705" t="s">
        <v>14</v>
      </c>
      <c r="W38" s="706">
        <f t="shared" si="14"/>
        <v>100</v>
      </c>
      <c r="X38" s="1355"/>
      <c r="Y38" s="3660"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19"/>
      <c r="Q39" s="1352" t="str">
        <f t="shared" si="11"/>
        <v>层高</v>
      </c>
      <c r="R39" s="705" t="s">
        <v>14</v>
      </c>
      <c r="S39" s="706">
        <f t="shared" si="12"/>
        <v>100</v>
      </c>
      <c r="T39" s="705" t="s">
        <v>14</v>
      </c>
      <c r="U39" s="706">
        <f t="shared" si="13"/>
        <v>100</v>
      </c>
      <c r="V39" s="705" t="s">
        <v>14</v>
      </c>
      <c r="W39" s="706">
        <f t="shared" si="14"/>
        <v>100</v>
      </c>
      <c r="X39" s="1355"/>
      <c r="Y39" s="3660"/>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9"/>
      <c r="Q40" s="1352" t="str">
        <f t="shared" si="11"/>
        <v>单套建筑面积</v>
      </c>
      <c r="R40" s="705" t="s">
        <v>14</v>
      </c>
      <c r="S40" s="706">
        <f t="shared" si="12"/>
        <v>100</v>
      </c>
      <c r="T40" s="705" t="s">
        <v>14</v>
      </c>
      <c r="U40" s="706">
        <f t="shared" si="13"/>
        <v>100</v>
      </c>
      <c r="V40" s="705" t="s">
        <v>14</v>
      </c>
      <c r="W40" s="706">
        <f t="shared" si="14"/>
        <v>100</v>
      </c>
      <c r="X40" s="1355"/>
      <c r="Y40" s="3660"/>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9"/>
      <c r="Q41" s="707" t="str">
        <f t="shared" si="11"/>
        <v>进深比</v>
      </c>
      <c r="R41" s="708" t="s">
        <v>14</v>
      </c>
      <c r="S41" s="709">
        <f t="shared" si="12"/>
        <v>100</v>
      </c>
      <c r="T41" s="708" t="s">
        <v>14</v>
      </c>
      <c r="U41" s="709">
        <f t="shared" si="13"/>
        <v>100</v>
      </c>
      <c r="V41" s="708" t="s">
        <v>14</v>
      </c>
      <c r="W41" s="709">
        <f t="shared" si="14"/>
        <v>100</v>
      </c>
      <c r="X41" s="710"/>
      <c r="Y41" s="3660"/>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19"/>
      <c r="Q42" s="1352" t="str">
        <f t="shared" si="11"/>
        <v>内部装修</v>
      </c>
      <c r="R42" s="705" t="s">
        <v>14</v>
      </c>
      <c r="S42" s="706">
        <f t="shared" si="12"/>
        <v>100</v>
      </c>
      <c r="T42" s="705" t="s">
        <v>14</v>
      </c>
      <c r="U42" s="706">
        <f t="shared" si="13"/>
        <v>100</v>
      </c>
      <c r="V42" s="705" t="s">
        <v>14</v>
      </c>
      <c r="W42" s="706">
        <f t="shared" si="14"/>
        <v>100</v>
      </c>
      <c r="X42" s="1355"/>
      <c r="Y42" s="3660"/>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19"/>
      <c r="Q43" s="1352" t="str">
        <f t="shared" si="11"/>
        <v>内部装修维护情况</v>
      </c>
      <c r="R43" s="705" t="s">
        <v>14</v>
      </c>
      <c r="S43" s="706">
        <f t="shared" si="12"/>
        <v>100</v>
      </c>
      <c r="T43" s="705" t="s">
        <v>14</v>
      </c>
      <c r="U43" s="706">
        <f t="shared" si="13"/>
        <v>100</v>
      </c>
      <c r="V43" s="705" t="s">
        <v>14</v>
      </c>
      <c r="W43" s="706">
        <f t="shared" si="14"/>
        <v>100</v>
      </c>
      <c r="X43" s="1355"/>
      <c r="Y43" s="36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9"/>
      <c r="Q44" s="1343">
        <f t="shared" si="11"/>
        <v>111</v>
      </c>
      <c r="R44" s="701" t="s">
        <v>14</v>
      </c>
      <c r="S44" s="702">
        <f t="shared" si="12"/>
        <v>100</v>
      </c>
      <c r="T44" s="701" t="s">
        <v>14</v>
      </c>
      <c r="U44" s="702">
        <f t="shared" si="13"/>
        <v>100</v>
      </c>
      <c r="V44" s="701" t="s">
        <v>14</v>
      </c>
      <c r="W44" s="702">
        <f t="shared" si="14"/>
        <v>100</v>
      </c>
      <c r="X44" s="703"/>
      <c r="Y44" s="36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9"/>
      <c r="Q45" s="1352">
        <f t="shared" si="11"/>
        <v>111</v>
      </c>
      <c r="R45" s="705" t="s">
        <v>14</v>
      </c>
      <c r="S45" s="706">
        <f t="shared" si="12"/>
        <v>100</v>
      </c>
      <c r="T45" s="705" t="s">
        <v>14</v>
      </c>
      <c r="U45" s="706">
        <f t="shared" si="13"/>
        <v>100</v>
      </c>
      <c r="V45" s="705" t="s">
        <v>14</v>
      </c>
      <c r="W45" s="706">
        <f t="shared" si="14"/>
        <v>100</v>
      </c>
      <c r="X45" s="1355"/>
      <c r="Y45" s="366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0"/>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0"/>
      <c r="M47" s="2721"/>
      <c r="N47" s="2712"/>
      <c r="O47" s="2721"/>
      <c r="P47" s="3652" t="str">
        <f>A47</f>
        <v>成交单价（元/平方米）</v>
      </c>
      <c r="Q47" s="3652"/>
      <c r="R47" s="3656">
        <f>E47</f>
        <v>0</v>
      </c>
      <c r="S47" s="3656"/>
      <c r="T47" s="3656">
        <f>G47</f>
        <v>0</v>
      </c>
      <c r="U47" s="3656"/>
      <c r="V47" s="3656">
        <f>I47</f>
        <v>0</v>
      </c>
      <c r="W47" s="3656"/>
      <c r="X47" s="690"/>
      <c r="Y47" s="712"/>
      <c r="Z47" s="690"/>
      <c r="AA47" s="690"/>
      <c r="AB47" s="690"/>
      <c r="AC47" s="690"/>
    </row>
    <row r="48" spans="1:29" ht="15.75" thickBot="1">
      <c r="A48" s="437" t="s">
        <v>1791</v>
      </c>
      <c r="B48" s="438"/>
      <c r="C48" s="1160" t="e">
        <f>R49</f>
        <v>#DIV/0!</v>
      </c>
      <c r="D48" s="2317" t="s">
        <v>2135</v>
      </c>
      <c r="E48" s="1161" t="e">
        <f>R48</f>
        <v>#DIV/0!</v>
      </c>
      <c r="F48" s="2318"/>
      <c r="G48" s="1160" t="e">
        <f>T48</f>
        <v>#DIV/0!</v>
      </c>
      <c r="H48" s="2318"/>
      <c r="I48" s="1161" t="e">
        <f>V48</f>
        <v>#DIV/0!</v>
      </c>
      <c r="J48" s="2318"/>
      <c r="K48" s="2320">
        <f>F48+H48+J48</f>
        <v>0</v>
      </c>
      <c r="L48" s="2720"/>
      <c r="M48" s="2721"/>
      <c r="N48" s="2712"/>
      <c r="O48" s="2721"/>
      <c r="P48" s="3652" t="str">
        <f>A48</f>
        <v>比较价值（元/平方米）</v>
      </c>
      <c r="Q48" s="3652"/>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0"/>
      <c r="M49" s="2721"/>
      <c r="N49" s="2712"/>
      <c r="O49" s="2721"/>
      <c r="P49" s="3649" t="str">
        <f>A49</f>
        <v>估价对象XX用房的比较价值（楼面单价，元/平方米）</v>
      </c>
      <c r="Q49" s="3650"/>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1796</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8" t="s">
        <v>1797</v>
      </c>
      <c r="D82" s="608" t="s">
        <v>1798</v>
      </c>
      <c r="E82" s="608" t="s">
        <v>1799</v>
      </c>
      <c r="F82" s="608" t="s">
        <v>1800</v>
      </c>
      <c r="G82" s="608" t="s">
        <v>1801</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受贵公司委托，我公司对天津市西青区张家窝镇安福道10号4-102、103、202房地产抵押价值进行了预评估。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西青区张家窝镇安福道10号4-102、103、202房地产，为天津金鹏振兴铜业有限公司所有。根据《国有土地使用证》[]，估价对象（分摊）出让国有建设用地使用权面积为0平方米，建筑面积为2069.34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1" spans="1:1" ht="76.5">
      <c r="A11" s="1483" t="s">
        <v>903</v>
      </c>
    </row>
    <row r="12" spans="1:1" ht="18.75">
      <c r="A12" s="1481" t="s">
        <v>904</v>
      </c>
    </row>
    <row r="13" spans="1:1" ht="38.25" customHeight="1">
      <c r="A13" s="1484" t="str">
        <f>IF(项目基本情况!B8="抵押",IF(项目基本情况!B5=项目基本情况!B6,定义!C51,定义!B51),定义!D51)</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2069.34</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1767</v>
      </c>
      <c r="B4" s="356"/>
      <c r="C4" s="3664" t="s">
        <v>1768</v>
      </c>
      <c r="D4" s="3665"/>
      <c r="E4" s="3666" t="s">
        <v>1769</v>
      </c>
      <c r="F4" s="3667"/>
      <c r="G4" s="3664" t="s">
        <v>1770</v>
      </c>
      <c r="H4" s="3665"/>
      <c r="I4" s="3664" t="s">
        <v>1771</v>
      </c>
      <c r="J4" s="3665"/>
      <c r="K4" s="559" t="s">
        <v>1772</v>
      </c>
      <c r="L4" s="2711"/>
      <c r="M4" s="2712"/>
      <c r="N4" s="2712"/>
      <c r="O4" s="2712"/>
      <c r="P4" s="3730" t="s">
        <v>1773</v>
      </c>
      <c r="Q4" s="3731"/>
      <c r="R4" s="3725" t="s">
        <v>1769</v>
      </c>
      <c r="S4" s="3726"/>
      <c r="T4" s="3725" t="s">
        <v>1770</v>
      </c>
      <c r="U4" s="3726"/>
      <c r="V4" s="3734" t="s">
        <v>1771</v>
      </c>
      <c r="W4" s="3734"/>
      <c r="X4" s="1958"/>
      <c r="Y4" s="3725" t="s">
        <v>1773</v>
      </c>
      <c r="Z4" s="3726"/>
      <c r="AA4" s="3724" t="s">
        <v>1769</v>
      </c>
      <c r="AB4" s="3724" t="s">
        <v>1770</v>
      </c>
      <c r="AC4" s="3727" t="s">
        <v>1771</v>
      </c>
    </row>
    <row r="5" spans="1:29" ht="15">
      <c r="A5" s="358"/>
      <c r="B5" s="359"/>
      <c r="C5" s="3682" t="s">
        <v>1671</v>
      </c>
      <c r="D5" s="3683"/>
      <c r="E5" s="3674" t="s">
        <v>1672</v>
      </c>
      <c r="F5" s="3675"/>
      <c r="G5" s="3682" t="s">
        <v>1673</v>
      </c>
      <c r="H5" s="3683"/>
      <c r="I5" s="3682" t="s">
        <v>1674</v>
      </c>
      <c r="J5" s="3683"/>
      <c r="K5" s="559"/>
      <c r="L5" s="2711"/>
      <c r="M5" s="2712"/>
      <c r="N5" s="2712"/>
      <c r="O5" s="2712"/>
      <c r="P5" s="3732"/>
      <c r="Q5" s="3671"/>
      <c r="R5" s="3680"/>
      <c r="S5" s="3681"/>
      <c r="T5" s="3680"/>
      <c r="U5" s="3681"/>
      <c r="V5" s="3656"/>
      <c r="W5" s="3656"/>
      <c r="X5" s="1355"/>
      <c r="Y5" s="3680"/>
      <c r="Z5" s="3681"/>
      <c r="AA5" s="3662"/>
      <c r="AB5" s="3662"/>
      <c r="AC5" s="3728"/>
    </row>
    <row r="6" spans="1:29" ht="15.75" thickBot="1">
      <c r="A6" s="360"/>
      <c r="B6" s="361"/>
      <c r="C6" s="3712" t="s">
        <v>1675</v>
      </c>
      <c r="D6" s="3713"/>
      <c r="E6" s="3714" t="s">
        <v>1675</v>
      </c>
      <c r="F6" s="3715"/>
      <c r="G6" s="3712" t="s">
        <v>1675</v>
      </c>
      <c r="H6" s="3713"/>
      <c r="I6" s="3712" t="s">
        <v>1675</v>
      </c>
      <c r="J6" s="3713"/>
      <c r="K6" s="559" t="s">
        <v>1676</v>
      </c>
      <c r="L6" s="2711"/>
      <c r="M6" s="2712"/>
      <c r="N6" s="2712"/>
      <c r="O6" s="2712"/>
      <c r="P6" s="3733"/>
      <c r="Q6" s="3673"/>
      <c r="R6" s="3680"/>
      <c r="S6" s="3681"/>
      <c r="T6" s="3689"/>
      <c r="U6" s="3690"/>
      <c r="V6" s="3656"/>
      <c r="W6" s="3656"/>
      <c r="X6" s="1355"/>
      <c r="Y6" s="3689"/>
      <c r="Z6" s="3690"/>
      <c r="AA6" s="3663"/>
      <c r="AB6" s="3663"/>
      <c r="AC6" s="3729"/>
    </row>
    <row r="7" spans="1:29" s="108" customFormat="1" ht="15.75" thickBot="1">
      <c r="A7" s="362" t="s">
        <v>1677</v>
      </c>
      <c r="B7" s="363"/>
      <c r="C7" s="364">
        <f>'数据-取费表'!B2</f>
        <v>45440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5" t="s">
        <v>1678</v>
      </c>
      <c r="Q7" s="3686"/>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5" t="s">
        <v>1681</v>
      </c>
      <c r="Q8" s="3655"/>
      <c r="R8" s="701" t="s">
        <v>14</v>
      </c>
      <c r="S8" s="702">
        <f t="shared" si="0"/>
        <v>100</v>
      </c>
      <c r="T8" s="701" t="s">
        <v>14</v>
      </c>
      <c r="U8" s="702">
        <f t="shared" si="1"/>
        <v>100</v>
      </c>
      <c r="V8" s="701" t="s">
        <v>14</v>
      </c>
      <c r="W8" s="702">
        <f t="shared" si="2"/>
        <v>100</v>
      </c>
      <c r="X8" s="703"/>
      <c r="Y8" s="3654" t="s">
        <v>1681</v>
      </c>
      <c r="Z8" s="3655"/>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7" t="s">
        <v>1684</v>
      </c>
      <c r="Q9" s="1343" t="str">
        <f t="shared" ref="Q9:Q15" si="6">B9</f>
        <v>用途</v>
      </c>
      <c r="R9" s="701" t="s">
        <v>14</v>
      </c>
      <c r="S9" s="702">
        <f t="shared" si="0"/>
        <v>100</v>
      </c>
      <c r="T9" s="701" t="s">
        <v>14</v>
      </c>
      <c r="U9" s="702">
        <f t="shared" si="1"/>
        <v>100</v>
      </c>
      <c r="V9" s="701" t="s">
        <v>14</v>
      </c>
      <c r="W9" s="702">
        <f t="shared" si="2"/>
        <v>100</v>
      </c>
      <c r="X9" s="703"/>
      <c r="Y9" s="3617" t="s">
        <v>1685</v>
      </c>
      <c r="Z9" s="52" t="str">
        <f t="shared" ref="Z9:Z15" si="7">Q9</f>
        <v>用途</v>
      </c>
      <c r="AA9" s="704">
        <f t="shared" si="3"/>
        <v>1</v>
      </c>
      <c r="AB9" s="704">
        <f t="shared" si="4"/>
        <v>1</v>
      </c>
      <c r="AC9" s="1959">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2" t="s">
        <v>1689</v>
      </c>
      <c r="Q15" s="1352" t="str">
        <f t="shared" si="6"/>
        <v>办公集聚程度</v>
      </c>
      <c r="R15" s="705" t="s">
        <v>14</v>
      </c>
      <c r="S15" s="706">
        <f t="shared" si="0"/>
        <v>100</v>
      </c>
      <c r="T15" s="705" t="s">
        <v>14</v>
      </c>
      <c r="U15" s="706">
        <f t="shared" si="1"/>
        <v>100</v>
      </c>
      <c r="V15" s="705" t="s">
        <v>14</v>
      </c>
      <c r="W15" s="706">
        <f t="shared" si="2"/>
        <v>100</v>
      </c>
      <c r="X15" s="1355"/>
      <c r="Y15" s="3657"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23"/>
      <c r="Q16" s="1352"/>
      <c r="R16" s="705"/>
      <c r="S16" s="706"/>
      <c r="T16" s="705"/>
      <c r="U16" s="706"/>
      <c r="V16" s="705"/>
      <c r="W16" s="706"/>
      <c r="X16" s="1355"/>
      <c r="Y16" s="3658"/>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3"/>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23"/>
      <c r="Q18" s="1352"/>
      <c r="R18" s="705"/>
      <c r="S18" s="706"/>
      <c r="T18" s="705"/>
      <c r="U18" s="706"/>
      <c r="V18" s="705"/>
      <c r="W18" s="706"/>
      <c r="X18" s="1355"/>
      <c r="Y18" s="3658"/>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3"/>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23"/>
      <c r="Q20" s="1352"/>
      <c r="R20" s="705"/>
      <c r="S20" s="706"/>
      <c r="T20" s="705"/>
      <c r="U20" s="706"/>
      <c r="V20" s="705"/>
      <c r="W20" s="706"/>
      <c r="X20" s="1355"/>
      <c r="Y20" s="3658"/>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3"/>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23"/>
      <c r="Q22" s="1352"/>
      <c r="R22" s="705"/>
      <c r="S22" s="706"/>
      <c r="T22" s="705"/>
      <c r="U22" s="706"/>
      <c r="V22" s="705"/>
      <c r="W22" s="706"/>
      <c r="X22" s="1355"/>
      <c r="Y22" s="3658"/>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3"/>
      <c r="Q23" s="1352" t="str">
        <f>B23</f>
        <v>环境质量</v>
      </c>
      <c r="R23" s="705" t="s">
        <v>14</v>
      </c>
      <c r="S23" s="706">
        <f>F23</f>
        <v>100</v>
      </c>
      <c r="T23" s="705" t="s">
        <v>14</v>
      </c>
      <c r="U23" s="706">
        <f>H23</f>
        <v>100</v>
      </c>
      <c r="V23" s="705" t="s">
        <v>14</v>
      </c>
      <c r="W23" s="706">
        <f>J23</f>
        <v>100</v>
      </c>
      <c r="X23" s="1355"/>
      <c r="Y23" s="365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23"/>
      <c r="Q24" s="1352"/>
      <c r="R24" s="705"/>
      <c r="S24" s="706"/>
      <c r="T24" s="705"/>
      <c r="U24" s="706"/>
      <c r="V24" s="705"/>
      <c r="W24" s="706"/>
      <c r="X24" s="1355"/>
      <c r="Y24" s="3658"/>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23"/>
      <c r="Q25" s="1352" t="str">
        <f>B25</f>
        <v>毗邻道路的类型与等级</v>
      </c>
      <c r="R25" s="705" t="s">
        <v>14</v>
      </c>
      <c r="S25" s="706">
        <f>F25</f>
        <v>100</v>
      </c>
      <c r="T25" s="705" t="s">
        <v>14</v>
      </c>
      <c r="U25" s="706">
        <f>H25</f>
        <v>100</v>
      </c>
      <c r="V25" s="705" t="s">
        <v>14</v>
      </c>
      <c r="W25" s="706">
        <f>J25</f>
        <v>100</v>
      </c>
      <c r="X25" s="1355"/>
      <c r="Y25" s="365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23"/>
      <c r="Q26" s="1352"/>
      <c r="R26" s="705"/>
      <c r="S26" s="706"/>
      <c r="T26" s="705"/>
      <c r="U26" s="706"/>
      <c r="V26" s="705"/>
      <c r="W26" s="706"/>
      <c r="X26" s="1355"/>
      <c r="Y26" s="3658"/>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3"/>
      <c r="Q27" s="1352" t="str">
        <f t="shared" ref="Q27:Q47" si="11">B27</f>
        <v>楼层</v>
      </c>
      <c r="R27" s="705" t="s">
        <v>14</v>
      </c>
      <c r="S27" s="706">
        <f>F27</f>
        <v>100</v>
      </c>
      <c r="T27" s="705" t="s">
        <v>14</v>
      </c>
      <c r="U27" s="706">
        <f>H27</f>
        <v>100</v>
      </c>
      <c r="V27" s="705" t="s">
        <v>14</v>
      </c>
      <c r="W27" s="706">
        <f>J27</f>
        <v>100</v>
      </c>
      <c r="X27" s="1355"/>
      <c r="Y27" s="3658"/>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23"/>
      <c r="Q28" s="1343" t="str">
        <f t="shared" si="11"/>
        <v>朝向</v>
      </c>
      <c r="R28" s="701" t="s">
        <v>14</v>
      </c>
      <c r="S28" s="702">
        <f>F28</f>
        <v>100</v>
      </c>
      <c r="T28" s="701" t="s">
        <v>14</v>
      </c>
      <c r="U28" s="702">
        <f>H28</f>
        <v>100</v>
      </c>
      <c r="V28" s="701" t="s">
        <v>14</v>
      </c>
      <c r="W28" s="702">
        <f>J28</f>
        <v>100</v>
      </c>
      <c r="X28" s="703"/>
      <c r="Y28" s="365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65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23"/>
      <c r="Q30" s="1352">
        <f t="shared" si="11"/>
        <v>111</v>
      </c>
      <c r="R30" s="705" t="s">
        <v>14</v>
      </c>
      <c r="S30" s="706">
        <f t="shared" si="12"/>
        <v>100</v>
      </c>
      <c r="T30" s="705" t="s">
        <v>14</v>
      </c>
      <c r="U30" s="706">
        <f t="shared" si="13"/>
        <v>100</v>
      </c>
      <c r="V30" s="705" t="s">
        <v>14</v>
      </c>
      <c r="W30" s="706">
        <f t="shared" si="14"/>
        <v>100</v>
      </c>
      <c r="X30" s="1355"/>
      <c r="Y30" s="365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23"/>
      <c r="Q31" s="1352">
        <f t="shared" si="11"/>
        <v>111</v>
      </c>
      <c r="R31" s="705" t="s">
        <v>14</v>
      </c>
      <c r="S31" s="706">
        <f t="shared" si="12"/>
        <v>100</v>
      </c>
      <c r="T31" s="705" t="s">
        <v>14</v>
      </c>
      <c r="U31" s="706">
        <f t="shared" si="13"/>
        <v>100</v>
      </c>
      <c r="V31" s="705" t="s">
        <v>14</v>
      </c>
      <c r="W31" s="706">
        <f t="shared" si="14"/>
        <v>100</v>
      </c>
      <c r="X31" s="1355"/>
      <c r="Y31" s="365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23"/>
      <c r="Q32" s="1352">
        <f t="shared" si="11"/>
        <v>111</v>
      </c>
      <c r="R32" s="705" t="s">
        <v>14</v>
      </c>
      <c r="S32" s="706">
        <f t="shared" si="12"/>
        <v>100</v>
      </c>
      <c r="T32" s="705" t="s">
        <v>14</v>
      </c>
      <c r="U32" s="706">
        <f t="shared" si="13"/>
        <v>100</v>
      </c>
      <c r="V32" s="705" t="s">
        <v>14</v>
      </c>
      <c r="W32" s="706">
        <f t="shared" si="14"/>
        <v>100</v>
      </c>
      <c r="X32" s="1355"/>
      <c r="Y32" s="3658"/>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18" t="s">
        <v>1694</v>
      </c>
      <c r="Q33" s="1352" t="str">
        <f t="shared" si="11"/>
        <v>建筑类型</v>
      </c>
      <c r="R33" s="705" t="s">
        <v>14</v>
      </c>
      <c r="S33" s="706">
        <f t="shared" si="12"/>
        <v>100</v>
      </c>
      <c r="T33" s="705" t="s">
        <v>14</v>
      </c>
      <c r="U33" s="706">
        <f t="shared" si="13"/>
        <v>100</v>
      </c>
      <c r="V33" s="705" t="s">
        <v>14</v>
      </c>
      <c r="W33" s="706">
        <f t="shared" si="14"/>
        <v>100</v>
      </c>
      <c r="X33" s="1355"/>
      <c r="Y33" s="3660"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9"/>
      <c r="Q34" s="707" t="str">
        <f t="shared" si="11"/>
        <v>项目建筑规模</v>
      </c>
      <c r="R34" s="708" t="s">
        <v>14</v>
      </c>
      <c r="S34" s="709" t="e">
        <f t="shared" si="12"/>
        <v>#N/A</v>
      </c>
      <c r="T34" s="708" t="s">
        <v>14</v>
      </c>
      <c r="U34" s="709" t="e">
        <f t="shared" si="13"/>
        <v>#N/A</v>
      </c>
      <c r="V34" s="708" t="s">
        <v>14</v>
      </c>
      <c r="W34" s="709" t="e">
        <f t="shared" si="14"/>
        <v>#N/A</v>
      </c>
      <c r="X34" s="710"/>
      <c r="Y34" s="3660"/>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9"/>
      <c r="Q35" s="1352" t="str">
        <f t="shared" si="11"/>
        <v>建筑结构</v>
      </c>
      <c r="R35" s="705" t="s">
        <v>14</v>
      </c>
      <c r="S35" s="706">
        <f t="shared" si="12"/>
        <v>100</v>
      </c>
      <c r="T35" s="705" t="s">
        <v>14</v>
      </c>
      <c r="U35" s="706">
        <f t="shared" si="13"/>
        <v>100</v>
      </c>
      <c r="V35" s="705" t="s">
        <v>14</v>
      </c>
      <c r="W35" s="706">
        <f t="shared" si="14"/>
        <v>100</v>
      </c>
      <c r="X35" s="1355"/>
      <c r="Y35" s="3660"/>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9"/>
      <c r="Q36" s="1352" t="str">
        <f t="shared" si="11"/>
        <v>公共部分装修</v>
      </c>
      <c r="R36" s="705" t="s">
        <v>14</v>
      </c>
      <c r="S36" s="706">
        <f t="shared" si="12"/>
        <v>100</v>
      </c>
      <c r="T36" s="705" t="s">
        <v>14</v>
      </c>
      <c r="U36" s="706">
        <f t="shared" si="13"/>
        <v>100</v>
      </c>
      <c r="V36" s="705" t="s">
        <v>14</v>
      </c>
      <c r="W36" s="706">
        <f t="shared" si="14"/>
        <v>100</v>
      </c>
      <c r="X36" s="1355"/>
      <c r="Y36" s="3660"/>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9"/>
      <c r="Q37" s="1352" t="str">
        <f t="shared" si="11"/>
        <v>成新度</v>
      </c>
      <c r="R37" s="705" t="s">
        <v>14</v>
      </c>
      <c r="S37" s="706" t="e">
        <f t="shared" si="12"/>
        <v>#N/A</v>
      </c>
      <c r="T37" s="705" t="s">
        <v>14</v>
      </c>
      <c r="U37" s="706" t="e">
        <f t="shared" si="13"/>
        <v>#N/A</v>
      </c>
      <c r="V37" s="705" t="s">
        <v>14</v>
      </c>
      <c r="W37" s="706" t="e">
        <f t="shared" si="14"/>
        <v>#N/A</v>
      </c>
      <c r="X37" s="1355"/>
      <c r="Y37" s="3660"/>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9"/>
      <c r="Q38" s="1343" t="str">
        <f t="shared" si="11"/>
        <v>写字楼等级</v>
      </c>
      <c r="R38" s="701" t="s">
        <v>14</v>
      </c>
      <c r="S38" s="702">
        <f t="shared" si="12"/>
        <v>100</v>
      </c>
      <c r="T38" s="701" t="s">
        <v>14</v>
      </c>
      <c r="U38" s="702">
        <f t="shared" si="13"/>
        <v>100</v>
      </c>
      <c r="V38" s="701" t="s">
        <v>14</v>
      </c>
      <c r="W38" s="702">
        <f t="shared" si="14"/>
        <v>100</v>
      </c>
      <c r="X38" s="703"/>
      <c r="Y38" s="3660"/>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9" t="s">
        <v>1694</v>
      </c>
      <c r="Q39" s="1352" t="str">
        <f t="shared" si="11"/>
        <v>物业管理</v>
      </c>
      <c r="R39" s="705" t="s">
        <v>14</v>
      </c>
      <c r="S39" s="706">
        <f t="shared" si="12"/>
        <v>100</v>
      </c>
      <c r="T39" s="705" t="s">
        <v>14</v>
      </c>
      <c r="U39" s="706">
        <f t="shared" si="13"/>
        <v>100</v>
      </c>
      <c r="V39" s="705" t="s">
        <v>14</v>
      </c>
      <c r="W39" s="706">
        <f t="shared" si="14"/>
        <v>100</v>
      </c>
      <c r="X39" s="1355"/>
      <c r="Y39" s="3660"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9"/>
      <c r="Q40" s="1352" t="str">
        <f t="shared" si="11"/>
        <v>市政基础设施</v>
      </c>
      <c r="R40" s="705" t="s">
        <v>14</v>
      </c>
      <c r="S40" s="706">
        <f t="shared" si="12"/>
        <v>100</v>
      </c>
      <c r="T40" s="705" t="s">
        <v>14</v>
      </c>
      <c r="U40" s="706">
        <f t="shared" si="13"/>
        <v>100</v>
      </c>
      <c r="V40" s="705" t="s">
        <v>14</v>
      </c>
      <c r="W40" s="706">
        <f t="shared" si="14"/>
        <v>100</v>
      </c>
      <c r="X40" s="1355"/>
      <c r="Y40" s="3660"/>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9"/>
      <c r="Q41" s="1352" t="str">
        <f t="shared" si="11"/>
        <v>层高</v>
      </c>
      <c r="R41" s="705" t="s">
        <v>14</v>
      </c>
      <c r="S41" s="706">
        <f t="shared" si="12"/>
        <v>100</v>
      </c>
      <c r="T41" s="705" t="s">
        <v>14</v>
      </c>
      <c r="U41" s="706">
        <f t="shared" si="13"/>
        <v>100</v>
      </c>
      <c r="V41" s="705" t="s">
        <v>14</v>
      </c>
      <c r="W41" s="706">
        <f t="shared" si="14"/>
        <v>100</v>
      </c>
      <c r="X41" s="1355"/>
      <c r="Y41" s="3660"/>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9"/>
      <c r="Q42" s="707" t="str">
        <f t="shared" si="11"/>
        <v>单套建筑面积</v>
      </c>
      <c r="R42" s="708" t="s">
        <v>14</v>
      </c>
      <c r="S42" s="709">
        <f t="shared" si="12"/>
        <v>100</v>
      </c>
      <c r="T42" s="708" t="s">
        <v>14</v>
      </c>
      <c r="U42" s="709">
        <f t="shared" si="13"/>
        <v>100</v>
      </c>
      <c r="V42" s="708" t="s">
        <v>14</v>
      </c>
      <c r="W42" s="709">
        <f t="shared" si="14"/>
        <v>100</v>
      </c>
      <c r="X42" s="710"/>
      <c r="Y42" s="3660"/>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9"/>
      <c r="Q43" s="1352" t="str">
        <f t="shared" si="11"/>
        <v>内部装修</v>
      </c>
      <c r="R43" s="705" t="s">
        <v>14</v>
      </c>
      <c r="S43" s="706">
        <f t="shared" si="12"/>
        <v>100</v>
      </c>
      <c r="T43" s="705" t="s">
        <v>14</v>
      </c>
      <c r="U43" s="706">
        <f t="shared" si="13"/>
        <v>100</v>
      </c>
      <c r="V43" s="705" t="s">
        <v>14</v>
      </c>
      <c r="W43" s="706">
        <f t="shared" si="14"/>
        <v>100</v>
      </c>
      <c r="X43" s="1355"/>
      <c r="Y43" s="3660"/>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19"/>
      <c r="Q44" s="1352" t="str">
        <f t="shared" si="11"/>
        <v>内部装修维护情况</v>
      </c>
      <c r="R44" s="705" t="s">
        <v>14</v>
      </c>
      <c r="S44" s="706">
        <f t="shared" si="12"/>
        <v>100</v>
      </c>
      <c r="T44" s="705" t="s">
        <v>14</v>
      </c>
      <c r="U44" s="706">
        <f t="shared" si="13"/>
        <v>100</v>
      </c>
      <c r="V44" s="705" t="s">
        <v>14</v>
      </c>
      <c r="W44" s="706">
        <f t="shared" si="14"/>
        <v>100</v>
      </c>
      <c r="X44" s="1355"/>
      <c r="Y44" s="366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9"/>
      <c r="Q45" s="1343">
        <f t="shared" si="11"/>
        <v>111</v>
      </c>
      <c r="R45" s="701" t="s">
        <v>14</v>
      </c>
      <c r="S45" s="702">
        <f t="shared" si="12"/>
        <v>100</v>
      </c>
      <c r="T45" s="701" t="s">
        <v>14</v>
      </c>
      <c r="U45" s="702">
        <f t="shared" si="13"/>
        <v>100</v>
      </c>
      <c r="V45" s="701" t="s">
        <v>14</v>
      </c>
      <c r="W45" s="702">
        <f t="shared" si="14"/>
        <v>100</v>
      </c>
      <c r="X45" s="703"/>
      <c r="Y45" s="366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9"/>
      <c r="Q46" s="1352">
        <f t="shared" si="11"/>
        <v>111</v>
      </c>
      <c r="R46" s="705" t="s">
        <v>14</v>
      </c>
      <c r="S46" s="706">
        <f t="shared" si="12"/>
        <v>100</v>
      </c>
      <c r="T46" s="705" t="s">
        <v>14</v>
      </c>
      <c r="U46" s="706">
        <f t="shared" si="13"/>
        <v>100</v>
      </c>
      <c r="V46" s="705" t="s">
        <v>14</v>
      </c>
      <c r="W46" s="706">
        <f t="shared" si="14"/>
        <v>100</v>
      </c>
      <c r="X46" s="1355"/>
      <c r="Y46" s="366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0"/>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0"/>
      <c r="M48" s="2712"/>
      <c r="N48" s="2712"/>
      <c r="O48" s="2712"/>
      <c r="P48" s="3677" t="str">
        <f>A48</f>
        <v>成交单价（元/平方米）</v>
      </c>
      <c r="Q48" s="3652"/>
      <c r="R48" s="3717">
        <f>E48</f>
        <v>0</v>
      </c>
      <c r="S48" s="3717"/>
      <c r="T48" s="3717">
        <f>G48</f>
        <v>0</v>
      </c>
      <c r="U48" s="3717"/>
      <c r="V48" s="3717">
        <f>I48</f>
        <v>0</v>
      </c>
      <c r="W48" s="3717"/>
      <c r="X48" s="397"/>
      <c r="Y48" s="712"/>
      <c r="Z48" s="397"/>
      <c r="AA48" s="397"/>
      <c r="AB48" s="397"/>
      <c r="AC48" s="578"/>
    </row>
    <row r="49" spans="1:29" ht="15.75" thickBot="1">
      <c r="A49" s="437" t="s">
        <v>1791</v>
      </c>
      <c r="B49" s="438"/>
      <c r="C49" s="1160" t="e">
        <f>R50</f>
        <v>#DIV/0!</v>
      </c>
      <c r="D49" s="2317" t="s">
        <v>2135</v>
      </c>
      <c r="E49" s="1161" t="e">
        <f>R49</f>
        <v>#DIV/0!</v>
      </c>
      <c r="F49" s="2318"/>
      <c r="G49" s="1160" t="e">
        <f>T49</f>
        <v>#DIV/0!</v>
      </c>
      <c r="H49" s="2318"/>
      <c r="I49" s="1161" t="e">
        <f>V49</f>
        <v>#DIV/0!</v>
      </c>
      <c r="J49" s="2318"/>
      <c r="K49" s="2320">
        <f>F49+H49+J49</f>
        <v>0</v>
      </c>
      <c r="L49" s="2720"/>
      <c r="M49" s="2712"/>
      <c r="N49" s="2712"/>
      <c r="O49" s="2712"/>
      <c r="P49" s="3677" t="str">
        <f>A49</f>
        <v>比较价值（元/平方米）</v>
      </c>
      <c r="Q49" s="3652"/>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0"/>
      <c r="M50" s="2712"/>
      <c r="N50" s="2712"/>
      <c r="O50" s="2712"/>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1796</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8" t="s">
        <v>1797</v>
      </c>
      <c r="D83" s="608" t="s">
        <v>1798</v>
      </c>
      <c r="E83" s="608" t="s">
        <v>1799</v>
      </c>
      <c r="F83" s="608" t="s">
        <v>1800</v>
      </c>
      <c r="G83" s="608" t="s">
        <v>1801</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1823</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2069.34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64" t="s">
        <v>1768</v>
      </c>
      <c r="D4" s="3665"/>
      <c r="E4" s="3666" t="s">
        <v>1769</v>
      </c>
      <c r="F4" s="3667"/>
      <c r="G4" s="3664" t="s">
        <v>1770</v>
      </c>
      <c r="H4" s="3665"/>
      <c r="I4" s="3664" t="s">
        <v>1771</v>
      </c>
      <c r="J4" s="3665"/>
      <c r="K4" s="559" t="s">
        <v>1772</v>
      </c>
      <c r="L4" s="913"/>
      <c r="M4" s="914"/>
      <c r="N4" s="914"/>
      <c r="O4" s="914"/>
      <c r="P4" s="3668" t="s">
        <v>1773</v>
      </c>
      <c r="Q4" s="3669"/>
      <c r="R4" s="3678" t="s">
        <v>1769</v>
      </c>
      <c r="S4" s="3679"/>
      <c r="T4" s="3678" t="s">
        <v>1770</v>
      </c>
      <c r="U4" s="3679"/>
      <c r="V4" s="3656" t="s">
        <v>1771</v>
      </c>
      <c r="W4" s="3656"/>
      <c r="X4" s="1355"/>
      <c r="Y4" s="3678" t="s">
        <v>1773</v>
      </c>
      <c r="Z4" s="3679"/>
      <c r="AA4" s="3661" t="s">
        <v>1769</v>
      </c>
      <c r="AB4" s="3662" t="s">
        <v>1770</v>
      </c>
      <c r="AC4" s="3661" t="s">
        <v>1771</v>
      </c>
    </row>
    <row r="5" spans="1:29" ht="15">
      <c r="A5" s="358"/>
      <c r="B5" s="359"/>
      <c r="C5" s="3682" t="s">
        <v>1671</v>
      </c>
      <c r="D5" s="3683"/>
      <c r="E5" s="3674" t="s">
        <v>1672</v>
      </c>
      <c r="F5" s="3675"/>
      <c r="G5" s="3682" t="s">
        <v>1673</v>
      </c>
      <c r="H5" s="3683"/>
      <c r="I5" s="3682" t="s">
        <v>1674</v>
      </c>
      <c r="J5" s="3683"/>
      <c r="K5" s="559"/>
      <c r="L5" s="913"/>
      <c r="M5" s="914"/>
      <c r="N5" s="914"/>
      <c r="O5" s="914"/>
      <c r="P5" s="3670"/>
      <c r="Q5" s="3671"/>
      <c r="R5" s="3680"/>
      <c r="S5" s="3681"/>
      <c r="T5" s="3680"/>
      <c r="U5" s="3681"/>
      <c r="V5" s="3656"/>
      <c r="W5" s="3656"/>
      <c r="X5" s="1355"/>
      <c r="Y5" s="3680"/>
      <c r="Z5" s="3681"/>
      <c r="AA5" s="3662"/>
      <c r="AB5" s="3662"/>
      <c r="AC5" s="3662"/>
    </row>
    <row r="6" spans="1:29" ht="15.75" thickBot="1">
      <c r="A6" s="360"/>
      <c r="B6" s="361"/>
      <c r="C6" s="3712" t="s">
        <v>1675</v>
      </c>
      <c r="D6" s="3713"/>
      <c r="E6" s="3714" t="s">
        <v>1675</v>
      </c>
      <c r="F6" s="3715"/>
      <c r="G6" s="3712" t="s">
        <v>1675</v>
      </c>
      <c r="H6" s="3713"/>
      <c r="I6" s="3712" t="s">
        <v>1675</v>
      </c>
      <c r="J6" s="3713"/>
      <c r="K6" s="559" t="s">
        <v>1676</v>
      </c>
      <c r="L6" s="913"/>
      <c r="M6" s="914"/>
      <c r="N6" s="914"/>
      <c r="O6" s="914"/>
      <c r="P6" s="3672"/>
      <c r="Q6" s="3673"/>
      <c r="R6" s="3680"/>
      <c r="S6" s="3681"/>
      <c r="T6" s="3689"/>
      <c r="U6" s="3690"/>
      <c r="V6" s="3656"/>
      <c r="W6" s="3656"/>
      <c r="X6" s="1355"/>
      <c r="Y6" s="3689"/>
      <c r="Z6" s="3690"/>
      <c r="AA6" s="3663"/>
      <c r="AB6" s="3663"/>
      <c r="AC6" s="3663"/>
    </row>
    <row r="7" spans="1:29" s="108" customFormat="1" ht="15.75" thickBot="1">
      <c r="A7" s="362" t="s">
        <v>1677</v>
      </c>
      <c r="B7" s="363"/>
      <c r="C7" s="364">
        <f>'数据-取费表'!B2</f>
        <v>45440</v>
      </c>
      <c r="D7" s="365">
        <v>100</v>
      </c>
      <c r="E7" s="366"/>
      <c r="F7" s="367">
        <f>SUMIF(52:52,YEAR(E7)&amp;"-"&amp;MONTH(E7),53:53)</f>
        <v>0</v>
      </c>
      <c r="G7" s="366"/>
      <c r="H7" s="365">
        <f>SUMIF(52:52,YEAR(G7)&amp;"-"&amp;MONTH(G7),53:53)</f>
        <v>0</v>
      </c>
      <c r="I7" s="366"/>
      <c r="J7" s="365">
        <f>SUMIF(52:52,YEAR(I7)&amp;"-"&amp;MONTH(I7),53:53)</f>
        <v>0</v>
      </c>
      <c r="K7" s="560"/>
      <c r="L7" s="915"/>
      <c r="M7" s="916"/>
      <c r="N7" s="916"/>
      <c r="O7" s="916"/>
      <c r="P7" s="3654" t="s">
        <v>1678</v>
      </c>
      <c r="Q7" s="3686"/>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4" t="s">
        <v>1681</v>
      </c>
      <c r="Q8" s="3655"/>
      <c r="R8" s="701" t="s">
        <v>14</v>
      </c>
      <c r="S8" s="702">
        <f t="shared" si="0"/>
        <v>100</v>
      </c>
      <c r="T8" s="701" t="s">
        <v>14</v>
      </c>
      <c r="U8" s="702">
        <f t="shared" si="1"/>
        <v>100</v>
      </c>
      <c r="V8" s="701" t="s">
        <v>14</v>
      </c>
      <c r="W8" s="702">
        <f t="shared" si="2"/>
        <v>100</v>
      </c>
      <c r="X8" s="703"/>
      <c r="Y8" s="3654" t="s">
        <v>1681</v>
      </c>
      <c r="Z8" s="3655"/>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2" t="s">
        <v>1684</v>
      </c>
      <c r="Q9" s="1343" t="str">
        <f t="shared" ref="Q9:Q15" si="6">B9</f>
        <v>用途</v>
      </c>
      <c r="R9" s="701" t="s">
        <v>14</v>
      </c>
      <c r="S9" s="702">
        <f t="shared" si="0"/>
        <v>100</v>
      </c>
      <c r="T9" s="701" t="s">
        <v>14</v>
      </c>
      <c r="U9" s="702">
        <f t="shared" si="1"/>
        <v>100</v>
      </c>
      <c r="V9" s="701" t="s">
        <v>14</v>
      </c>
      <c r="W9" s="702">
        <f t="shared" si="2"/>
        <v>100</v>
      </c>
      <c r="X9" s="703"/>
      <c r="Y9" s="3617"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52"/>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2"/>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2"/>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2"/>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2"/>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7" t="s">
        <v>1689</v>
      </c>
      <c r="Q15" s="1352" t="str">
        <f t="shared" si="6"/>
        <v>产业集聚程度</v>
      </c>
      <c r="R15" s="705" t="s">
        <v>14</v>
      </c>
      <c r="S15" s="706">
        <f t="shared" si="0"/>
        <v>100</v>
      </c>
      <c r="T15" s="705" t="s">
        <v>14</v>
      </c>
      <c r="U15" s="706">
        <f t="shared" si="1"/>
        <v>100</v>
      </c>
      <c r="V15" s="705" t="s">
        <v>14</v>
      </c>
      <c r="W15" s="706">
        <f t="shared" si="2"/>
        <v>100</v>
      </c>
      <c r="X15" s="1355"/>
      <c r="Y15" s="3657"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8"/>
      <c r="Q16" s="1352"/>
      <c r="R16" s="705"/>
      <c r="S16" s="706"/>
      <c r="T16" s="705"/>
      <c r="U16" s="706"/>
      <c r="V16" s="705"/>
      <c r="W16" s="706"/>
      <c r="X16" s="1355"/>
      <c r="Y16" s="3658"/>
      <c r="Z16" s="1356"/>
      <c r="AA16" s="1353">
        <v>1</v>
      </c>
      <c r="AB16" s="1353">
        <v>1</v>
      </c>
      <c r="AC16" s="1353">
        <v>1</v>
      </c>
    </row>
    <row r="17" spans="1:29" ht="15">
      <c r="A17" s="379"/>
      <c r="B17" s="402" t="s">
        <v>1257</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8"/>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8"/>
      <c r="Q18" s="1352"/>
      <c r="R18" s="705"/>
      <c r="S18" s="706"/>
      <c r="T18" s="705"/>
      <c r="U18" s="706"/>
      <c r="V18" s="705"/>
      <c r="W18" s="706"/>
      <c r="X18" s="1355"/>
      <c r="Y18" s="3658"/>
      <c r="Z18" s="1356"/>
      <c r="AA18" s="1353">
        <v>1</v>
      </c>
      <c r="AB18" s="1353">
        <v>1</v>
      </c>
      <c r="AC18" s="1353">
        <v>1</v>
      </c>
    </row>
    <row r="19" spans="1:29" ht="15">
      <c r="A19" s="379"/>
      <c r="B19" s="402" t="s">
        <v>1810</v>
      </c>
      <c r="C19" s="1900"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8"/>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8"/>
      <c r="Q20" s="1352"/>
      <c r="R20" s="705"/>
      <c r="S20" s="706"/>
      <c r="T20" s="705"/>
      <c r="U20" s="706"/>
      <c r="V20" s="705"/>
      <c r="W20" s="706"/>
      <c r="X20" s="1355"/>
      <c r="Y20" s="3658"/>
      <c r="Z20" s="1356"/>
      <c r="AA20" s="1353">
        <v>1</v>
      </c>
      <c r="AB20" s="1353">
        <v>1</v>
      </c>
      <c r="AC20" s="1353">
        <v>1</v>
      </c>
    </row>
    <row r="21" spans="1:29" ht="15">
      <c r="A21" s="379"/>
      <c r="B21" s="1131" t="s">
        <v>1811</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8"/>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8"/>
      <c r="Q22" s="1352"/>
      <c r="R22" s="705"/>
      <c r="S22" s="706"/>
      <c r="T22" s="705"/>
      <c r="U22" s="706"/>
      <c r="V22" s="705"/>
      <c r="W22" s="706"/>
      <c r="X22" s="1355"/>
      <c r="Y22" s="3658"/>
      <c r="Z22" s="1356"/>
      <c r="AA22" s="1353">
        <v>1</v>
      </c>
      <c r="AB22" s="1353">
        <v>1</v>
      </c>
      <c r="AC22" s="1353">
        <v>1</v>
      </c>
    </row>
    <row r="23" spans="1:29" ht="15">
      <c r="A23" s="379"/>
      <c r="B23" s="402" t="s">
        <v>1812</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8"/>
      <c r="Q23" s="1352" t="str">
        <f>B23</f>
        <v>环境质量</v>
      </c>
      <c r="R23" s="705" t="s">
        <v>14</v>
      </c>
      <c r="S23" s="706">
        <f>F23</f>
        <v>100</v>
      </c>
      <c r="T23" s="705" t="s">
        <v>14</v>
      </c>
      <c r="U23" s="706">
        <f>H23</f>
        <v>100</v>
      </c>
      <c r="V23" s="705" t="s">
        <v>14</v>
      </c>
      <c r="W23" s="706">
        <f>J23</f>
        <v>100</v>
      </c>
      <c r="X23" s="1355"/>
      <c r="Y23" s="36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8"/>
      <c r="Q24" s="1352"/>
      <c r="R24" s="705"/>
      <c r="S24" s="706"/>
      <c r="T24" s="705"/>
      <c r="U24" s="706"/>
      <c r="V24" s="705"/>
      <c r="W24" s="706"/>
      <c r="X24" s="1355"/>
      <c r="Y24" s="36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8"/>
      <c r="Q25" s="1352">
        <f>B25</f>
        <v>111</v>
      </c>
      <c r="R25" s="705" t="s">
        <v>14</v>
      </c>
      <c r="S25" s="706">
        <f>F25</f>
        <v>100</v>
      </c>
      <c r="T25" s="705" t="s">
        <v>14</v>
      </c>
      <c r="U25" s="706">
        <f>H25</f>
        <v>100</v>
      </c>
      <c r="V25" s="705" t="s">
        <v>14</v>
      </c>
      <c r="W25" s="706">
        <f>J25</f>
        <v>100</v>
      </c>
      <c r="X25" s="1355"/>
      <c r="Y25" s="36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8"/>
      <c r="Q26" s="1352">
        <f t="shared" ref="Q26:Q40" si="11">B26</f>
        <v>111</v>
      </c>
      <c r="R26" s="705" t="s">
        <v>14</v>
      </c>
      <c r="S26" s="706">
        <f>F26</f>
        <v>100</v>
      </c>
      <c r="T26" s="705" t="s">
        <v>14</v>
      </c>
      <c r="U26" s="706">
        <f>H26</f>
        <v>100</v>
      </c>
      <c r="V26" s="705" t="s">
        <v>14</v>
      </c>
      <c r="W26" s="706">
        <f>J26</f>
        <v>100</v>
      </c>
      <c r="X26" s="1355"/>
      <c r="Y26" s="36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8"/>
      <c r="Q27" s="1343">
        <f t="shared" si="11"/>
        <v>111</v>
      </c>
      <c r="R27" s="701" t="s">
        <v>14</v>
      </c>
      <c r="S27" s="702">
        <f>F27</f>
        <v>100</v>
      </c>
      <c r="T27" s="701" t="s">
        <v>14</v>
      </c>
      <c r="U27" s="702">
        <f>H27</f>
        <v>100</v>
      </c>
      <c r="V27" s="701" t="s">
        <v>14</v>
      </c>
      <c r="W27" s="702">
        <f>J27</f>
        <v>100</v>
      </c>
      <c r="X27" s="703"/>
      <c r="Y27" s="365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8"/>
      <c r="Q28" s="1352">
        <f t="shared" si="11"/>
        <v>111</v>
      </c>
      <c r="R28" s="705" t="s">
        <v>14</v>
      </c>
      <c r="S28" s="706">
        <f t="shared" ref="S28:S40" si="12">F28</f>
        <v>100</v>
      </c>
      <c r="T28" s="705" t="s">
        <v>14</v>
      </c>
      <c r="U28" s="706">
        <f t="shared" ref="U28:U40" si="13">H28</f>
        <v>100</v>
      </c>
      <c r="V28" s="705" t="s">
        <v>14</v>
      </c>
      <c r="W28" s="706">
        <f t="shared" ref="W28:W40" si="14">J28</f>
        <v>100</v>
      </c>
      <c r="X28" s="1355"/>
      <c r="Y28" s="3658"/>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9" t="s">
        <v>1694</v>
      </c>
      <c r="Q29" s="1352" t="str">
        <f t="shared" si="11"/>
        <v>建筑类型</v>
      </c>
      <c r="R29" s="705" t="s">
        <v>14</v>
      </c>
      <c r="S29" s="706">
        <f t="shared" si="12"/>
        <v>100</v>
      </c>
      <c r="T29" s="705" t="s">
        <v>14</v>
      </c>
      <c r="U29" s="706">
        <f t="shared" si="13"/>
        <v>100</v>
      </c>
      <c r="V29" s="705" t="s">
        <v>14</v>
      </c>
      <c r="W29" s="706">
        <f t="shared" si="14"/>
        <v>100</v>
      </c>
      <c r="X29" s="1355"/>
      <c r="Y29" s="3660"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0"/>
      <c r="Q30" s="707" t="str">
        <f t="shared" si="11"/>
        <v>项目建筑规模</v>
      </c>
      <c r="R30" s="708" t="s">
        <v>14</v>
      </c>
      <c r="S30" s="709" t="e">
        <f t="shared" si="12"/>
        <v>#N/A</v>
      </c>
      <c r="T30" s="708" t="s">
        <v>14</v>
      </c>
      <c r="U30" s="709" t="e">
        <f t="shared" si="13"/>
        <v>#N/A</v>
      </c>
      <c r="V30" s="708" t="s">
        <v>14</v>
      </c>
      <c r="W30" s="709" t="e">
        <f t="shared" si="14"/>
        <v>#N/A</v>
      </c>
      <c r="X30" s="710"/>
      <c r="Y30" s="3660"/>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0"/>
      <c r="Q31" s="1352" t="str">
        <f t="shared" si="11"/>
        <v>建筑结构</v>
      </c>
      <c r="R31" s="705" t="s">
        <v>14</v>
      </c>
      <c r="S31" s="706">
        <f t="shared" si="12"/>
        <v>100</v>
      </c>
      <c r="T31" s="705" t="s">
        <v>14</v>
      </c>
      <c r="U31" s="706">
        <f t="shared" si="13"/>
        <v>100</v>
      </c>
      <c r="V31" s="705" t="s">
        <v>14</v>
      </c>
      <c r="W31" s="706">
        <f t="shared" si="14"/>
        <v>100</v>
      </c>
      <c r="X31" s="1355"/>
      <c r="Y31" s="3660"/>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0"/>
      <c r="Q32" s="1352" t="str">
        <f t="shared" si="11"/>
        <v>公共部分装修</v>
      </c>
      <c r="R32" s="705" t="s">
        <v>14</v>
      </c>
      <c r="S32" s="706">
        <f t="shared" si="12"/>
        <v>100</v>
      </c>
      <c r="T32" s="705" t="s">
        <v>14</v>
      </c>
      <c r="U32" s="706">
        <f t="shared" si="13"/>
        <v>100</v>
      </c>
      <c r="V32" s="705" t="s">
        <v>14</v>
      </c>
      <c r="W32" s="706">
        <f t="shared" si="14"/>
        <v>100</v>
      </c>
      <c r="X32" s="1355"/>
      <c r="Y32" s="3660"/>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0"/>
      <c r="Q33" s="1352" t="str">
        <f t="shared" si="11"/>
        <v>成新度</v>
      </c>
      <c r="R33" s="705" t="s">
        <v>14</v>
      </c>
      <c r="S33" s="706" t="e">
        <f t="shared" si="12"/>
        <v>#N/A</v>
      </c>
      <c r="T33" s="705" t="s">
        <v>14</v>
      </c>
      <c r="U33" s="706" t="e">
        <f t="shared" si="13"/>
        <v>#N/A</v>
      </c>
      <c r="V33" s="705" t="s">
        <v>14</v>
      </c>
      <c r="W33" s="706" t="e">
        <f t="shared" si="14"/>
        <v>#N/A</v>
      </c>
      <c r="X33" s="1355"/>
      <c r="Y33" s="3660"/>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0"/>
      <c r="Q34" s="1343" t="str">
        <f t="shared" si="11"/>
        <v>物业管理</v>
      </c>
      <c r="R34" s="701" t="s">
        <v>14</v>
      </c>
      <c r="S34" s="702">
        <f t="shared" si="12"/>
        <v>100</v>
      </c>
      <c r="T34" s="701" t="s">
        <v>14</v>
      </c>
      <c r="U34" s="702">
        <f t="shared" si="13"/>
        <v>100</v>
      </c>
      <c r="V34" s="701" t="s">
        <v>14</v>
      </c>
      <c r="W34" s="702">
        <f t="shared" si="14"/>
        <v>100</v>
      </c>
      <c r="X34" s="703"/>
      <c r="Y34" s="3660"/>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0" t="s">
        <v>1694</v>
      </c>
      <c r="Q35" s="1352" t="str">
        <f t="shared" si="11"/>
        <v>市政基础设施</v>
      </c>
      <c r="R35" s="705" t="s">
        <v>14</v>
      </c>
      <c r="S35" s="706">
        <f t="shared" si="12"/>
        <v>100</v>
      </c>
      <c r="T35" s="705" t="s">
        <v>14</v>
      </c>
      <c r="U35" s="706">
        <f t="shared" si="13"/>
        <v>100</v>
      </c>
      <c r="V35" s="705" t="s">
        <v>14</v>
      </c>
      <c r="W35" s="706">
        <f t="shared" si="14"/>
        <v>100</v>
      </c>
      <c r="X35" s="1355"/>
      <c r="Y35" s="3660"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0"/>
      <c r="Q36" s="1352" t="str">
        <f t="shared" si="11"/>
        <v>内部装修</v>
      </c>
      <c r="R36" s="705" t="s">
        <v>14</v>
      </c>
      <c r="S36" s="706">
        <f t="shared" si="12"/>
        <v>100</v>
      </c>
      <c r="T36" s="705" t="s">
        <v>14</v>
      </c>
      <c r="U36" s="706">
        <f t="shared" si="13"/>
        <v>100</v>
      </c>
      <c r="V36" s="705" t="s">
        <v>14</v>
      </c>
      <c r="W36" s="706">
        <f t="shared" si="14"/>
        <v>100</v>
      </c>
      <c r="X36" s="1355"/>
      <c r="Y36" s="3660"/>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0"/>
      <c r="Q37" s="1352" t="str">
        <f t="shared" si="11"/>
        <v>内部装修状况</v>
      </c>
      <c r="R37" s="705" t="s">
        <v>14</v>
      </c>
      <c r="S37" s="706">
        <f t="shared" si="12"/>
        <v>100</v>
      </c>
      <c r="T37" s="705" t="s">
        <v>14</v>
      </c>
      <c r="U37" s="706">
        <f t="shared" si="13"/>
        <v>100</v>
      </c>
      <c r="V37" s="705" t="s">
        <v>14</v>
      </c>
      <c r="W37" s="706">
        <f t="shared" si="14"/>
        <v>100</v>
      </c>
      <c r="X37" s="1355"/>
      <c r="Y37" s="36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0"/>
      <c r="Q38" s="707">
        <f t="shared" si="11"/>
        <v>111</v>
      </c>
      <c r="R38" s="708" t="s">
        <v>14</v>
      </c>
      <c r="S38" s="709">
        <f t="shared" si="12"/>
        <v>100</v>
      </c>
      <c r="T38" s="708" t="s">
        <v>14</v>
      </c>
      <c r="U38" s="709">
        <f t="shared" si="13"/>
        <v>100</v>
      </c>
      <c r="V38" s="708" t="s">
        <v>14</v>
      </c>
      <c r="W38" s="709">
        <f t="shared" si="14"/>
        <v>100</v>
      </c>
      <c r="X38" s="710"/>
      <c r="Y38" s="36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0"/>
      <c r="Q39" s="1352">
        <f t="shared" si="11"/>
        <v>111</v>
      </c>
      <c r="R39" s="705" t="s">
        <v>14</v>
      </c>
      <c r="S39" s="706">
        <f t="shared" si="12"/>
        <v>100</v>
      </c>
      <c r="T39" s="705" t="s">
        <v>14</v>
      </c>
      <c r="U39" s="706">
        <f t="shared" si="13"/>
        <v>100</v>
      </c>
      <c r="V39" s="705" t="s">
        <v>14</v>
      </c>
      <c r="W39" s="706">
        <f t="shared" si="14"/>
        <v>100</v>
      </c>
      <c r="X39" s="1355"/>
      <c r="Y39" s="366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52" t="str">
        <f>A41</f>
        <v>成交单价（元/平方米）</v>
      </c>
      <c r="Q41" s="3652"/>
      <c r="R41" s="3717">
        <f>E41</f>
        <v>0</v>
      </c>
      <c r="S41" s="3717"/>
      <c r="T41" s="3717">
        <f>G41</f>
        <v>0</v>
      </c>
      <c r="U41" s="3717"/>
      <c r="V41" s="3717">
        <f>I41</f>
        <v>0</v>
      </c>
      <c r="W41" s="3717"/>
      <c r="X41" s="690"/>
      <c r="Y41" s="712"/>
      <c r="Z41" s="690"/>
      <c r="AA41" s="690"/>
      <c r="AB41" s="690"/>
      <c r="AC41" s="690"/>
    </row>
    <row r="42" spans="1:29" ht="15.75" thickBot="1">
      <c r="A42" s="437" t="s">
        <v>1791</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52" t="str">
        <f>A42</f>
        <v>比较价值（元/平方米）</v>
      </c>
      <c r="Q42" s="3652"/>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49" t="str">
        <f>A43</f>
        <v>估价对象XX用房的比较价值（楼面单价，元/平方米）</v>
      </c>
      <c r="Q43" s="3650"/>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3329</v>
      </c>
      <c r="C1" s="1224" t="s">
        <v>1660</v>
      </c>
      <c r="D1" s="1225"/>
      <c r="E1" s="3429"/>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1767</v>
      </c>
      <c r="B4" s="356"/>
      <c r="C4" s="3664" t="s">
        <v>1768</v>
      </c>
      <c r="D4" s="3665"/>
      <c r="E4" s="3666" t="s">
        <v>1769</v>
      </c>
      <c r="F4" s="3667"/>
      <c r="G4" s="3664" t="s">
        <v>1770</v>
      </c>
      <c r="H4" s="3665"/>
      <c r="I4" s="3664" t="s">
        <v>1771</v>
      </c>
      <c r="J4" s="3665"/>
      <c r="K4" s="559" t="s">
        <v>1772</v>
      </c>
      <c r="L4" s="2711"/>
      <c r="M4" s="2712"/>
      <c r="N4" s="2712"/>
      <c r="O4" s="2712"/>
      <c r="P4" s="3668" t="s">
        <v>1773</v>
      </c>
      <c r="Q4" s="3669"/>
      <c r="R4" s="3678" t="s">
        <v>1769</v>
      </c>
      <c r="S4" s="3679"/>
      <c r="T4" s="3678" t="s">
        <v>1770</v>
      </c>
      <c r="U4" s="3679"/>
      <c r="V4" s="3656" t="s">
        <v>1771</v>
      </c>
      <c r="W4" s="3656"/>
      <c r="X4" s="1355"/>
      <c r="Y4" s="3678" t="s">
        <v>1773</v>
      </c>
      <c r="Z4" s="3679"/>
      <c r="AA4" s="3661" t="s">
        <v>1769</v>
      </c>
      <c r="AB4" s="3662" t="s">
        <v>1770</v>
      </c>
      <c r="AC4" s="3661" t="s">
        <v>1771</v>
      </c>
    </row>
    <row r="5" spans="1:29" ht="15">
      <c r="A5" s="358"/>
      <c r="B5" s="359"/>
      <c r="C5" s="3682" t="s">
        <v>1671</v>
      </c>
      <c r="D5" s="3683"/>
      <c r="E5" s="3674" t="s">
        <v>1672</v>
      </c>
      <c r="F5" s="3675"/>
      <c r="G5" s="3682" t="s">
        <v>1673</v>
      </c>
      <c r="H5" s="3683"/>
      <c r="I5" s="3682" t="s">
        <v>1674</v>
      </c>
      <c r="J5" s="3683"/>
      <c r="K5" s="559"/>
      <c r="L5" s="2711"/>
      <c r="M5" s="2712"/>
      <c r="N5" s="2712"/>
      <c r="O5" s="2712"/>
      <c r="P5" s="3670"/>
      <c r="Q5" s="3671"/>
      <c r="R5" s="3680"/>
      <c r="S5" s="3681"/>
      <c r="T5" s="3680"/>
      <c r="U5" s="3681"/>
      <c r="V5" s="3656"/>
      <c r="W5" s="3656"/>
      <c r="X5" s="1355"/>
      <c r="Y5" s="3680"/>
      <c r="Z5" s="3681"/>
      <c r="AA5" s="3662"/>
      <c r="AB5" s="3662"/>
      <c r="AC5" s="3662"/>
    </row>
    <row r="6" spans="1:29" ht="15.75" thickBot="1">
      <c r="A6" s="360"/>
      <c r="B6" s="361"/>
      <c r="C6" s="3712" t="s">
        <v>1675</v>
      </c>
      <c r="D6" s="3713"/>
      <c r="E6" s="3714" t="s">
        <v>1675</v>
      </c>
      <c r="F6" s="3715"/>
      <c r="G6" s="3712" t="s">
        <v>1675</v>
      </c>
      <c r="H6" s="3713"/>
      <c r="I6" s="3712" t="s">
        <v>1675</v>
      </c>
      <c r="J6" s="3713"/>
      <c r="K6" s="559" t="s">
        <v>1676</v>
      </c>
      <c r="L6" s="2711"/>
      <c r="M6" s="2712"/>
      <c r="N6" s="2712"/>
      <c r="O6" s="2712"/>
      <c r="P6" s="3672"/>
      <c r="Q6" s="3673"/>
      <c r="R6" s="3680"/>
      <c r="S6" s="3681"/>
      <c r="T6" s="3689"/>
      <c r="U6" s="3690"/>
      <c r="V6" s="3656"/>
      <c r="W6" s="3656"/>
      <c r="X6" s="1355"/>
      <c r="Y6" s="3689"/>
      <c r="Z6" s="3690"/>
      <c r="AA6" s="3663"/>
      <c r="AB6" s="3663"/>
      <c r="AC6" s="3663"/>
    </row>
    <row r="7" spans="1:29" s="108" customFormat="1" ht="15.75" thickBot="1">
      <c r="A7" s="362" t="s">
        <v>1677</v>
      </c>
      <c r="B7" s="363"/>
      <c r="C7" s="364">
        <f>'数据-取费表'!B2</f>
        <v>45440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54" t="s">
        <v>1678</v>
      </c>
      <c r="Q7" s="3686"/>
      <c r="R7" s="701" t="s">
        <v>14</v>
      </c>
      <c r="S7" s="702">
        <f t="shared" ref="S7:S14" si="0">F7</f>
        <v>0</v>
      </c>
      <c r="T7" s="701" t="s">
        <v>14</v>
      </c>
      <c r="U7" s="702">
        <f t="shared" ref="U7:U14" si="1">H7</f>
        <v>0</v>
      </c>
      <c r="V7" s="701" t="s">
        <v>14</v>
      </c>
      <c r="W7" s="702">
        <f t="shared" ref="W7:W14"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54" t="s">
        <v>1681</v>
      </c>
      <c r="Q8" s="3655"/>
      <c r="R8" s="701" t="s">
        <v>14</v>
      </c>
      <c r="S8" s="702">
        <f t="shared" si="0"/>
        <v>100</v>
      </c>
      <c r="T8" s="701" t="s">
        <v>14</v>
      </c>
      <c r="U8" s="702">
        <f t="shared" si="1"/>
        <v>100</v>
      </c>
      <c r="V8" s="701" t="s">
        <v>14</v>
      </c>
      <c r="W8" s="702">
        <f t="shared" si="2"/>
        <v>100</v>
      </c>
      <c r="X8" s="703"/>
      <c r="Y8" s="3654" t="s">
        <v>1681</v>
      </c>
      <c r="Z8" s="365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52" t="s">
        <v>1684</v>
      </c>
      <c r="Q9" s="1343" t="str">
        <f t="shared" ref="Q9:Q14" si="6">B9</f>
        <v>用途</v>
      </c>
      <c r="R9" s="701" t="s">
        <v>14</v>
      </c>
      <c r="S9" s="702">
        <f t="shared" si="0"/>
        <v>100</v>
      </c>
      <c r="T9" s="701" t="s">
        <v>14</v>
      </c>
      <c r="U9" s="702">
        <f t="shared" si="1"/>
        <v>100</v>
      </c>
      <c r="V9" s="701" t="s">
        <v>14</v>
      </c>
      <c r="W9" s="702">
        <f t="shared" si="2"/>
        <v>100</v>
      </c>
      <c r="X9" s="703"/>
      <c r="Y9" s="3617" t="s">
        <v>1685</v>
      </c>
      <c r="Z9" s="52" t="str">
        <f t="shared" ref="Z9:Z14" si="7">Q9</f>
        <v>用途</v>
      </c>
      <c r="AA9" s="704">
        <f t="shared" si="3"/>
        <v>1</v>
      </c>
      <c r="AB9" s="704">
        <f t="shared" si="4"/>
        <v>1</v>
      </c>
      <c r="AC9" s="704">
        <f t="shared" si="5"/>
        <v>1</v>
      </c>
    </row>
    <row r="10" spans="1:29" s="378" customFormat="1" ht="27">
      <c r="A10" s="589"/>
      <c r="B10" s="590"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52"/>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52"/>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52"/>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52"/>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57" t="s">
        <v>1689</v>
      </c>
      <c r="Q14" s="1352" t="str">
        <f t="shared" si="6"/>
        <v>交通便捷度</v>
      </c>
      <c r="R14" s="705" t="s">
        <v>14</v>
      </c>
      <c r="S14" s="706">
        <f t="shared" si="0"/>
        <v>100</v>
      </c>
      <c r="T14" s="705" t="s">
        <v>14</v>
      </c>
      <c r="U14" s="706">
        <f t="shared" si="1"/>
        <v>100</v>
      </c>
      <c r="V14" s="705" t="s">
        <v>14</v>
      </c>
      <c r="W14" s="706">
        <f t="shared" si="2"/>
        <v>100</v>
      </c>
      <c r="X14" s="1355"/>
      <c r="Y14" s="365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58"/>
      <c r="Q15" s="1352"/>
      <c r="R15" s="705"/>
      <c r="S15" s="706"/>
      <c r="T15" s="705"/>
      <c r="U15" s="706"/>
      <c r="V15" s="705"/>
      <c r="W15" s="706"/>
      <c r="X15" s="1355"/>
      <c r="Y15" s="3658"/>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58"/>
      <c r="Q16" s="1352" t="str">
        <f>B16</f>
        <v>公共配套设施</v>
      </c>
      <c r="R16" s="705" t="s">
        <v>14</v>
      </c>
      <c r="S16" s="706">
        <f>F16</f>
        <v>100</v>
      </c>
      <c r="T16" s="705" t="s">
        <v>14</v>
      </c>
      <c r="U16" s="706">
        <f>H16</f>
        <v>100</v>
      </c>
      <c r="V16" s="705" t="s">
        <v>14</v>
      </c>
      <c r="W16" s="706">
        <f>J16</f>
        <v>100</v>
      </c>
      <c r="X16" s="1355"/>
      <c r="Y16" s="36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58"/>
      <c r="Q17" s="1352"/>
      <c r="R17" s="705"/>
      <c r="S17" s="706"/>
      <c r="T17" s="705"/>
      <c r="U17" s="706"/>
      <c r="V17" s="705"/>
      <c r="W17" s="706"/>
      <c r="X17" s="1355"/>
      <c r="Y17" s="3658"/>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58"/>
      <c r="Q18" s="1352" t="str">
        <f>B18</f>
        <v>基础设施水平</v>
      </c>
      <c r="R18" s="705" t="s">
        <v>14</v>
      </c>
      <c r="S18" s="706">
        <f>F18</f>
        <v>100</v>
      </c>
      <c r="T18" s="705" t="s">
        <v>14</v>
      </c>
      <c r="U18" s="706">
        <f>H18</f>
        <v>100</v>
      </c>
      <c r="V18" s="705" t="s">
        <v>14</v>
      </c>
      <c r="W18" s="706">
        <f>J18</f>
        <v>100</v>
      </c>
      <c r="X18" s="1355"/>
      <c r="Y18" s="36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58"/>
      <c r="Q19" s="1352"/>
      <c r="R19" s="705"/>
      <c r="S19" s="706"/>
      <c r="T19" s="705"/>
      <c r="U19" s="706"/>
      <c r="V19" s="705"/>
      <c r="W19" s="706"/>
      <c r="X19" s="1355"/>
      <c r="Y19" s="3658"/>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58"/>
      <c r="Q20" s="1352" t="str">
        <f>B20</f>
        <v>自然及人文环境</v>
      </c>
      <c r="R20" s="705" t="s">
        <v>14</v>
      </c>
      <c r="S20" s="706">
        <f>F20</f>
        <v>100</v>
      </c>
      <c r="T20" s="705" t="s">
        <v>14</v>
      </c>
      <c r="U20" s="706">
        <f>H20</f>
        <v>100</v>
      </c>
      <c r="V20" s="705" t="s">
        <v>14</v>
      </c>
      <c r="W20" s="706">
        <f>J20</f>
        <v>100</v>
      </c>
      <c r="X20" s="1355"/>
      <c r="Y20" s="36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58"/>
      <c r="Q21" s="1352"/>
      <c r="R21" s="705"/>
      <c r="S21" s="706"/>
      <c r="T21" s="705"/>
      <c r="U21" s="706"/>
      <c r="V21" s="705"/>
      <c r="W21" s="706"/>
      <c r="X21" s="1355"/>
      <c r="Y21" s="365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58"/>
      <c r="Q22" s="1352" t="str">
        <f>B22</f>
        <v>楼层</v>
      </c>
      <c r="R22" s="705" t="s">
        <v>14</v>
      </c>
      <c r="S22" s="706">
        <f>F22</f>
        <v>100</v>
      </c>
      <c r="T22" s="705" t="s">
        <v>14</v>
      </c>
      <c r="U22" s="706">
        <f>H22</f>
        <v>100</v>
      </c>
      <c r="V22" s="705" t="s">
        <v>14</v>
      </c>
      <c r="W22" s="706">
        <f>J22</f>
        <v>100</v>
      </c>
      <c r="X22" s="1355"/>
      <c r="Y22" s="36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58"/>
      <c r="Q23" s="1352">
        <f>B23</f>
        <v>111</v>
      </c>
      <c r="R23" s="705" t="s">
        <v>14</v>
      </c>
      <c r="S23" s="706">
        <f>F23</f>
        <v>100</v>
      </c>
      <c r="T23" s="705" t="s">
        <v>14</v>
      </c>
      <c r="U23" s="706">
        <f>H23</f>
        <v>100</v>
      </c>
      <c r="V23" s="705" t="s">
        <v>14</v>
      </c>
      <c r="W23" s="706">
        <f>J23</f>
        <v>100</v>
      </c>
      <c r="X23" s="1355"/>
      <c r="Y23" s="36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58"/>
      <c r="Q24" s="1352">
        <f t="shared" ref="Q24:Q36" si="11">B24</f>
        <v>111</v>
      </c>
      <c r="R24" s="705" t="s">
        <v>14</v>
      </c>
      <c r="S24" s="706">
        <f>F24</f>
        <v>100</v>
      </c>
      <c r="T24" s="705" t="s">
        <v>14</v>
      </c>
      <c r="U24" s="706">
        <f>H24</f>
        <v>100</v>
      </c>
      <c r="V24" s="705" t="s">
        <v>14</v>
      </c>
      <c r="W24" s="706">
        <f>J24</f>
        <v>100</v>
      </c>
      <c r="X24" s="1355"/>
      <c r="Y24" s="365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58"/>
      <c r="Q25" s="1343">
        <f t="shared" si="11"/>
        <v>111</v>
      </c>
      <c r="R25" s="701" t="s">
        <v>14</v>
      </c>
      <c r="S25" s="702">
        <f>F25</f>
        <v>100</v>
      </c>
      <c r="T25" s="701" t="s">
        <v>14</v>
      </c>
      <c r="U25" s="702">
        <f>H25</f>
        <v>100</v>
      </c>
      <c r="V25" s="701" t="s">
        <v>14</v>
      </c>
      <c r="W25" s="702">
        <f>J25</f>
        <v>100</v>
      </c>
      <c r="X25" s="703"/>
      <c r="Y25" s="3658"/>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59"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0"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60"/>
      <c r="Q27" s="707" t="str">
        <f t="shared" si="11"/>
        <v>项目停车位配比</v>
      </c>
      <c r="R27" s="708" t="s">
        <v>14</v>
      </c>
      <c r="S27" s="709">
        <f t="shared" si="12"/>
        <v>100</v>
      </c>
      <c r="T27" s="708" t="s">
        <v>14</v>
      </c>
      <c r="U27" s="709">
        <f t="shared" si="13"/>
        <v>100</v>
      </c>
      <c r="V27" s="708" t="s">
        <v>14</v>
      </c>
      <c r="W27" s="709">
        <f t="shared" si="14"/>
        <v>100</v>
      </c>
      <c r="X27" s="710"/>
      <c r="Y27" s="3660"/>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60"/>
      <c r="Q28" s="1352" t="str">
        <f t="shared" si="11"/>
        <v>公共部分装修</v>
      </c>
      <c r="R28" s="705" t="s">
        <v>14</v>
      </c>
      <c r="S28" s="706">
        <f t="shared" si="12"/>
        <v>100</v>
      </c>
      <c r="T28" s="705" t="s">
        <v>14</v>
      </c>
      <c r="U28" s="706">
        <f t="shared" si="13"/>
        <v>100</v>
      </c>
      <c r="V28" s="705" t="s">
        <v>14</v>
      </c>
      <c r="W28" s="706">
        <f t="shared" si="14"/>
        <v>100</v>
      </c>
      <c r="X28" s="1355"/>
      <c r="Y28" s="3660"/>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60"/>
      <c r="Q29" s="1352" t="str">
        <f t="shared" si="11"/>
        <v>成新率</v>
      </c>
      <c r="R29" s="705" t="s">
        <v>14</v>
      </c>
      <c r="S29" s="706" t="e">
        <f t="shared" si="12"/>
        <v>#N/A</v>
      </c>
      <c r="T29" s="705" t="s">
        <v>14</v>
      </c>
      <c r="U29" s="706" t="e">
        <f t="shared" si="13"/>
        <v>#N/A</v>
      </c>
      <c r="V29" s="705" t="s">
        <v>14</v>
      </c>
      <c r="W29" s="706" t="e">
        <f t="shared" si="14"/>
        <v>#N/A</v>
      </c>
      <c r="X29" s="1355"/>
      <c r="Y29" s="3660"/>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60"/>
      <c r="Q30" s="1352" t="str">
        <f t="shared" si="11"/>
        <v>物业等级</v>
      </c>
      <c r="R30" s="705" t="s">
        <v>14</v>
      </c>
      <c r="S30" s="706">
        <f t="shared" si="12"/>
        <v>100</v>
      </c>
      <c r="T30" s="705" t="s">
        <v>14</v>
      </c>
      <c r="U30" s="706">
        <f t="shared" si="13"/>
        <v>100</v>
      </c>
      <c r="V30" s="705" t="s">
        <v>14</v>
      </c>
      <c r="W30" s="706">
        <f t="shared" si="14"/>
        <v>100</v>
      </c>
      <c r="X30" s="1355"/>
      <c r="Y30" s="3660"/>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60"/>
      <c r="Q31" s="1343" t="str">
        <f t="shared" si="11"/>
        <v>停车位面积</v>
      </c>
      <c r="R31" s="701" t="s">
        <v>14</v>
      </c>
      <c r="S31" s="702" t="e">
        <f t="shared" si="12"/>
        <v>#N/A</v>
      </c>
      <c r="T31" s="701" t="s">
        <v>14</v>
      </c>
      <c r="U31" s="702" t="e">
        <f t="shared" si="13"/>
        <v>#N/A</v>
      </c>
      <c r="V31" s="701" t="s">
        <v>14</v>
      </c>
      <c r="W31" s="702" t="e">
        <f t="shared" si="14"/>
        <v>#N/A</v>
      </c>
      <c r="X31" s="703"/>
      <c r="Y31" s="3660"/>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60" t="s">
        <v>1694</v>
      </c>
      <c r="Q32" s="1352" t="str">
        <f t="shared" si="11"/>
        <v>车位类型</v>
      </c>
      <c r="R32" s="705" t="s">
        <v>14</v>
      </c>
      <c r="S32" s="706">
        <f t="shared" si="12"/>
        <v>100</v>
      </c>
      <c r="T32" s="705" t="s">
        <v>14</v>
      </c>
      <c r="U32" s="706">
        <f t="shared" si="13"/>
        <v>100</v>
      </c>
      <c r="V32" s="705" t="s">
        <v>14</v>
      </c>
      <c r="W32" s="706">
        <f t="shared" si="14"/>
        <v>100</v>
      </c>
      <c r="X32" s="1355"/>
      <c r="Y32" s="3660"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60"/>
      <c r="Q33" s="1352" t="str">
        <f t="shared" si="11"/>
        <v>是否直接入户</v>
      </c>
      <c r="R33" s="705" t="s">
        <v>14</v>
      </c>
      <c r="S33" s="706">
        <f t="shared" si="12"/>
        <v>100</v>
      </c>
      <c r="T33" s="705" t="s">
        <v>14</v>
      </c>
      <c r="U33" s="706">
        <f t="shared" si="13"/>
        <v>100</v>
      </c>
      <c r="V33" s="705" t="s">
        <v>14</v>
      </c>
      <c r="W33" s="706">
        <f t="shared" si="14"/>
        <v>100</v>
      </c>
      <c r="X33" s="1355"/>
      <c r="Y33" s="36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60"/>
      <c r="Q35" s="707">
        <f t="shared" si="11"/>
        <v>111</v>
      </c>
      <c r="R35" s="708" t="s">
        <v>14</v>
      </c>
      <c r="S35" s="709">
        <f t="shared" si="12"/>
        <v>100</v>
      </c>
      <c r="T35" s="708" t="s">
        <v>14</v>
      </c>
      <c r="U35" s="709">
        <f t="shared" si="13"/>
        <v>100</v>
      </c>
      <c r="V35" s="708" t="s">
        <v>14</v>
      </c>
      <c r="W35" s="709">
        <f t="shared" si="14"/>
        <v>100</v>
      </c>
      <c r="X35" s="710"/>
      <c r="Y35" s="366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60"/>
      <c r="Q36" s="1352">
        <f t="shared" si="11"/>
        <v>111</v>
      </c>
      <c r="R36" s="705" t="s">
        <v>14</v>
      </c>
      <c r="S36" s="706">
        <f t="shared" si="12"/>
        <v>100</v>
      </c>
      <c r="T36" s="705" t="s">
        <v>14</v>
      </c>
      <c r="U36" s="706">
        <f t="shared" si="13"/>
        <v>100</v>
      </c>
      <c r="V36" s="705" t="s">
        <v>14</v>
      </c>
      <c r="W36" s="706">
        <f t="shared" si="14"/>
        <v>100</v>
      </c>
      <c r="X36" s="1355"/>
      <c r="Y36" s="3660"/>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0"/>
      <c r="M37" s="2721"/>
      <c r="N37" s="2712"/>
      <c r="O37" s="2721"/>
      <c r="P37" s="3652" t="str">
        <f>A37</f>
        <v>成交单价</v>
      </c>
      <c r="Q37" s="3652"/>
      <c r="R37" s="3717">
        <f>E37</f>
        <v>0</v>
      </c>
      <c r="S37" s="3717"/>
      <c r="T37" s="3717">
        <f>G37</f>
        <v>0</v>
      </c>
      <c r="U37" s="3717"/>
      <c r="V37" s="3717">
        <f>I37</f>
        <v>0</v>
      </c>
      <c r="W37" s="3717"/>
      <c r="X37" s="690"/>
      <c r="Y37" s="712"/>
      <c r="Z37" s="690"/>
      <c r="AA37" s="690"/>
      <c r="AB37" s="690"/>
      <c r="AC37" s="690"/>
    </row>
    <row r="38" spans="1:29" ht="15.75" thickBot="1">
      <c r="A38" s="437" t="s">
        <v>1843</v>
      </c>
      <c r="B38" s="438" t="str">
        <f>B37</f>
        <v>元/平方米</v>
      </c>
      <c r="C38" s="1160" t="e">
        <f>R39</f>
        <v>#DIV/0!</v>
      </c>
      <c r="D38" s="2317" t="s">
        <v>2135</v>
      </c>
      <c r="E38" s="1161" t="e">
        <f>R38</f>
        <v>#DIV/0!</v>
      </c>
      <c r="F38" s="2318"/>
      <c r="G38" s="1160" t="e">
        <f>T38</f>
        <v>#DIV/0!</v>
      </c>
      <c r="H38" s="2318"/>
      <c r="I38" s="1161" t="e">
        <f>V38</f>
        <v>#DIV/0!</v>
      </c>
      <c r="J38" s="2318"/>
      <c r="K38" s="2320">
        <f>F38+H38+J38</f>
        <v>0</v>
      </c>
      <c r="L38" s="2720"/>
      <c r="M38" s="2721"/>
      <c r="N38" s="2721"/>
      <c r="O38" s="2721"/>
      <c r="P38" s="3652" t="str">
        <f>A38</f>
        <v>比较价值（元/平方米）</v>
      </c>
      <c r="Q38" s="3652"/>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0"/>
      <c r="M39" s="2721"/>
      <c r="N39" s="2721"/>
      <c r="O39" s="2721"/>
      <c r="P39" s="3649" t="str">
        <f>A39</f>
        <v>估价对象XX用房的比较价值（楼面单价，元/平方米）</v>
      </c>
      <c r="Q39" s="3650"/>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1848</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8" t="s">
        <v>1797</v>
      </c>
      <c r="D67" s="608" t="s">
        <v>1798</v>
      </c>
      <c r="E67" s="608" t="s">
        <v>1799</v>
      </c>
      <c r="F67" s="608" t="s">
        <v>1800</v>
      </c>
      <c r="G67" s="608" t="s">
        <v>1801</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1767</v>
      </c>
      <c r="B4" s="356"/>
      <c r="C4" s="3664" t="s">
        <v>1768</v>
      </c>
      <c r="D4" s="3665"/>
      <c r="E4" s="3666" t="s">
        <v>1769</v>
      </c>
      <c r="F4" s="3667"/>
      <c r="G4" s="3664" t="s">
        <v>1770</v>
      </c>
      <c r="H4" s="3665"/>
      <c r="I4" s="3664" t="s">
        <v>1771</v>
      </c>
      <c r="J4" s="3665"/>
      <c r="K4" s="559" t="s">
        <v>1772</v>
      </c>
      <c r="L4" s="2711"/>
      <c r="M4" s="2712"/>
      <c r="N4" s="2712"/>
      <c r="O4" s="2712"/>
      <c r="P4" s="3668" t="s">
        <v>1773</v>
      </c>
      <c r="Q4" s="3669"/>
      <c r="R4" s="3678" t="s">
        <v>1769</v>
      </c>
      <c r="S4" s="3679"/>
      <c r="T4" s="3678" t="s">
        <v>1770</v>
      </c>
      <c r="U4" s="3679"/>
      <c r="V4" s="3656" t="s">
        <v>1771</v>
      </c>
      <c r="W4" s="3656"/>
      <c r="X4" s="1355"/>
      <c r="Y4" s="3678" t="s">
        <v>1773</v>
      </c>
      <c r="Z4" s="3679"/>
      <c r="AA4" s="3661" t="s">
        <v>1769</v>
      </c>
      <c r="AB4" s="3662" t="s">
        <v>1770</v>
      </c>
      <c r="AC4" s="3661" t="s">
        <v>1771</v>
      </c>
    </row>
    <row r="5" spans="1:29" ht="15">
      <c r="A5" s="358"/>
      <c r="B5" s="359"/>
      <c r="C5" s="3682" t="s">
        <v>1671</v>
      </c>
      <c r="D5" s="3683"/>
      <c r="E5" s="3674" t="s">
        <v>1672</v>
      </c>
      <c r="F5" s="3675"/>
      <c r="G5" s="3682" t="s">
        <v>1673</v>
      </c>
      <c r="H5" s="3683"/>
      <c r="I5" s="3682" t="s">
        <v>1674</v>
      </c>
      <c r="J5" s="3683"/>
      <c r="K5" s="559"/>
      <c r="L5" s="2711"/>
      <c r="M5" s="2712"/>
      <c r="N5" s="2712"/>
      <c r="O5" s="2712"/>
      <c r="P5" s="3670"/>
      <c r="Q5" s="3671"/>
      <c r="R5" s="3680"/>
      <c r="S5" s="3681"/>
      <c r="T5" s="3680"/>
      <c r="U5" s="3681"/>
      <c r="V5" s="3656"/>
      <c r="W5" s="3656"/>
      <c r="X5" s="1355"/>
      <c r="Y5" s="3680"/>
      <c r="Z5" s="3681"/>
      <c r="AA5" s="3662"/>
      <c r="AB5" s="3662"/>
      <c r="AC5" s="3662"/>
    </row>
    <row r="6" spans="1:29" ht="15.75" thickBot="1">
      <c r="A6" s="360"/>
      <c r="B6" s="361"/>
      <c r="C6" s="3712" t="s">
        <v>1675</v>
      </c>
      <c r="D6" s="3713"/>
      <c r="E6" s="3714" t="s">
        <v>1675</v>
      </c>
      <c r="F6" s="3715"/>
      <c r="G6" s="3712" t="s">
        <v>1675</v>
      </c>
      <c r="H6" s="3713"/>
      <c r="I6" s="3712" t="s">
        <v>1675</v>
      </c>
      <c r="J6" s="3713"/>
      <c r="K6" s="559" t="s">
        <v>1676</v>
      </c>
      <c r="L6" s="2711"/>
      <c r="M6" s="2712"/>
      <c r="N6" s="2712"/>
      <c r="O6" s="2712"/>
      <c r="P6" s="3672"/>
      <c r="Q6" s="3673"/>
      <c r="R6" s="3680"/>
      <c r="S6" s="3681"/>
      <c r="T6" s="3689"/>
      <c r="U6" s="3690"/>
      <c r="V6" s="3656"/>
      <c r="W6" s="3656"/>
      <c r="X6" s="1355"/>
      <c r="Y6" s="3689"/>
      <c r="Z6" s="3690"/>
      <c r="AA6" s="3663"/>
      <c r="AB6" s="3663"/>
      <c r="AC6" s="3663"/>
    </row>
    <row r="7" spans="1:29" s="108" customFormat="1" ht="15.75" thickBot="1">
      <c r="A7" s="362" t="s">
        <v>1677</v>
      </c>
      <c r="B7" s="363"/>
      <c r="C7" s="364">
        <f>'数据-取费表'!B2</f>
        <v>45440</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54" t="s">
        <v>1678</v>
      </c>
      <c r="Q7" s="3686"/>
      <c r="R7" s="701" t="s">
        <v>14</v>
      </c>
      <c r="S7" s="702">
        <f t="shared" ref="S7:S14" si="0">F7</f>
        <v>0</v>
      </c>
      <c r="T7" s="701" t="s">
        <v>14</v>
      </c>
      <c r="U7" s="702">
        <f t="shared" ref="U7:U14" si="1">H7</f>
        <v>0</v>
      </c>
      <c r="V7" s="701" t="s">
        <v>14</v>
      </c>
      <c r="W7" s="702">
        <f t="shared" ref="W7:W14" si="2">J7</f>
        <v>0</v>
      </c>
      <c r="X7" s="703"/>
      <c r="Y7" s="3654" t="s">
        <v>1678</v>
      </c>
      <c r="Z7" s="365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54" t="s">
        <v>1681</v>
      </c>
      <c r="Q8" s="3655"/>
      <c r="R8" s="701" t="s">
        <v>14</v>
      </c>
      <c r="S8" s="702">
        <f t="shared" si="0"/>
        <v>100</v>
      </c>
      <c r="T8" s="701" t="s">
        <v>14</v>
      </c>
      <c r="U8" s="702">
        <f t="shared" si="1"/>
        <v>100</v>
      </c>
      <c r="V8" s="701" t="s">
        <v>14</v>
      </c>
      <c r="W8" s="702">
        <f t="shared" si="2"/>
        <v>100</v>
      </c>
      <c r="X8" s="703"/>
      <c r="Y8" s="3654" t="s">
        <v>1681</v>
      </c>
      <c r="Z8" s="365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52" t="s">
        <v>1684</v>
      </c>
      <c r="Q9" s="1343" t="str">
        <f t="shared" ref="Q9:Q14" si="6">B9</f>
        <v>用途</v>
      </c>
      <c r="R9" s="701" t="s">
        <v>14</v>
      </c>
      <c r="S9" s="702">
        <f t="shared" si="0"/>
        <v>100</v>
      </c>
      <c r="T9" s="701" t="s">
        <v>14</v>
      </c>
      <c r="U9" s="702">
        <f t="shared" si="1"/>
        <v>100</v>
      </c>
      <c r="V9" s="701" t="s">
        <v>14</v>
      </c>
      <c r="W9" s="702">
        <f t="shared" si="2"/>
        <v>100</v>
      </c>
      <c r="X9" s="703"/>
      <c r="Y9" s="3617" t="s">
        <v>1685</v>
      </c>
      <c r="Z9" s="52" t="str">
        <f t="shared" ref="Z9:Z14" si="7">Q9</f>
        <v>用途</v>
      </c>
      <c r="AA9" s="704">
        <f t="shared" si="3"/>
        <v>1</v>
      </c>
      <c r="AB9" s="704">
        <f t="shared" si="4"/>
        <v>1</v>
      </c>
      <c r="AC9" s="704">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52"/>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52"/>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52"/>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52"/>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57" t="s">
        <v>1689</v>
      </c>
      <c r="Q14" s="1352" t="str">
        <f t="shared" si="6"/>
        <v>交通便捷度</v>
      </c>
      <c r="R14" s="705" t="s">
        <v>14</v>
      </c>
      <c r="S14" s="706">
        <f t="shared" si="0"/>
        <v>100</v>
      </c>
      <c r="T14" s="705" t="s">
        <v>14</v>
      </c>
      <c r="U14" s="706">
        <f t="shared" si="1"/>
        <v>100</v>
      </c>
      <c r="V14" s="705" t="s">
        <v>14</v>
      </c>
      <c r="W14" s="706">
        <f t="shared" si="2"/>
        <v>100</v>
      </c>
      <c r="X14" s="1355"/>
      <c r="Y14" s="365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58"/>
      <c r="Q15" s="1352"/>
      <c r="R15" s="705"/>
      <c r="S15" s="706"/>
      <c r="T15" s="705"/>
      <c r="U15" s="706"/>
      <c r="V15" s="705"/>
      <c r="W15" s="706"/>
      <c r="X15" s="1355"/>
      <c r="Y15" s="3658"/>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58"/>
      <c r="Q16" s="1352" t="str">
        <f>B16</f>
        <v>公共配套设施</v>
      </c>
      <c r="R16" s="705" t="s">
        <v>14</v>
      </c>
      <c r="S16" s="706">
        <f>F16</f>
        <v>100</v>
      </c>
      <c r="T16" s="705" t="s">
        <v>14</v>
      </c>
      <c r="U16" s="706">
        <f>H16</f>
        <v>100</v>
      </c>
      <c r="V16" s="705" t="s">
        <v>14</v>
      </c>
      <c r="W16" s="706">
        <f>J16</f>
        <v>100</v>
      </c>
      <c r="X16" s="1355"/>
      <c r="Y16" s="36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58"/>
      <c r="Q17" s="1352"/>
      <c r="R17" s="705"/>
      <c r="S17" s="706"/>
      <c r="T17" s="705"/>
      <c r="U17" s="706"/>
      <c r="V17" s="705"/>
      <c r="W17" s="706"/>
      <c r="X17" s="1355"/>
      <c r="Y17" s="3658"/>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58"/>
      <c r="Q18" s="1352" t="str">
        <f>B18</f>
        <v>基础设施水平</v>
      </c>
      <c r="R18" s="705" t="s">
        <v>14</v>
      </c>
      <c r="S18" s="706">
        <f>F18</f>
        <v>100</v>
      </c>
      <c r="T18" s="705" t="s">
        <v>14</v>
      </c>
      <c r="U18" s="706">
        <f>H18</f>
        <v>100</v>
      </c>
      <c r="V18" s="705" t="s">
        <v>14</v>
      </c>
      <c r="W18" s="706">
        <f>J18</f>
        <v>100</v>
      </c>
      <c r="X18" s="1355"/>
      <c r="Y18" s="36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58"/>
      <c r="Q19" s="1352"/>
      <c r="R19" s="705"/>
      <c r="S19" s="706"/>
      <c r="T19" s="705"/>
      <c r="U19" s="706"/>
      <c r="V19" s="705"/>
      <c r="W19" s="706"/>
      <c r="X19" s="1355"/>
      <c r="Y19" s="3658"/>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58"/>
      <c r="Q20" s="1352" t="str">
        <f>B20</f>
        <v>自然及人文环境</v>
      </c>
      <c r="R20" s="705" t="s">
        <v>14</v>
      </c>
      <c r="S20" s="706">
        <f>F20</f>
        <v>100</v>
      </c>
      <c r="T20" s="705" t="s">
        <v>14</v>
      </c>
      <c r="U20" s="706">
        <f>H20</f>
        <v>100</v>
      </c>
      <c r="V20" s="705" t="s">
        <v>14</v>
      </c>
      <c r="W20" s="706">
        <f>J20</f>
        <v>100</v>
      </c>
      <c r="X20" s="1355"/>
      <c r="Y20" s="36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58"/>
      <c r="Q21" s="1352"/>
      <c r="R21" s="705"/>
      <c r="S21" s="706"/>
      <c r="T21" s="705"/>
      <c r="U21" s="706"/>
      <c r="V21" s="705"/>
      <c r="W21" s="706"/>
      <c r="X21" s="1355"/>
      <c r="Y21" s="365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58"/>
      <c r="Q22" s="1352" t="str">
        <f>B22</f>
        <v>楼层</v>
      </c>
      <c r="R22" s="705" t="s">
        <v>14</v>
      </c>
      <c r="S22" s="706">
        <f>F22</f>
        <v>100</v>
      </c>
      <c r="T22" s="705" t="s">
        <v>14</v>
      </c>
      <c r="U22" s="706">
        <f>H22</f>
        <v>100</v>
      </c>
      <c r="V22" s="705" t="s">
        <v>14</v>
      </c>
      <c r="W22" s="706">
        <f>J22</f>
        <v>100</v>
      </c>
      <c r="X22" s="1355"/>
      <c r="Y22" s="36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58"/>
      <c r="Q23" s="1352">
        <f>B23</f>
        <v>111</v>
      </c>
      <c r="R23" s="705" t="s">
        <v>14</v>
      </c>
      <c r="S23" s="706">
        <f>F23</f>
        <v>100</v>
      </c>
      <c r="T23" s="705" t="s">
        <v>14</v>
      </c>
      <c r="U23" s="706">
        <f>H23</f>
        <v>100</v>
      </c>
      <c r="V23" s="705" t="s">
        <v>14</v>
      </c>
      <c r="W23" s="706">
        <f>J23</f>
        <v>100</v>
      </c>
      <c r="X23" s="1355"/>
      <c r="Y23" s="36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58"/>
      <c r="Q24" s="1352">
        <f t="shared" ref="Q24:Q34" si="11">B24</f>
        <v>111</v>
      </c>
      <c r="R24" s="705" t="s">
        <v>14</v>
      </c>
      <c r="S24" s="706">
        <f>F24</f>
        <v>100</v>
      </c>
      <c r="T24" s="705" t="s">
        <v>14</v>
      </c>
      <c r="U24" s="706">
        <f>H24</f>
        <v>100</v>
      </c>
      <c r="V24" s="705" t="s">
        <v>14</v>
      </c>
      <c r="W24" s="706">
        <f>J24</f>
        <v>100</v>
      </c>
      <c r="X24" s="1355"/>
      <c r="Y24" s="365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58"/>
      <c r="Q25" s="1343">
        <f t="shared" si="11"/>
        <v>111</v>
      </c>
      <c r="R25" s="701" t="s">
        <v>14</v>
      </c>
      <c r="S25" s="702">
        <f>F25</f>
        <v>100</v>
      </c>
      <c r="T25" s="701" t="s">
        <v>14</v>
      </c>
      <c r="U25" s="702">
        <f>H25</f>
        <v>100</v>
      </c>
      <c r="V25" s="701" t="s">
        <v>14</v>
      </c>
      <c r="W25" s="702">
        <f>J25</f>
        <v>100</v>
      </c>
      <c r="X25" s="703"/>
      <c r="Y25" s="3658"/>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659"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0"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60"/>
      <c r="Q27" s="707" t="str">
        <f t="shared" si="11"/>
        <v>成新率</v>
      </c>
      <c r="R27" s="708" t="s">
        <v>14</v>
      </c>
      <c r="S27" s="709" t="e">
        <f t="shared" si="12"/>
        <v>#N/A</v>
      </c>
      <c r="T27" s="708" t="s">
        <v>14</v>
      </c>
      <c r="U27" s="709" t="e">
        <f t="shared" si="13"/>
        <v>#N/A</v>
      </c>
      <c r="V27" s="708" t="s">
        <v>14</v>
      </c>
      <c r="W27" s="709" t="e">
        <f t="shared" si="14"/>
        <v>#N/A</v>
      </c>
      <c r="X27" s="710"/>
      <c r="Y27" s="3660"/>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60"/>
      <c r="Q28" s="1352" t="str">
        <f t="shared" si="11"/>
        <v>物业等级</v>
      </c>
      <c r="R28" s="705" t="s">
        <v>14</v>
      </c>
      <c r="S28" s="706">
        <f t="shared" si="12"/>
        <v>100</v>
      </c>
      <c r="T28" s="705" t="s">
        <v>14</v>
      </c>
      <c r="U28" s="706">
        <f t="shared" si="13"/>
        <v>100</v>
      </c>
      <c r="V28" s="705" t="s">
        <v>14</v>
      </c>
      <c r="W28" s="706">
        <f t="shared" si="14"/>
        <v>100</v>
      </c>
      <c r="X28" s="1355"/>
      <c r="Y28" s="3660"/>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60"/>
      <c r="Q29" s="1352" t="str">
        <f t="shared" si="11"/>
        <v>有无电梯</v>
      </c>
      <c r="R29" s="705" t="s">
        <v>14</v>
      </c>
      <c r="S29" s="706">
        <f t="shared" si="12"/>
        <v>100</v>
      </c>
      <c r="T29" s="705" t="s">
        <v>14</v>
      </c>
      <c r="U29" s="706">
        <f t="shared" si="13"/>
        <v>100</v>
      </c>
      <c r="V29" s="705" t="s">
        <v>14</v>
      </c>
      <c r="W29" s="706">
        <f t="shared" si="14"/>
        <v>100</v>
      </c>
      <c r="X29" s="1355"/>
      <c r="Y29" s="3660"/>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60"/>
      <c r="Q30" s="1352" t="str">
        <f t="shared" si="11"/>
        <v>建筑面积</v>
      </c>
      <c r="R30" s="705" t="s">
        <v>14</v>
      </c>
      <c r="S30" s="706" t="e">
        <f t="shared" si="12"/>
        <v>#N/A</v>
      </c>
      <c r="T30" s="705" t="s">
        <v>14</v>
      </c>
      <c r="U30" s="706" t="e">
        <f t="shared" si="13"/>
        <v>#N/A</v>
      </c>
      <c r="V30" s="705" t="s">
        <v>14</v>
      </c>
      <c r="W30" s="706" t="e">
        <f t="shared" si="14"/>
        <v>#N/A</v>
      </c>
      <c r="X30" s="1355"/>
      <c r="Y30" s="3660"/>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60"/>
      <c r="Q31" s="1343" t="str">
        <f t="shared" si="11"/>
        <v>是否封闭</v>
      </c>
      <c r="R31" s="701" t="s">
        <v>14</v>
      </c>
      <c r="S31" s="702">
        <f t="shared" si="12"/>
        <v>100</v>
      </c>
      <c r="T31" s="701" t="s">
        <v>14</v>
      </c>
      <c r="U31" s="702">
        <f t="shared" si="13"/>
        <v>100</v>
      </c>
      <c r="V31" s="701" t="s">
        <v>14</v>
      </c>
      <c r="W31" s="702">
        <f t="shared" si="14"/>
        <v>100</v>
      </c>
      <c r="X31" s="703"/>
      <c r="Y31" s="366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60" t="s">
        <v>1694</v>
      </c>
      <c r="Q32" s="1352">
        <f t="shared" si="11"/>
        <v>111</v>
      </c>
      <c r="R32" s="705" t="s">
        <v>14</v>
      </c>
      <c r="S32" s="706">
        <f t="shared" si="12"/>
        <v>100</v>
      </c>
      <c r="T32" s="705" t="s">
        <v>14</v>
      </c>
      <c r="U32" s="706">
        <f t="shared" si="13"/>
        <v>100</v>
      </c>
      <c r="V32" s="705" t="s">
        <v>14</v>
      </c>
      <c r="W32" s="706">
        <f t="shared" si="14"/>
        <v>100</v>
      </c>
      <c r="X32" s="1355"/>
      <c r="Y32" s="3660"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60"/>
      <c r="Q33" s="1352">
        <f t="shared" si="11"/>
        <v>111</v>
      </c>
      <c r="R33" s="705" t="s">
        <v>14</v>
      </c>
      <c r="S33" s="706">
        <f t="shared" si="12"/>
        <v>100</v>
      </c>
      <c r="T33" s="705" t="s">
        <v>14</v>
      </c>
      <c r="U33" s="706">
        <f t="shared" si="13"/>
        <v>100</v>
      </c>
      <c r="V33" s="705" t="s">
        <v>14</v>
      </c>
      <c r="W33" s="706">
        <f t="shared" si="14"/>
        <v>100</v>
      </c>
      <c r="X33" s="1355"/>
      <c r="Y33" s="366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0"/>
      <c r="M35" s="2721"/>
      <c r="N35" s="2712"/>
      <c r="O35" s="2721"/>
      <c r="P35" s="3652" t="str">
        <f>A35</f>
        <v>成交单价（元/平方米）</v>
      </c>
      <c r="Q35" s="3652"/>
      <c r="R35" s="3717">
        <f>E35</f>
        <v>0</v>
      </c>
      <c r="S35" s="3717"/>
      <c r="T35" s="3717">
        <f>G35</f>
        <v>0</v>
      </c>
      <c r="U35" s="3717"/>
      <c r="V35" s="3717">
        <f>I35</f>
        <v>0</v>
      </c>
      <c r="W35" s="3717"/>
      <c r="X35" s="690"/>
      <c r="Y35" s="712"/>
      <c r="Z35" s="690"/>
      <c r="AA35" s="690"/>
      <c r="AB35" s="690"/>
      <c r="AC35" s="690"/>
    </row>
    <row r="36" spans="1:30" ht="15.75" thickBot="1">
      <c r="A36" s="437" t="s">
        <v>1791</v>
      </c>
      <c r="B36" s="438"/>
      <c r="C36" s="1160" t="e">
        <f>R37</f>
        <v>#DIV/0!</v>
      </c>
      <c r="D36" s="2317" t="s">
        <v>2135</v>
      </c>
      <c r="E36" s="1161" t="e">
        <f>R36</f>
        <v>#DIV/0!</v>
      </c>
      <c r="F36" s="2318"/>
      <c r="G36" s="1160" t="e">
        <f>T36</f>
        <v>#DIV/0!</v>
      </c>
      <c r="H36" s="2318"/>
      <c r="I36" s="1161" t="e">
        <f>V36</f>
        <v>#DIV/0!</v>
      </c>
      <c r="J36" s="2318"/>
      <c r="K36" s="2320">
        <f>F36+H36+J36</f>
        <v>0</v>
      </c>
      <c r="L36" s="2720"/>
      <c r="M36" s="2721"/>
      <c r="N36" s="2712"/>
      <c r="O36" s="2721"/>
      <c r="P36" s="3652" t="str">
        <f>A36</f>
        <v>比较价值（元/平方米）</v>
      </c>
      <c r="Q36" s="3652"/>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0"/>
      <c r="M37" s="2721"/>
      <c r="N37" s="2721"/>
      <c r="O37" s="2721"/>
      <c r="P37" s="3649" t="str">
        <f>A37</f>
        <v>估价对象XX用房的比较价值（楼面单价，元/平方米）</v>
      </c>
      <c r="Q37" s="3650"/>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1796</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8" t="s">
        <v>1797</v>
      </c>
      <c r="D65" s="608" t="s">
        <v>1798</v>
      </c>
      <c r="E65" s="608" t="s">
        <v>1799</v>
      </c>
      <c r="F65" s="608" t="s">
        <v>1800</v>
      </c>
      <c r="G65" s="608" t="s">
        <v>1801</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1767</v>
      </c>
      <c r="B4" s="356"/>
      <c r="C4" s="3664" t="s">
        <v>1768</v>
      </c>
      <c r="D4" s="3665"/>
      <c r="E4" s="3666" t="s">
        <v>1769</v>
      </c>
      <c r="F4" s="3667"/>
      <c r="G4" s="3664" t="s">
        <v>1770</v>
      </c>
      <c r="H4" s="3665"/>
      <c r="I4" s="3664" t="s">
        <v>1771</v>
      </c>
      <c r="J4" s="3665"/>
      <c r="K4" s="559" t="s">
        <v>1772</v>
      </c>
      <c r="L4" s="2711"/>
      <c r="M4" s="2712"/>
      <c r="N4" s="2712"/>
      <c r="O4" s="2712"/>
      <c r="P4" s="3668" t="s">
        <v>1773</v>
      </c>
      <c r="Q4" s="3669"/>
      <c r="R4" s="3678" t="s">
        <v>1769</v>
      </c>
      <c r="S4" s="3679"/>
      <c r="T4" s="3678" t="s">
        <v>1770</v>
      </c>
      <c r="U4" s="3679"/>
      <c r="V4" s="3656" t="s">
        <v>1771</v>
      </c>
      <c r="W4" s="3656"/>
      <c r="X4" s="1355"/>
      <c r="Y4" s="3678" t="s">
        <v>1773</v>
      </c>
      <c r="Z4" s="3679"/>
      <c r="AA4" s="3661" t="s">
        <v>1769</v>
      </c>
      <c r="AB4" s="3662" t="s">
        <v>1770</v>
      </c>
      <c r="AC4" s="3661" t="s">
        <v>1771</v>
      </c>
    </row>
    <row r="5" spans="1:30" ht="15">
      <c r="A5" s="358"/>
      <c r="B5" s="359"/>
      <c r="C5" s="3682" t="s">
        <v>1671</v>
      </c>
      <c r="D5" s="3683"/>
      <c r="E5" s="3674" t="s">
        <v>1672</v>
      </c>
      <c r="F5" s="3675"/>
      <c r="G5" s="3682" t="s">
        <v>1673</v>
      </c>
      <c r="H5" s="3683"/>
      <c r="I5" s="3682" t="s">
        <v>1674</v>
      </c>
      <c r="J5" s="3683"/>
      <c r="K5" s="559"/>
      <c r="L5" s="2711"/>
      <c r="M5" s="2712"/>
      <c r="N5" s="2712"/>
      <c r="O5" s="2712"/>
      <c r="P5" s="3670"/>
      <c r="Q5" s="3671"/>
      <c r="R5" s="3680"/>
      <c r="S5" s="3681"/>
      <c r="T5" s="3680"/>
      <c r="U5" s="3681"/>
      <c r="V5" s="3656"/>
      <c r="W5" s="3656"/>
      <c r="X5" s="1355"/>
      <c r="Y5" s="3680"/>
      <c r="Z5" s="3681"/>
      <c r="AA5" s="3662"/>
      <c r="AB5" s="3662"/>
      <c r="AC5" s="3662"/>
    </row>
    <row r="6" spans="1:30" ht="15.75" thickBot="1">
      <c r="A6" s="360"/>
      <c r="B6" s="361"/>
      <c r="C6" s="3712" t="s">
        <v>1675</v>
      </c>
      <c r="D6" s="3713"/>
      <c r="E6" s="3714" t="s">
        <v>1675</v>
      </c>
      <c r="F6" s="3715"/>
      <c r="G6" s="3712" t="s">
        <v>1675</v>
      </c>
      <c r="H6" s="3713"/>
      <c r="I6" s="3712" t="s">
        <v>1675</v>
      </c>
      <c r="J6" s="3713"/>
      <c r="K6" s="559" t="s">
        <v>1676</v>
      </c>
      <c r="L6" s="2711"/>
      <c r="M6" s="2712"/>
      <c r="N6" s="2712"/>
      <c r="O6" s="2712"/>
      <c r="P6" s="3672"/>
      <c r="Q6" s="3673"/>
      <c r="R6" s="3680"/>
      <c r="S6" s="3681"/>
      <c r="T6" s="3689"/>
      <c r="U6" s="3690"/>
      <c r="V6" s="3656"/>
      <c r="W6" s="3656"/>
      <c r="X6" s="1355"/>
      <c r="Y6" s="3689"/>
      <c r="Z6" s="3690"/>
      <c r="AA6" s="3663"/>
      <c r="AB6" s="3663"/>
      <c r="AC6" s="3663"/>
    </row>
    <row r="7" spans="1:30" s="108" customFormat="1" ht="15.75" thickBot="1">
      <c r="A7" s="362" t="s">
        <v>1677</v>
      </c>
      <c r="B7" s="363"/>
      <c r="C7" s="364">
        <f>'数据-取费表'!B2</f>
        <v>45440</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54" t="s">
        <v>1678</v>
      </c>
      <c r="Q7" s="3686"/>
      <c r="R7" s="701" t="s">
        <v>14</v>
      </c>
      <c r="S7" s="702">
        <f t="shared" ref="S7:S15" si="0">F7</f>
        <v>0</v>
      </c>
      <c r="T7" s="701" t="s">
        <v>14</v>
      </c>
      <c r="U7" s="702">
        <f t="shared" ref="U7:U15" si="1">H7</f>
        <v>0</v>
      </c>
      <c r="V7" s="701" t="s">
        <v>14</v>
      </c>
      <c r="W7" s="702">
        <f t="shared" ref="W7:W15" si="2">J7</f>
        <v>0</v>
      </c>
      <c r="X7" s="703"/>
      <c r="Y7" s="3654" t="s">
        <v>1678</v>
      </c>
      <c r="Z7" s="3655"/>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54" t="s">
        <v>1681</v>
      </c>
      <c r="Q8" s="3655"/>
      <c r="R8" s="701" t="s">
        <v>14</v>
      </c>
      <c r="S8" s="702">
        <f t="shared" si="0"/>
        <v>0</v>
      </c>
      <c r="T8" s="701" t="s">
        <v>14</v>
      </c>
      <c r="U8" s="702">
        <f t="shared" si="1"/>
        <v>0</v>
      </c>
      <c r="V8" s="701" t="s">
        <v>14</v>
      </c>
      <c r="W8" s="702">
        <f t="shared" si="2"/>
        <v>0</v>
      </c>
      <c r="X8" s="703"/>
      <c r="Y8" s="3654" t="s">
        <v>1681</v>
      </c>
      <c r="Z8" s="3655"/>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52" t="s">
        <v>1684</v>
      </c>
      <c r="Q9" s="1343" t="str">
        <f t="shared" ref="Q9:Q15" si="6">B9</f>
        <v>用途</v>
      </c>
      <c r="R9" s="701" t="s">
        <v>14</v>
      </c>
      <c r="S9" s="702">
        <f t="shared" si="0"/>
        <v>100</v>
      </c>
      <c r="T9" s="701" t="s">
        <v>14</v>
      </c>
      <c r="U9" s="702">
        <f t="shared" si="1"/>
        <v>100</v>
      </c>
      <c r="V9" s="701" t="s">
        <v>14</v>
      </c>
      <c r="W9" s="702">
        <f t="shared" si="2"/>
        <v>100</v>
      </c>
      <c r="X9" s="703"/>
      <c r="Y9" s="3617"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102</v>
      </c>
      <c r="G10" s="414"/>
      <c r="H10" s="127">
        <f>ROUND(100/'数据-取费表'!G16,0)</f>
        <v>102</v>
      </c>
      <c r="I10" s="414"/>
      <c r="J10" s="127">
        <f>ROUND(100/'数据-取费表'!G16,0)</f>
        <v>102</v>
      </c>
      <c r="K10" s="620"/>
      <c r="L10" s="2715"/>
      <c r="M10" s="2716"/>
      <c r="N10" s="2716"/>
      <c r="O10" s="2769"/>
      <c r="P10" s="3652"/>
      <c r="Q10" s="1343" t="str">
        <f t="shared" si="6"/>
        <v>土地使用年限（年）</v>
      </c>
      <c r="R10" s="701" t="s">
        <v>14</v>
      </c>
      <c r="S10" s="702">
        <f t="shared" si="0"/>
        <v>102</v>
      </c>
      <c r="T10" s="701" t="s">
        <v>14</v>
      </c>
      <c r="U10" s="702">
        <f t="shared" si="1"/>
        <v>102</v>
      </c>
      <c r="V10" s="701" t="s">
        <v>14</v>
      </c>
      <c r="W10" s="702">
        <f t="shared" si="2"/>
        <v>102</v>
      </c>
      <c r="X10" s="703"/>
      <c r="Y10" s="3617"/>
      <c r="Z10" s="52" t="str">
        <f t="shared" si="7"/>
        <v>土地使用年限（年）</v>
      </c>
      <c r="AA10" s="704">
        <f t="shared" si="3"/>
        <v>0.98039215686274506</v>
      </c>
      <c r="AB10" s="704">
        <f t="shared" si="4"/>
        <v>0.98039215686274506</v>
      </c>
      <c r="AC10" s="704">
        <f t="shared" si="5"/>
        <v>0.98039215686274506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52"/>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52"/>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52"/>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52"/>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57" t="s">
        <v>1689</v>
      </c>
      <c r="Q15" s="1352" t="str">
        <f t="shared" si="6"/>
        <v>居住社区成熟度</v>
      </c>
      <c r="R15" s="705" t="s">
        <v>14</v>
      </c>
      <c r="S15" s="706">
        <f t="shared" si="0"/>
        <v>100</v>
      </c>
      <c r="T15" s="705" t="s">
        <v>14</v>
      </c>
      <c r="U15" s="706">
        <f t="shared" si="1"/>
        <v>100</v>
      </c>
      <c r="V15" s="705" t="s">
        <v>14</v>
      </c>
      <c r="W15" s="706">
        <f t="shared" si="2"/>
        <v>100</v>
      </c>
      <c r="X15" s="1355"/>
      <c r="Y15" s="3657"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58"/>
      <c r="Q16" s="1352"/>
      <c r="R16" s="705"/>
      <c r="S16" s="706"/>
      <c r="T16" s="705"/>
      <c r="U16" s="706"/>
      <c r="V16" s="705"/>
      <c r="W16" s="706"/>
      <c r="X16" s="1355"/>
      <c r="Y16" s="3658"/>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58"/>
      <c r="Q17" s="1352" t="str">
        <f>B17</f>
        <v>商业繁华度</v>
      </c>
      <c r="R17" s="705" t="s">
        <v>14</v>
      </c>
      <c r="S17" s="706">
        <f>F17</f>
        <v>100</v>
      </c>
      <c r="T17" s="705" t="s">
        <v>14</v>
      </c>
      <c r="U17" s="706">
        <f>H17</f>
        <v>100</v>
      </c>
      <c r="V17" s="705" t="s">
        <v>14</v>
      </c>
      <c r="W17" s="706">
        <f>J17</f>
        <v>100</v>
      </c>
      <c r="X17" s="1355"/>
      <c r="Y17" s="36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58"/>
      <c r="Q18" s="1352"/>
      <c r="R18" s="705"/>
      <c r="S18" s="706"/>
      <c r="T18" s="705"/>
      <c r="U18" s="706"/>
      <c r="V18" s="705"/>
      <c r="W18" s="706"/>
      <c r="X18" s="1355"/>
      <c r="Y18" s="3658"/>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58"/>
      <c r="Q19" s="1352" t="str">
        <f>B19</f>
        <v>办公集聚程度</v>
      </c>
      <c r="R19" s="705" t="s">
        <v>14</v>
      </c>
      <c r="S19" s="706">
        <f>F19</f>
        <v>100</v>
      </c>
      <c r="T19" s="705" t="s">
        <v>14</v>
      </c>
      <c r="U19" s="706">
        <f>H19</f>
        <v>100</v>
      </c>
      <c r="V19" s="705" t="s">
        <v>14</v>
      </c>
      <c r="W19" s="706">
        <f>J19</f>
        <v>100</v>
      </c>
      <c r="X19" s="1355"/>
      <c r="Y19" s="36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58"/>
      <c r="Q20" s="1352"/>
      <c r="R20" s="705"/>
      <c r="S20" s="706"/>
      <c r="T20" s="705"/>
      <c r="U20" s="706"/>
      <c r="V20" s="705"/>
      <c r="W20" s="706"/>
      <c r="X20" s="1355"/>
      <c r="Y20" s="3658"/>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58"/>
      <c r="Q21" s="1352" t="str">
        <f>B21</f>
        <v>交通便捷度</v>
      </c>
      <c r="R21" s="705" t="s">
        <v>14</v>
      </c>
      <c r="S21" s="706">
        <f>F21</f>
        <v>100</v>
      </c>
      <c r="T21" s="705" t="s">
        <v>14</v>
      </c>
      <c r="U21" s="706">
        <f>H21</f>
        <v>100</v>
      </c>
      <c r="V21" s="705" t="s">
        <v>14</v>
      </c>
      <c r="W21" s="706">
        <f>J21</f>
        <v>100</v>
      </c>
      <c r="X21" s="1355"/>
      <c r="Y21" s="36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58"/>
      <c r="Q22" s="1352"/>
      <c r="R22" s="705"/>
      <c r="S22" s="706"/>
      <c r="T22" s="705"/>
      <c r="U22" s="706"/>
      <c r="V22" s="705"/>
      <c r="W22" s="706"/>
      <c r="X22" s="1355"/>
      <c r="Y22" s="3658"/>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58"/>
      <c r="Q23" s="1352" t="str">
        <f t="shared" ref="Q23:Q37" si="8">B23</f>
        <v>区域土地利用方向</v>
      </c>
      <c r="R23" s="705" t="s">
        <v>14</v>
      </c>
      <c r="S23" s="706">
        <f>F23</f>
        <v>100</v>
      </c>
      <c r="T23" s="705" t="s">
        <v>14</v>
      </c>
      <c r="U23" s="706">
        <f>H23</f>
        <v>100</v>
      </c>
      <c r="V23" s="705" t="s">
        <v>14</v>
      </c>
      <c r="W23" s="706">
        <f>J23</f>
        <v>100</v>
      </c>
      <c r="X23" s="1355"/>
      <c r="Y23" s="36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58"/>
      <c r="Q24" s="1352"/>
      <c r="R24" s="705"/>
      <c r="S24" s="706"/>
      <c r="T24" s="705"/>
      <c r="U24" s="706"/>
      <c r="V24" s="705"/>
      <c r="W24" s="706"/>
      <c r="X24" s="1355"/>
      <c r="Y24" s="3658"/>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58"/>
      <c r="Q25" s="1352" t="str">
        <f t="shared" si="8"/>
        <v>自然及人文环境状况</v>
      </c>
      <c r="R25" s="705" t="s">
        <v>14</v>
      </c>
      <c r="S25" s="706">
        <f>F25</f>
        <v>100</v>
      </c>
      <c r="T25" s="705" t="s">
        <v>14</v>
      </c>
      <c r="U25" s="706">
        <f>H25</f>
        <v>100</v>
      </c>
      <c r="V25" s="705" t="s">
        <v>14</v>
      </c>
      <c r="W25" s="706">
        <f>J25</f>
        <v>100</v>
      </c>
      <c r="X25" s="1355"/>
      <c r="Y25" s="36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58"/>
      <c r="Q26" s="1352"/>
      <c r="R26" s="705"/>
      <c r="S26" s="706"/>
      <c r="T26" s="705"/>
      <c r="U26" s="706"/>
      <c r="V26" s="705"/>
      <c r="W26" s="706"/>
      <c r="X26" s="1355"/>
      <c r="Y26" s="3658"/>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58"/>
      <c r="Q27" s="1343" t="str">
        <f t="shared" si="8"/>
        <v>公共配套设施</v>
      </c>
      <c r="R27" s="701" t="s">
        <v>14</v>
      </c>
      <c r="S27" s="702">
        <f>F27</f>
        <v>100</v>
      </c>
      <c r="T27" s="701" t="s">
        <v>14</v>
      </c>
      <c r="U27" s="702">
        <f>H27</f>
        <v>100</v>
      </c>
      <c r="V27" s="701" t="s">
        <v>14</v>
      </c>
      <c r="W27" s="702">
        <f>J27</f>
        <v>100</v>
      </c>
      <c r="X27" s="703"/>
      <c r="Y27" s="365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58"/>
      <c r="Q28" s="1343"/>
      <c r="R28" s="701"/>
      <c r="S28" s="702"/>
      <c r="T28" s="701"/>
      <c r="U28" s="702"/>
      <c r="V28" s="701"/>
      <c r="W28" s="702"/>
      <c r="X28" s="703"/>
      <c r="Y28" s="3658"/>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58"/>
      <c r="Q29" s="1343" t="str">
        <f t="shared" ref="Q29" si="9">B29</f>
        <v>基础设施水平</v>
      </c>
      <c r="R29" s="701" t="s">
        <v>14</v>
      </c>
      <c r="S29" s="702">
        <f>F29</f>
        <v>100</v>
      </c>
      <c r="T29" s="701" t="s">
        <v>14</v>
      </c>
      <c r="U29" s="702">
        <f>H29</f>
        <v>100</v>
      </c>
      <c r="V29" s="701" t="s">
        <v>14</v>
      </c>
      <c r="W29" s="702">
        <f>J29</f>
        <v>100</v>
      </c>
      <c r="X29" s="703"/>
      <c r="Y29" s="365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58"/>
      <c r="Q30" s="1343"/>
      <c r="R30" s="701"/>
      <c r="S30" s="702"/>
      <c r="T30" s="701"/>
      <c r="U30" s="702"/>
      <c r="V30" s="701"/>
      <c r="W30" s="702"/>
      <c r="X30" s="703"/>
      <c r="Y30" s="3658"/>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8"/>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58"/>
      <c r="Q32" s="1352" t="str">
        <f t="shared" si="8"/>
        <v>毗邻道路的类型与等级</v>
      </c>
      <c r="R32" s="705" t="s">
        <v>14</v>
      </c>
      <c r="S32" s="706">
        <f t="shared" si="10"/>
        <v>100</v>
      </c>
      <c r="T32" s="705" t="s">
        <v>14</v>
      </c>
      <c r="U32" s="706">
        <f t="shared" si="11"/>
        <v>100</v>
      </c>
      <c r="V32" s="705" t="s">
        <v>14</v>
      </c>
      <c r="W32" s="706">
        <f t="shared" si="12"/>
        <v>100</v>
      </c>
      <c r="X32" s="1355"/>
      <c r="Y32" s="36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58"/>
      <c r="Q33" s="1352"/>
      <c r="R33" s="705"/>
      <c r="S33" s="706"/>
      <c r="T33" s="705"/>
      <c r="U33" s="706"/>
      <c r="V33" s="705"/>
      <c r="W33" s="706"/>
      <c r="X33" s="1355"/>
      <c r="Y33" s="3658"/>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58"/>
      <c r="Q34" s="1352" t="str">
        <f t="shared" si="8"/>
        <v>土地级别</v>
      </c>
      <c r="R34" s="705" t="s">
        <v>14</v>
      </c>
      <c r="S34" s="706">
        <f t="shared" si="10"/>
        <v>100</v>
      </c>
      <c r="T34" s="705" t="s">
        <v>14</v>
      </c>
      <c r="U34" s="706">
        <f t="shared" si="11"/>
        <v>100</v>
      </c>
      <c r="V34" s="705" t="s">
        <v>14</v>
      </c>
      <c r="W34" s="706">
        <f t="shared" si="12"/>
        <v>100</v>
      </c>
      <c r="X34" s="1355"/>
      <c r="Y34" s="36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58"/>
      <c r="Q35" s="1352">
        <f t="shared" si="8"/>
        <v>111</v>
      </c>
      <c r="R35" s="705" t="s">
        <v>14</v>
      </c>
      <c r="S35" s="706">
        <f t="shared" si="10"/>
        <v>100</v>
      </c>
      <c r="T35" s="705" t="s">
        <v>14</v>
      </c>
      <c r="U35" s="706">
        <f t="shared" si="11"/>
        <v>100</v>
      </c>
      <c r="V35" s="705" t="s">
        <v>14</v>
      </c>
      <c r="W35" s="706">
        <f t="shared" si="12"/>
        <v>100</v>
      </c>
      <c r="X35" s="1355"/>
      <c r="Y35" s="36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59" t="s">
        <v>1694</v>
      </c>
      <c r="Q36" s="1352">
        <f t="shared" si="8"/>
        <v>111</v>
      </c>
      <c r="R36" s="705" t="s">
        <v>14</v>
      </c>
      <c r="S36" s="706">
        <f t="shared" si="10"/>
        <v>100</v>
      </c>
      <c r="T36" s="705" t="s">
        <v>14</v>
      </c>
      <c r="U36" s="706">
        <f t="shared" si="11"/>
        <v>100</v>
      </c>
      <c r="V36" s="705" t="s">
        <v>14</v>
      </c>
      <c r="W36" s="706">
        <f t="shared" si="12"/>
        <v>100</v>
      </c>
      <c r="X36" s="1355"/>
      <c r="Y36" s="3660"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60"/>
      <c r="Q37" s="1352">
        <f t="shared" si="8"/>
        <v>111</v>
      </c>
      <c r="R37" s="708" t="s">
        <v>14</v>
      </c>
      <c r="S37" s="709">
        <f t="shared" si="10"/>
        <v>100</v>
      </c>
      <c r="T37" s="708" t="s">
        <v>14</v>
      </c>
      <c r="U37" s="709">
        <f t="shared" si="11"/>
        <v>100</v>
      </c>
      <c r="V37" s="708" t="s">
        <v>14</v>
      </c>
      <c r="W37" s="709">
        <f t="shared" si="12"/>
        <v>100</v>
      </c>
      <c r="X37" s="710"/>
      <c r="Y37" s="3660"/>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60"/>
      <c r="Q38" s="1352" t="str">
        <f>B38</f>
        <v>宗地面积</v>
      </c>
      <c r="R38" s="705" t="s">
        <v>14</v>
      </c>
      <c r="S38" s="706" t="e">
        <f t="shared" si="10"/>
        <v>#N/A</v>
      </c>
      <c r="T38" s="705" t="s">
        <v>14</v>
      </c>
      <c r="U38" s="706" t="e">
        <f t="shared" si="11"/>
        <v>#N/A</v>
      </c>
      <c r="V38" s="705" t="s">
        <v>14</v>
      </c>
      <c r="W38" s="706" t="e">
        <f t="shared" si="12"/>
        <v>#N/A</v>
      </c>
      <c r="X38" s="1355"/>
      <c r="Y38" s="3660"/>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60"/>
      <c r="Q39" s="1352" t="str">
        <f t="shared" ref="Q39:Q45" si="14">B39</f>
        <v>宗地形状</v>
      </c>
      <c r="R39" s="705" t="s">
        <v>14</v>
      </c>
      <c r="S39" s="706">
        <f t="shared" si="10"/>
        <v>100</v>
      </c>
      <c r="T39" s="705" t="s">
        <v>14</v>
      </c>
      <c r="U39" s="706">
        <f t="shared" si="11"/>
        <v>100</v>
      </c>
      <c r="V39" s="705" t="s">
        <v>14</v>
      </c>
      <c r="W39" s="706">
        <f t="shared" si="12"/>
        <v>100</v>
      </c>
      <c r="X39" s="1355"/>
      <c r="Y39" s="3660"/>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60"/>
      <c r="Q40" s="1352" t="str">
        <f t="shared" si="14"/>
        <v>临街宽度及深度</v>
      </c>
      <c r="R40" s="705" t="s">
        <v>14</v>
      </c>
      <c r="S40" s="706">
        <f t="shared" si="10"/>
        <v>100</v>
      </c>
      <c r="T40" s="705" t="s">
        <v>14</v>
      </c>
      <c r="U40" s="706">
        <f t="shared" si="11"/>
        <v>100</v>
      </c>
      <c r="V40" s="705" t="s">
        <v>14</v>
      </c>
      <c r="W40" s="706">
        <f t="shared" si="12"/>
        <v>100</v>
      </c>
      <c r="X40" s="1355"/>
      <c r="Y40" s="3660"/>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60"/>
      <c r="Q41" s="1352" t="str">
        <f t="shared" si="14"/>
        <v>宗地开发程度</v>
      </c>
      <c r="R41" s="701" t="s">
        <v>14</v>
      </c>
      <c r="S41" s="702">
        <f t="shared" si="10"/>
        <v>100</v>
      </c>
      <c r="T41" s="701" t="s">
        <v>14</v>
      </c>
      <c r="U41" s="702">
        <f t="shared" si="11"/>
        <v>100</v>
      </c>
      <c r="V41" s="701" t="s">
        <v>14</v>
      </c>
      <c r="W41" s="702">
        <f t="shared" si="12"/>
        <v>100</v>
      </c>
      <c r="X41" s="703"/>
      <c r="Y41" s="3660"/>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60" t="s">
        <v>1694</v>
      </c>
      <c r="Q42" s="1352" t="str">
        <f t="shared" si="14"/>
        <v>工程地质条件</v>
      </c>
      <c r="R42" s="705" t="s">
        <v>14</v>
      </c>
      <c r="S42" s="706">
        <f t="shared" si="10"/>
        <v>100</v>
      </c>
      <c r="T42" s="705" t="s">
        <v>14</v>
      </c>
      <c r="U42" s="706">
        <f t="shared" si="11"/>
        <v>100</v>
      </c>
      <c r="V42" s="705" t="s">
        <v>14</v>
      </c>
      <c r="W42" s="706">
        <f t="shared" si="12"/>
        <v>100</v>
      </c>
      <c r="X42" s="1355"/>
      <c r="Y42" s="3660"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60"/>
      <c r="Q43" s="1352">
        <f t="shared" si="14"/>
        <v>111</v>
      </c>
      <c r="R43" s="705" t="s">
        <v>14</v>
      </c>
      <c r="S43" s="706">
        <f t="shared" si="10"/>
        <v>100</v>
      </c>
      <c r="T43" s="705" t="s">
        <v>14</v>
      </c>
      <c r="U43" s="706">
        <f t="shared" si="11"/>
        <v>100</v>
      </c>
      <c r="V43" s="705" t="s">
        <v>14</v>
      </c>
      <c r="W43" s="706">
        <f t="shared" si="12"/>
        <v>100</v>
      </c>
      <c r="X43" s="1355"/>
      <c r="Y43" s="36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60"/>
      <c r="Q44" s="1352">
        <f t="shared" si="14"/>
        <v>111</v>
      </c>
      <c r="R44" s="705" t="s">
        <v>14</v>
      </c>
      <c r="S44" s="706">
        <f t="shared" si="10"/>
        <v>100</v>
      </c>
      <c r="T44" s="705" t="s">
        <v>14</v>
      </c>
      <c r="U44" s="706">
        <f t="shared" si="11"/>
        <v>100</v>
      </c>
      <c r="V44" s="705" t="s">
        <v>14</v>
      </c>
      <c r="W44" s="706">
        <f t="shared" si="12"/>
        <v>100</v>
      </c>
      <c r="X44" s="1355"/>
      <c r="Y44" s="366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60"/>
      <c r="Q45" s="1352">
        <f t="shared" si="14"/>
        <v>111</v>
      </c>
      <c r="R45" s="708" t="s">
        <v>14</v>
      </c>
      <c r="S45" s="709">
        <f t="shared" si="10"/>
        <v>100</v>
      </c>
      <c r="T45" s="708" t="s">
        <v>14</v>
      </c>
      <c r="U45" s="709">
        <f t="shared" si="11"/>
        <v>100</v>
      </c>
      <c r="V45" s="708" t="s">
        <v>14</v>
      </c>
      <c r="W45" s="709">
        <f t="shared" si="12"/>
        <v>100</v>
      </c>
      <c r="X45" s="710"/>
      <c r="Y45" s="3660"/>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0"/>
      <c r="M46" s="2721"/>
      <c r="N46" s="2712"/>
      <c r="O46" s="2721"/>
      <c r="P46" s="3652" t="str">
        <f>A46</f>
        <v>成交单价</v>
      </c>
      <c r="Q46" s="3652"/>
      <c r="R46" s="3656">
        <f>E46</f>
        <v>0</v>
      </c>
      <c r="S46" s="3656"/>
      <c r="T46" s="3656">
        <f>G46</f>
        <v>0</v>
      </c>
      <c r="U46" s="3656"/>
      <c r="V46" s="3656">
        <f>I46</f>
        <v>0</v>
      </c>
      <c r="W46" s="3656"/>
      <c r="X46" s="690"/>
      <c r="Y46" s="712"/>
      <c r="Z46" s="690"/>
      <c r="AA46" s="690"/>
      <c r="AB46" s="690"/>
      <c r="AC46" s="690"/>
    </row>
    <row r="47" spans="1:29" ht="15.75" thickBot="1">
      <c r="A47" s="437" t="s">
        <v>1791</v>
      </c>
      <c r="B47" s="631"/>
      <c r="C47" s="440" t="e">
        <f>R48</f>
        <v>#DIV/0!</v>
      </c>
      <c r="D47" s="2317" t="s">
        <v>2135</v>
      </c>
      <c r="E47" s="440" t="e">
        <f>R47</f>
        <v>#DIV/0!</v>
      </c>
      <c r="F47" s="2318"/>
      <c r="G47" s="439" t="e">
        <f>T47</f>
        <v>#DIV/0!</v>
      </c>
      <c r="H47" s="2318"/>
      <c r="I47" s="440" t="e">
        <f>V47</f>
        <v>#DIV/0!</v>
      </c>
      <c r="J47" s="2318"/>
      <c r="K47" s="2320">
        <f>F47+H47+J47</f>
        <v>0</v>
      </c>
      <c r="L47" s="2720"/>
      <c r="M47" s="2721"/>
      <c r="N47" s="2721"/>
      <c r="O47" s="2721"/>
      <c r="P47" s="3652" t="str">
        <f>A47</f>
        <v>比较价值（元/平方米）</v>
      </c>
      <c r="Q47" s="3652"/>
      <c r="R47" s="3653" t="e">
        <f>ROUND(PRODUCT(R46,AA7:AA45),0)</f>
        <v>#DIV/0!</v>
      </c>
      <c r="S47" s="3653"/>
      <c r="T47" s="3653" t="e">
        <f>ROUND(PRODUCT(T46,AB7:AB45),0)</f>
        <v>#DIV/0!</v>
      </c>
      <c r="U47" s="3653"/>
      <c r="V47" s="3653" t="e">
        <f>ROUND(PRODUCT(V46,AC7:AC45),0)</f>
        <v>#DIV/0!</v>
      </c>
      <c r="W47" s="3653"/>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0"/>
      <c r="M48" s="2721"/>
      <c r="N48" s="2721"/>
      <c r="O48" s="2721"/>
      <c r="P48" s="3649" t="str">
        <f>A48</f>
        <v>估价对象XX用房的比较价值（楼面单价，元/平方米）</v>
      </c>
      <c r="Q48" s="3650"/>
      <c r="R48" s="3651" t="e">
        <f>ROUND(IF(D47="简单平均",AVERAGE(R47:W47),R47*F47+T47*H47+V47*J47),0)</f>
        <v>#DIV/0!</v>
      </c>
      <c r="S48" s="3651"/>
      <c r="T48" s="3651"/>
      <c r="U48" s="3651"/>
      <c r="V48" s="3651"/>
      <c r="W48" s="3651"/>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1879</v>
      </c>
      <c r="B55" s="633" t="s">
        <v>1880</v>
      </c>
      <c r="C55" s="1983" t="s">
        <v>1881</v>
      </c>
      <c r="D55" s="1984" t="s">
        <v>1882</v>
      </c>
      <c r="E55" s="634" t="s">
        <v>1883</v>
      </c>
      <c r="F55" s="890" t="s">
        <v>1884</v>
      </c>
      <c r="G55" s="3664" t="s">
        <v>1885</v>
      </c>
      <c r="H55" s="3676"/>
      <c r="I55" s="135" t="s">
        <v>1886</v>
      </c>
      <c r="J55" s="1985" t="str">
        <f>项目基本情况!F35</f>
        <v>天津市</v>
      </c>
      <c r="K55" s="1986" t="s">
        <v>1887</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1888</v>
      </c>
      <c r="B56" s="637" t="e">
        <f>C48</f>
        <v>#DIV/0!</v>
      </c>
      <c r="C56" s="638">
        <v>1</v>
      </c>
      <c r="D56" s="944">
        <v>1</v>
      </c>
      <c r="E56" s="638">
        <f>'数据-汇总表'!E8+'数据-汇总表'!E9</f>
        <v>2069.34</v>
      </c>
      <c r="F56" s="886" t="e">
        <f t="shared" ref="F56:F64" si="15">ROUND(B56*E56/10000,0)</f>
        <v>#DIV/0!</v>
      </c>
      <c r="G56" s="3677"/>
      <c r="H56" s="3652"/>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1889</v>
      </c>
      <c r="B57" s="218" t="e">
        <f>ROUND($C$48*C57*D57,0)</f>
        <v>#DIV/0!</v>
      </c>
      <c r="C57" s="171">
        <f t="shared" ref="C57:C64" si="16">IF($C$55="北京市系数",I57,J57)</f>
        <v>0</v>
      </c>
      <c r="D57" s="945">
        <v>0.25</v>
      </c>
      <c r="E57" s="642"/>
      <c r="F57" s="886" t="e">
        <f t="shared" si="15"/>
        <v>#DIV/0!</v>
      </c>
      <c r="G57" s="3002" t="s">
        <v>1890</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1891</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1892</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1901</v>
      </c>
      <c r="B65" s="644" t="s">
        <v>22</v>
      </c>
      <c r="C65" s="644" t="s">
        <v>23</v>
      </c>
      <c r="D65" s="644" t="s">
        <v>392</v>
      </c>
      <c r="E65" s="644">
        <f>IF(B46="楼面地价",SUM(E56:E64),'数据-汇总表'!D3)</f>
        <v>2069.34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1796</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43" t="s">
        <v>2081</v>
      </c>
      <c r="D1" s="3744"/>
      <c r="E1" s="3744"/>
      <c r="F1" s="3744"/>
      <c r="G1" s="3744"/>
      <c r="H1" s="3744"/>
      <c r="I1" s="3744"/>
      <c r="J1" s="3744"/>
      <c r="K1" s="3744"/>
      <c r="L1" s="3744"/>
      <c r="M1" s="3744"/>
      <c r="N1" s="3744"/>
      <c r="O1" s="3744"/>
      <c r="P1" s="3744"/>
      <c r="Q1" s="3744"/>
      <c r="R1" s="3744"/>
      <c r="S1" s="3745"/>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89"/>
      <c r="G1" s="2789"/>
      <c r="H1" s="2789"/>
      <c r="I1" s="2789"/>
      <c r="J1" s="2789"/>
      <c r="K1" s="2789"/>
      <c r="L1" s="2789"/>
      <c r="M1" s="2789"/>
      <c r="N1" s="2789"/>
      <c r="O1" s="2789"/>
      <c r="P1" s="2789"/>
    </row>
    <row r="2" spans="1:16" ht="15.75">
      <c r="A2" s="2145" t="s">
        <v>2070</v>
      </c>
      <c r="B2" s="2598" t="e">
        <f ca="1">SUMIF(B6:B13,"&lt;&gt;#ref!",B6:B13)</f>
        <v>#DIV/0!</v>
      </c>
      <c r="C2" s="2145" t="s">
        <v>2071</v>
      </c>
      <c r="D2" s="2145" t="s">
        <v>2072</v>
      </c>
      <c r="E2" s="2608">
        <f ca="1">SUMIF(E6:E13,"&lt;&gt;#ref!",E6:E13)</f>
        <v>0</v>
      </c>
      <c r="F2" s="2789"/>
      <c r="G2" s="2789"/>
      <c r="H2" s="2789"/>
      <c r="I2" s="2789"/>
      <c r="J2" s="2789"/>
      <c r="K2" s="2789"/>
      <c r="L2" s="2789"/>
      <c r="M2" s="2789"/>
      <c r="N2" s="2789"/>
      <c r="O2" s="2789"/>
      <c r="P2" s="2789"/>
    </row>
    <row r="3" spans="1:16" ht="15.75">
      <c r="A3" s="2145" t="s">
        <v>2073</v>
      </c>
      <c r="B3" s="2598" t="e">
        <f ca="1">ROUND(B2*10000/E2,0)</f>
        <v>#DIV/0!</v>
      </c>
      <c r="C3" s="2145" t="s">
        <v>2079</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2074</v>
      </c>
      <c r="B5" s="2606" t="s">
        <v>2075</v>
      </c>
      <c r="C5" s="2146"/>
      <c r="D5" s="2789"/>
      <c r="E5" s="2607" t="s">
        <v>2076</v>
      </c>
      <c r="F5" s="2789"/>
      <c r="G5" s="2789"/>
      <c r="H5" s="2789"/>
      <c r="I5" s="2789"/>
      <c r="J5" s="2789"/>
      <c r="K5" s="2789"/>
      <c r="L5" s="2789"/>
      <c r="M5" s="2789"/>
      <c r="N5" s="2789"/>
      <c r="O5" s="2789"/>
      <c r="P5" s="2789"/>
    </row>
    <row r="6" spans="1:16" ht="15.75">
      <c r="A6" s="2605" t="s">
        <v>2077</v>
      </c>
      <c r="B6" s="2598" t="e">
        <f ca="1">SUMIF(INDIRECT("'"&amp;A6&amp;"'"&amp;"!A:A"),"总价",INDIRECT("'"&amp;A6&amp;"'"&amp;"!B:B"))</f>
        <v>#DIV/0!</v>
      </c>
      <c r="C6" s="2145" t="s">
        <v>2071</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2071</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2071</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2071</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2071</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2071</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2071</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2071</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18"/>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16"/>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3233</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5"/>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50" t="s">
        <v>1957</v>
      </c>
      <c r="X8" s="3751"/>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5"/>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52"/>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5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3234</v>
      </c>
      <c r="B12" s="3301" t="s">
        <v>3235</v>
      </c>
      <c r="C12" s="3302"/>
      <c r="D12" s="3303" t="s">
        <v>3236</v>
      </c>
      <c r="E12" s="3304" t="s">
        <v>3237</v>
      </c>
      <c r="F12" s="3305"/>
      <c r="G12" s="3306"/>
      <c r="H12" s="3306"/>
      <c r="I12" s="3306"/>
      <c r="J12" s="3307"/>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3238</v>
      </c>
      <c r="B13" s="2034" t="s">
        <v>1979</v>
      </c>
      <c r="C13" s="755">
        <f>ROUND(C16*D16*E16*F16*G16*H16*I16*J16,4)</f>
        <v>0</v>
      </c>
      <c r="D13" s="2035" t="s">
        <v>1980</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1982</v>
      </c>
      <c r="C14" s="2041" t="s">
        <v>1983</v>
      </c>
      <c r="D14" s="1350" t="s">
        <v>1984</v>
      </c>
      <c r="E14" s="27" t="s">
        <v>1985</v>
      </c>
      <c r="F14" s="3308" t="s">
        <v>3239</v>
      </c>
      <c r="G14" s="3308" t="s">
        <v>3239</v>
      </c>
      <c r="H14" s="3308" t="s">
        <v>3239</v>
      </c>
      <c r="I14" s="3308" t="s">
        <v>3239</v>
      </c>
      <c r="J14" s="3308" t="s">
        <v>3239</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3240</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1986</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t="e">
        <f>ROUND(G18/I18,2)</f>
        <v>#DIV/0!</v>
      </c>
      <c r="F17" s="3318" t="s">
        <v>3246</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3244</v>
      </c>
      <c r="E18" s="3325"/>
      <c r="F18" s="3320" t="s">
        <v>3247</v>
      </c>
      <c r="G18" s="3324">
        <f>ROUND(1-(1/(POWER(1+G24,E18))),4)</f>
        <v>0</v>
      </c>
      <c r="H18" s="3320" t="s">
        <v>3249</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3245</v>
      </c>
      <c r="E19" s="3334"/>
      <c r="F19" s="3335" t="s">
        <v>3248</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57" t="s">
        <v>3250</v>
      </c>
      <c r="B20" s="167" t="s">
        <v>1991</v>
      </c>
      <c r="C20" s="3321" t="e">
        <f>ROUND(IF(F21="与级别开发程度一致",0,(G21-E21)/C21),0)</f>
        <v>#DIV/0!</v>
      </c>
      <c r="D20" s="3337" t="s">
        <v>1995</v>
      </c>
      <c r="E20" s="3338"/>
      <c r="F20" s="3763" t="s">
        <v>1992</v>
      </c>
      <c r="G20" s="3764"/>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58"/>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1997</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1999</v>
      </c>
      <c r="E23" s="761">
        <v>44197</v>
      </c>
      <c r="F23" s="2054" t="s">
        <v>2000</v>
      </c>
      <c r="G23" s="762">
        <f>'数据-取费表'!B2</f>
        <v>45440</v>
      </c>
      <c r="H23" s="3339" t="s">
        <v>3252</v>
      </c>
      <c r="I23" s="3340" t="str">
        <f>IF(H23="季度增幅（自定义）",SUMIF(N25:N28,E2,O25:O28),"")</f>
        <v/>
      </c>
      <c r="J23" s="3442" t="s">
        <v>3251</v>
      </c>
      <c r="K23" s="1125"/>
      <c r="L23" s="2055" t="s">
        <v>2001</v>
      </c>
      <c r="M23" s="1328">
        <f>ROUND(SUMIF(地价!B2:G2,E2,地价!B16:G16),0)</f>
        <v>0</v>
      </c>
      <c r="N23" s="2056" t="s">
        <v>2002</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存贷款利率!E24/100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3331</v>
      </c>
      <c r="C25" s="771">
        <f>IF(B25="容积率修正",IF(G3&lt;10,D26,J26),C27)</f>
        <v>0</v>
      </c>
      <c r="D25" s="2067"/>
      <c r="E25" s="2067"/>
      <c r="F25" s="2067"/>
      <c r="G25" s="2067"/>
      <c r="H25" s="2067"/>
      <c r="I25" s="2067"/>
      <c r="J25" s="2068"/>
      <c r="K25" s="1125"/>
      <c r="L25" s="2784"/>
      <c r="M25" s="2784"/>
      <c r="N25" s="2069" t="s">
        <v>2010</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1"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3254</v>
      </c>
      <c r="J26" s="772" t="str">
        <f>IF(G3&gt;=10,D115,"——")</f>
        <v>——</v>
      </c>
      <c r="K26" s="1125"/>
      <c r="L26" s="2784"/>
      <c r="M26" s="2784"/>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4"/>
      <c r="M28" s="2784"/>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1" t="s">
        <v>2020</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47" t="s">
        <v>1933</v>
      </c>
      <c r="M30" s="3348" t="s">
        <v>1987</v>
      </c>
      <c r="N30" s="3348" t="s">
        <v>1988</v>
      </c>
      <c r="O30" s="3348" t="s">
        <v>1989</v>
      </c>
      <c r="P30" s="3348" t="s">
        <v>1990</v>
      </c>
      <c r="Q30" s="3351"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49" t="s">
        <v>1993</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0" t="s">
        <v>1996</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2" t="s">
        <v>3256</v>
      </c>
      <c r="G33" s="2099"/>
      <c r="H33" s="2099"/>
      <c r="I33" s="2099"/>
      <c r="J33" s="2100"/>
      <c r="K33" s="1119"/>
      <c r="L33" s="3345" t="s">
        <v>3259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5" t="s">
        <v>3260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3" t="s">
        <v>3257</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3" t="s">
        <v>3261</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3262</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62"/>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3263</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3265</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3265</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1719</v>
      </c>
      <c r="K82" s="552" t="s">
        <v>1720</v>
      </c>
      <c r="L82" s="552" t="s">
        <v>1721</v>
      </c>
      <c r="M82" s="552" t="s">
        <v>1722</v>
      </c>
      <c r="N82" s="552" t="s">
        <v>1723</v>
      </c>
      <c r="Z82" s="1998"/>
      <c r="AA82" s="2053"/>
      <c r="AG82" s="1121"/>
      <c r="AK82" s="2053"/>
    </row>
    <row r="83" spans="1:37" ht="24">
      <c r="A83" s="2130" t="s">
        <v>2067</v>
      </c>
      <c r="B83" s="2134" t="str">
        <f>估价对象房地状况!G15</f>
        <v>较好</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2050</v>
      </c>
      <c r="B84" s="2134" t="str">
        <f>估价对象房地状况!G16</f>
        <v>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3266</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4">
      <c r="A87" s="2130" t="s">
        <v>2056</v>
      </c>
      <c r="B87" s="1326" t="str">
        <f>估价对象房地状况!G19</f>
        <v>一般</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4">
      <c r="A88" s="2130" t="s">
        <v>2057</v>
      </c>
      <c r="B88" s="1326" t="str">
        <f>估价对象房地状况!G20</f>
        <v>七通</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15" thickBot="1">
      <c r="A90" s="2138" t="s">
        <v>2069</v>
      </c>
      <c r="B90" s="2143" t="str">
        <f>估价对象房地状况!G18</f>
        <v>较好</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2608</v>
      </c>
      <c r="B91" s="3374">
        <f>1+E93</f>
        <v>1</v>
      </c>
      <c r="C91" s="3367"/>
      <c r="D91" s="3368"/>
      <c r="E91" s="1814"/>
      <c r="F91" s="1814"/>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3269</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3265</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3270</v>
      </c>
      <c r="B96" s="3381" t="s">
        <v>3281</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3271</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3272</v>
      </c>
      <c r="B98" s="3382" t="s">
        <v>3282</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3273</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3274</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3275</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9" t="s">
        <v>3290</v>
      </c>
      <c r="B103" s="3759"/>
      <c r="C103" s="3759"/>
      <c r="D103" s="3759"/>
      <c r="E103" s="3759"/>
      <c r="F103" s="3759"/>
      <c r="G103" s="3759"/>
      <c r="H103" s="3759"/>
      <c r="I103" s="3759"/>
      <c r="J103" s="3759"/>
      <c r="K103" s="3386"/>
      <c r="L103" s="3386"/>
      <c r="M103" s="3386"/>
      <c r="N103" s="3386"/>
    </row>
    <row r="104" spans="1:14">
      <c r="A104" s="3760" t="s">
        <v>3291</v>
      </c>
      <c r="B104" s="3760" t="s">
        <v>3292</v>
      </c>
      <c r="C104" s="3387" t="s">
        <v>3293</v>
      </c>
      <c r="D104" s="3388"/>
      <c r="E104" s="3388"/>
      <c r="F104" s="3388"/>
      <c r="G104" s="3388"/>
      <c r="H104" s="3388"/>
      <c r="I104" s="3388"/>
      <c r="J104" s="3389"/>
      <c r="K104" s="3390"/>
      <c r="L104" s="3390"/>
      <c r="M104" s="3390"/>
      <c r="N104" s="3390"/>
    </row>
    <row r="105" spans="1:14">
      <c r="A105" s="3760"/>
      <c r="B105" s="3760"/>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46"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7"/>
      <c r="B111" s="3391" t="s">
        <v>3264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9" t="s">
        <v>3307</v>
      </c>
      <c r="B113" s="3749"/>
      <c r="C113" s="3749"/>
      <c r="D113" s="3749"/>
      <c r="E113" s="3749"/>
      <c r="F113" s="3749"/>
      <c r="G113" s="3749"/>
      <c r="H113" s="3749"/>
      <c r="I113" s="3749"/>
      <c r="J113" s="374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0</v>
      </c>
      <c r="C116" s="3396" t="s">
        <v>3309</v>
      </c>
      <c r="D116" s="3397">
        <f>SUMPRODUCT((A118:A122=F116)*(B117:M117=H116)*B118:M122)</f>
        <v>0</v>
      </c>
      <c r="E116" s="2000" t="s">
        <v>3310</v>
      </c>
      <c r="F116" s="3398">
        <f>E2</f>
        <v>0</v>
      </c>
      <c r="G116" s="2000" t="s">
        <v>3311</v>
      </c>
      <c r="H116" s="3398">
        <f>G2</f>
        <v>0</v>
      </c>
      <c r="I116" s="2000"/>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2608</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772" t="s">
        <v>2603</v>
      </c>
      <c r="B20" s="3765" t="s">
        <v>2624</v>
      </c>
      <c r="C20" s="3099" t="s">
        <v>2435</v>
      </c>
      <c r="D20" s="3100"/>
      <c r="E20" s="3101">
        <v>1</v>
      </c>
      <c r="F20" s="3102" t="s">
        <v>2436</v>
      </c>
      <c r="G20" s="3102"/>
    </row>
    <row r="21" spans="1:13" ht="19.5" customHeight="1">
      <c r="A21" s="3773"/>
      <c r="B21" s="3766"/>
      <c r="C21" s="3103" t="s">
        <v>2437</v>
      </c>
      <c r="D21" s="3104"/>
      <c r="E21" s="3105">
        <v>1</v>
      </c>
      <c r="F21" s="3102" t="s">
        <v>2438</v>
      </c>
      <c r="G21" s="3102"/>
    </row>
    <row r="22" spans="1:13" ht="19.5" customHeight="1">
      <c r="A22" s="3773"/>
      <c r="B22" s="3766"/>
      <c r="C22" s="3103" t="s">
        <v>2439</v>
      </c>
      <c r="D22" s="3104"/>
      <c r="E22" s="3105">
        <v>0.9</v>
      </c>
      <c r="F22" s="3102" t="s">
        <v>2440</v>
      </c>
      <c r="G22" s="3102"/>
    </row>
    <row r="23" spans="1:13" ht="19.5" customHeight="1">
      <c r="A23" s="3773"/>
      <c r="B23" s="3766"/>
      <c r="C23" s="3103" t="s">
        <v>2441</v>
      </c>
      <c r="D23" s="3104"/>
      <c r="E23" s="3105">
        <v>0.9</v>
      </c>
      <c r="F23" s="3102" t="s">
        <v>2442</v>
      </c>
      <c r="G23" s="3102"/>
    </row>
    <row r="24" spans="1:13" ht="19.5" customHeight="1">
      <c r="A24" s="3773"/>
      <c r="B24" s="3766"/>
      <c r="C24" s="3103" t="s">
        <v>2443</v>
      </c>
      <c r="D24" s="3104"/>
      <c r="E24" s="3105">
        <v>0.8</v>
      </c>
      <c r="F24" s="3102" t="s">
        <v>2444</v>
      </c>
      <c r="G24" s="3102"/>
    </row>
    <row r="25" spans="1:13" ht="19.5" customHeight="1" thickBot="1">
      <c r="A25" s="3774"/>
      <c r="B25" s="3767"/>
      <c r="C25" s="3106" t="s">
        <v>2445</v>
      </c>
      <c r="D25" s="3107"/>
      <c r="E25" s="3108">
        <v>0.8</v>
      </c>
      <c r="F25" s="3102" t="s">
        <v>2446</v>
      </c>
      <c r="G25" s="3102"/>
    </row>
    <row r="26" spans="1:13" ht="19.5" customHeight="1" thickBot="1">
      <c r="A26" s="3109" t="s">
        <v>2625</v>
      </c>
      <c r="B26" s="3110" t="s">
        <v>2624</v>
      </c>
      <c r="C26" s="3111" t="s">
        <v>2626</v>
      </c>
      <c r="D26" s="3112"/>
      <c r="E26" s="3113">
        <v>1</v>
      </c>
      <c r="F26" s="3102" t="s">
        <v>2447</v>
      </c>
      <c r="G26" s="3102"/>
    </row>
    <row r="27" spans="1:13" ht="19.5" customHeight="1">
      <c r="A27" s="3768" t="s">
        <v>2627</v>
      </c>
      <c r="B27" s="3765" t="s">
        <v>2608</v>
      </c>
      <c r="C27" s="3099" t="s">
        <v>2448</v>
      </c>
      <c r="D27" s="3100"/>
      <c r="E27" s="3101">
        <v>1</v>
      </c>
      <c r="F27" s="3102" t="s">
        <v>2449</v>
      </c>
      <c r="G27" s="3102"/>
    </row>
    <row r="28" spans="1:13" ht="19.5" customHeight="1">
      <c r="A28" s="3769"/>
      <c r="B28" s="3766"/>
      <c r="C28" s="3103" t="s">
        <v>2450</v>
      </c>
      <c r="D28" s="3104"/>
      <c r="E28" s="3105">
        <v>1</v>
      </c>
      <c r="F28" s="3102" t="s">
        <v>2451</v>
      </c>
      <c r="G28" s="3102"/>
    </row>
    <row r="29" spans="1:13" ht="19.5" customHeight="1">
      <c r="A29" s="3769"/>
      <c r="B29" s="3766"/>
      <c r="C29" s="3103" t="s">
        <v>2452</v>
      </c>
      <c r="D29" s="3104"/>
      <c r="E29" s="3105">
        <v>0.8</v>
      </c>
      <c r="F29" s="3102" t="s">
        <v>2453</v>
      </c>
      <c r="G29" s="3102"/>
    </row>
    <row r="30" spans="1:13" ht="19.5" customHeight="1">
      <c r="A30" s="3769"/>
      <c r="B30" s="3766"/>
      <c r="C30" s="3103" t="s">
        <v>2454</v>
      </c>
      <c r="D30" s="3104"/>
      <c r="E30" s="3105">
        <v>0.8</v>
      </c>
      <c r="F30" s="3102" t="s">
        <v>2455</v>
      </c>
      <c r="G30" s="3102"/>
    </row>
    <row r="31" spans="1:13" ht="19.5" customHeight="1">
      <c r="A31" s="3769"/>
      <c r="B31" s="3766"/>
      <c r="C31" s="3103" t="s">
        <v>2456</v>
      </c>
      <c r="D31" s="3104"/>
      <c r="E31" s="3105">
        <v>0.8</v>
      </c>
      <c r="F31" s="3102" t="s">
        <v>2457</v>
      </c>
      <c r="G31" s="3102"/>
    </row>
    <row r="32" spans="1:13" ht="19.5" customHeight="1">
      <c r="A32" s="3769"/>
      <c r="B32" s="3766"/>
      <c r="C32" s="3103" t="s">
        <v>2458</v>
      </c>
      <c r="D32" s="3104"/>
      <c r="E32" s="3105">
        <v>0.7</v>
      </c>
      <c r="F32" s="3102" t="s">
        <v>2459</v>
      </c>
      <c r="G32" s="3102"/>
    </row>
    <row r="33" spans="1:7" ht="19.5" customHeight="1">
      <c r="A33" s="3769"/>
      <c r="B33" s="3766"/>
      <c r="C33" s="3103" t="s">
        <v>2460</v>
      </c>
      <c r="D33" s="3104"/>
      <c r="E33" s="3105">
        <v>0.8</v>
      </c>
      <c r="F33" s="3102" t="s">
        <v>2461</v>
      </c>
      <c r="G33" s="3102"/>
    </row>
    <row r="34" spans="1:7" ht="19.5" customHeight="1">
      <c r="A34" s="3769"/>
      <c r="B34" s="3766"/>
      <c r="C34" s="3103" t="s">
        <v>2462</v>
      </c>
      <c r="D34" s="3104"/>
      <c r="E34" s="3105">
        <v>0.6</v>
      </c>
      <c r="F34" s="3102" t="s">
        <v>2463</v>
      </c>
      <c r="G34" s="3102"/>
    </row>
    <row r="35" spans="1:7" ht="19.5" customHeight="1">
      <c r="A35" s="3769"/>
      <c r="B35" s="3766"/>
      <c r="C35" s="3103" t="s">
        <v>2464</v>
      </c>
      <c r="D35" s="3104"/>
      <c r="E35" s="3105">
        <v>0.2</v>
      </c>
      <c r="F35" s="3102" t="s">
        <v>2465</v>
      </c>
      <c r="G35" s="3102"/>
    </row>
    <row r="36" spans="1:7" ht="19.5" customHeight="1">
      <c r="A36" s="3769"/>
      <c r="B36" s="3766"/>
      <c r="C36" s="3103" t="s">
        <v>2466</v>
      </c>
      <c r="D36" s="3104"/>
      <c r="E36" s="3105">
        <v>0.2</v>
      </c>
      <c r="F36" s="3102" t="s">
        <v>2467</v>
      </c>
      <c r="G36" s="3102"/>
    </row>
    <row r="37" spans="1:7" ht="19.5" customHeight="1">
      <c r="A37" s="3769"/>
      <c r="B37" s="3771" t="s">
        <v>2628</v>
      </c>
      <c r="C37" s="3103" t="s">
        <v>2468</v>
      </c>
      <c r="D37" s="3104"/>
      <c r="E37" s="3105">
        <v>0.6</v>
      </c>
      <c r="F37" s="3102" t="s">
        <v>2469</v>
      </c>
      <c r="G37" s="3102"/>
    </row>
    <row r="38" spans="1:7" ht="19.5" customHeight="1">
      <c r="A38" s="3769"/>
      <c r="B38" s="3766"/>
      <c r="C38" s="3103" t="s">
        <v>2470</v>
      </c>
      <c r="D38" s="3104"/>
      <c r="E38" s="3105">
        <v>0.6</v>
      </c>
      <c r="F38" s="3102" t="s">
        <v>2471</v>
      </c>
      <c r="G38" s="3102"/>
    </row>
    <row r="39" spans="1:7" ht="19.5" customHeight="1" thickBot="1">
      <c r="A39" s="3770"/>
      <c r="B39" s="3767"/>
      <c r="C39" s="3106" t="s">
        <v>2472</v>
      </c>
      <c r="D39" s="3107"/>
      <c r="E39" s="3108">
        <v>0.6</v>
      </c>
      <c r="F39" s="3102" t="s">
        <v>2473</v>
      </c>
      <c r="G39" s="3102"/>
    </row>
    <row r="40" spans="1:7" ht="19.5" customHeight="1" thickBot="1">
      <c r="A40" s="3109" t="s">
        <v>2605</v>
      </c>
      <c r="B40" s="3110" t="s">
        <v>2605</v>
      </c>
      <c r="C40" s="3111" t="s">
        <v>2629</v>
      </c>
      <c r="D40" s="3112"/>
      <c r="E40" s="3113">
        <v>1</v>
      </c>
      <c r="F40" s="3102" t="s">
        <v>2474</v>
      </c>
      <c r="G40" s="3102"/>
    </row>
    <row r="41" spans="1:7" ht="19.5" customHeight="1">
      <c r="A41" s="3772" t="s">
        <v>2606</v>
      </c>
      <c r="B41" s="3765" t="s">
        <v>2630</v>
      </c>
      <c r="C41" s="3099" t="s">
        <v>2475</v>
      </c>
      <c r="D41" s="3100"/>
      <c r="E41" s="3101">
        <v>1</v>
      </c>
      <c r="F41" s="3102" t="s">
        <v>2476</v>
      </c>
      <c r="G41" s="3102"/>
    </row>
    <row r="42" spans="1:7" ht="19.5" customHeight="1">
      <c r="A42" s="3773"/>
      <c r="B42" s="3766"/>
      <c r="C42" s="3103" t="s">
        <v>2477</v>
      </c>
      <c r="D42" s="3104"/>
      <c r="E42" s="3105">
        <v>1</v>
      </c>
      <c r="F42" s="3102" t="s">
        <v>2478</v>
      </c>
      <c r="G42" s="3102"/>
    </row>
    <row r="43" spans="1:7" ht="19.5" customHeight="1">
      <c r="A43" s="3773"/>
      <c r="B43" s="3775"/>
      <c r="C43" s="3103" t="s">
        <v>2479</v>
      </c>
      <c r="D43" s="3104"/>
      <c r="E43" s="3105">
        <v>1.5</v>
      </c>
      <c r="F43" s="3102" t="s">
        <v>2480</v>
      </c>
      <c r="G43" s="3102"/>
    </row>
    <row r="44" spans="1:7" ht="19.5" customHeight="1">
      <c r="A44" s="3773"/>
      <c r="B44" s="3114" t="s">
        <v>2631</v>
      </c>
      <c r="C44" s="3103" t="s">
        <v>2632</v>
      </c>
      <c r="D44" s="3104"/>
      <c r="E44" s="3105">
        <v>2</v>
      </c>
      <c r="F44" s="3102" t="s">
        <v>2481</v>
      </c>
      <c r="G44" s="3102"/>
    </row>
    <row r="45" spans="1:7" ht="19.5" customHeight="1">
      <c r="A45" s="3773"/>
      <c r="B45" s="3771" t="s">
        <v>2633</v>
      </c>
      <c r="C45" s="3103" t="s">
        <v>2482</v>
      </c>
      <c r="D45" s="3104"/>
      <c r="E45" s="3105">
        <v>1</v>
      </c>
      <c r="F45" s="3102" t="s">
        <v>2483</v>
      </c>
      <c r="G45" s="3102"/>
    </row>
    <row r="46" spans="1:7" ht="19.5" customHeight="1">
      <c r="A46" s="3773"/>
      <c r="B46" s="3766"/>
      <c r="C46" s="3103" t="s">
        <v>2484</v>
      </c>
      <c r="D46" s="3104"/>
      <c r="E46" s="3105">
        <v>1</v>
      </c>
      <c r="F46" s="3102" t="s">
        <v>2485</v>
      </c>
      <c r="G46" s="3102"/>
    </row>
    <row r="47" spans="1:7" ht="19.5" customHeight="1">
      <c r="A47" s="3773"/>
      <c r="B47" s="3766"/>
      <c r="C47" s="3103" t="s">
        <v>2486</v>
      </c>
      <c r="D47" s="3104"/>
      <c r="E47" s="3105">
        <v>1</v>
      </c>
      <c r="F47" s="3102" t="s">
        <v>2487</v>
      </c>
      <c r="G47" s="3102"/>
    </row>
    <row r="48" spans="1:7" ht="19.5" customHeight="1">
      <c r="A48" s="3773"/>
      <c r="B48" s="3766"/>
      <c r="C48" s="3103" t="s">
        <v>2488</v>
      </c>
      <c r="D48" s="3104"/>
      <c r="E48" s="3105">
        <v>1</v>
      </c>
      <c r="F48" s="3102" t="s">
        <v>2489</v>
      </c>
      <c r="G48" s="3102"/>
    </row>
    <row r="49" spans="1:7" ht="19.5" customHeight="1">
      <c r="A49" s="3773"/>
      <c r="B49" s="3766"/>
      <c r="C49" s="3103" t="s">
        <v>2490</v>
      </c>
      <c r="D49" s="3104"/>
      <c r="E49" s="3105">
        <v>1</v>
      </c>
      <c r="F49" s="3102" t="s">
        <v>2491</v>
      </c>
      <c r="G49" s="3102"/>
    </row>
    <row r="50" spans="1:7" ht="19.5" customHeight="1">
      <c r="A50" s="3773"/>
      <c r="B50" s="3766"/>
      <c r="C50" s="3103" t="s">
        <v>2492</v>
      </c>
      <c r="D50" s="3104"/>
      <c r="E50" s="3105">
        <v>1</v>
      </c>
      <c r="F50" s="3102" t="s">
        <v>2493</v>
      </c>
      <c r="G50" s="3102"/>
    </row>
    <row r="51" spans="1:7" ht="19.5" customHeight="1" thickBot="1">
      <c r="A51" s="3774"/>
      <c r="B51" s="3767"/>
      <c r="C51" s="3106" t="s">
        <v>2494</v>
      </c>
      <c r="D51" s="3107"/>
      <c r="E51" s="3108">
        <v>1</v>
      </c>
      <c r="F51" s="3102" t="s">
        <v>2495</v>
      </c>
      <c r="G51" s="3102"/>
    </row>
    <row r="52" spans="1:7" ht="19.5" customHeight="1">
      <c r="A52" s="3115"/>
      <c r="B52" s="3115"/>
      <c r="C52" s="3115"/>
      <c r="D52" s="3115"/>
      <c r="E52" s="3115"/>
      <c r="F52" s="3115"/>
      <c r="G52" s="3115"/>
    </row>
    <row r="54" spans="1:7" ht="19.5" customHeight="1">
      <c r="A54" s="3116"/>
      <c r="B54" s="3088" t="s">
        <v>2634</v>
      </c>
      <c r="C54" s="3088" t="s">
        <v>2634</v>
      </c>
      <c r="D54" s="3088" t="s">
        <v>2634</v>
      </c>
      <c r="E54" s="3091" t="s">
        <v>2634</v>
      </c>
      <c r="F54" s="3091" t="s">
        <v>2635</v>
      </c>
      <c r="G54" s="3091" t="s">
        <v>2636</v>
      </c>
    </row>
    <row r="55" spans="1:7" ht="19.5" customHeight="1">
      <c r="A55" s="3117"/>
      <c r="B55" s="3091" t="s">
        <v>2603</v>
      </c>
      <c r="C55" s="3091" t="s">
        <v>2603</v>
      </c>
      <c r="D55" s="3091" t="s">
        <v>2603</v>
      </c>
      <c r="E55" s="3088" t="s">
        <v>2604</v>
      </c>
      <c r="F55" s="3088" t="s">
        <v>2606</v>
      </c>
      <c r="G55" s="3088" t="s">
        <v>2637</v>
      </c>
    </row>
    <row r="56" spans="1:7" ht="19.5" customHeight="1">
      <c r="A56" s="3118"/>
      <c r="B56" s="3088">
        <v>1</v>
      </c>
      <c r="C56" s="3088">
        <v>2</v>
      </c>
      <c r="D56" s="3088">
        <v>3</v>
      </c>
      <c r="E56" s="3119" t="s">
        <v>2638</v>
      </c>
      <c r="F56" s="3119" t="s">
        <v>2638</v>
      </c>
      <c r="G56" s="3119" t="s">
        <v>2638</v>
      </c>
    </row>
    <row r="57" spans="1:7" ht="19.5" customHeight="1">
      <c r="A57" s="3120" t="s">
        <v>2591</v>
      </c>
      <c r="B57" s="3088">
        <v>0.7</v>
      </c>
      <c r="C57" s="3088">
        <v>0.4</v>
      </c>
      <c r="D57" s="3088">
        <v>0.3</v>
      </c>
      <c r="E57" s="3119">
        <v>0.3</v>
      </c>
      <c r="F57" s="3088">
        <v>0.3</v>
      </c>
      <c r="G57" s="3088">
        <v>0.2</v>
      </c>
    </row>
    <row r="58" spans="1:7" ht="19.5" customHeight="1">
      <c r="A58" s="3120" t="s">
        <v>2592</v>
      </c>
      <c r="B58" s="3088">
        <v>0.7</v>
      </c>
      <c r="C58" s="3088">
        <v>0.4</v>
      </c>
      <c r="D58" s="3088">
        <v>0.3</v>
      </c>
      <c r="E58" s="3088">
        <v>0.3</v>
      </c>
      <c r="F58" s="3088">
        <v>0.3</v>
      </c>
      <c r="G58" s="3088">
        <v>0.2</v>
      </c>
    </row>
    <row r="59" spans="1:7" ht="19.5" customHeight="1">
      <c r="A59" s="3120" t="s">
        <v>2593</v>
      </c>
      <c r="B59" s="3088">
        <v>0.6</v>
      </c>
      <c r="C59" s="3088">
        <v>0.3</v>
      </c>
      <c r="D59" s="3088">
        <v>0.25</v>
      </c>
      <c r="E59" s="3088">
        <v>0.25</v>
      </c>
      <c r="F59" s="3088">
        <v>0.25</v>
      </c>
      <c r="G59" s="3088">
        <v>0.15</v>
      </c>
    </row>
    <row r="60" spans="1:7" ht="19.5" customHeight="1">
      <c r="A60" s="3120" t="s">
        <v>2594</v>
      </c>
      <c r="B60" s="3088">
        <v>0.6</v>
      </c>
      <c r="C60" s="3088">
        <v>0.3</v>
      </c>
      <c r="D60" s="3088">
        <v>0.25</v>
      </c>
      <c r="E60" s="3088">
        <v>0.25</v>
      </c>
      <c r="F60" s="3088">
        <v>0.25</v>
      </c>
      <c r="G60" s="3088">
        <v>0.15</v>
      </c>
    </row>
    <row r="61" spans="1:7" ht="19.5" customHeight="1">
      <c r="A61" s="3120" t="s">
        <v>2595</v>
      </c>
      <c r="B61" s="3088">
        <v>0.6</v>
      </c>
      <c r="C61" s="3088">
        <v>0.3</v>
      </c>
      <c r="D61" s="3088">
        <v>0.25</v>
      </c>
      <c r="E61" s="3088">
        <v>0.25</v>
      </c>
      <c r="F61" s="3088">
        <v>0.25</v>
      </c>
      <c r="G61" s="3088">
        <v>0.15</v>
      </c>
    </row>
    <row r="62" spans="1:7" ht="19.5" customHeight="1">
      <c r="A62" s="3120" t="s">
        <v>2596</v>
      </c>
      <c r="B62" s="3088">
        <v>0.6</v>
      </c>
      <c r="C62" s="3088">
        <v>0.3</v>
      </c>
      <c r="D62" s="3088">
        <v>0.25</v>
      </c>
      <c r="E62" s="3088">
        <v>0.25</v>
      </c>
      <c r="F62" s="3088">
        <v>0.25</v>
      </c>
      <c r="G62" s="3088">
        <v>0.15</v>
      </c>
    </row>
    <row r="63" spans="1:7" ht="19.5" customHeight="1">
      <c r="A63" s="3120" t="s">
        <v>2597</v>
      </c>
      <c r="B63" s="3088">
        <v>0.6</v>
      </c>
      <c r="C63" s="3088">
        <v>0.3</v>
      </c>
      <c r="D63" s="3088">
        <v>0.25</v>
      </c>
      <c r="E63" s="3088">
        <v>0.25</v>
      </c>
      <c r="F63" s="3088">
        <v>0.25</v>
      </c>
      <c r="G63" s="3088">
        <v>0.15</v>
      </c>
    </row>
    <row r="64" spans="1:7" ht="19.5" customHeight="1">
      <c r="A64" s="3120" t="s">
        <v>2598</v>
      </c>
      <c r="B64" s="3088">
        <v>0.5</v>
      </c>
      <c r="C64" s="3088">
        <v>0.2</v>
      </c>
      <c r="D64" s="3088">
        <v>0.2</v>
      </c>
      <c r="E64" s="3088">
        <v>0.2</v>
      </c>
      <c r="F64" s="3088">
        <v>0.2</v>
      </c>
      <c r="G64" s="3088">
        <v>0.1</v>
      </c>
    </row>
    <row r="65" spans="1:7" ht="19.5" customHeight="1">
      <c r="A65" s="3120" t="s">
        <v>2599</v>
      </c>
      <c r="B65" s="3088">
        <v>0.5</v>
      </c>
      <c r="C65" s="3088">
        <v>0.2</v>
      </c>
      <c r="D65" s="3088">
        <v>0.2</v>
      </c>
      <c r="E65" s="3088">
        <v>0.2</v>
      </c>
      <c r="F65" s="3088">
        <v>0.2</v>
      </c>
      <c r="G65" s="3088">
        <v>0.1</v>
      </c>
    </row>
    <row r="66" spans="1:7" ht="19.5" customHeight="1">
      <c r="A66" s="3120" t="s">
        <v>2600</v>
      </c>
      <c r="B66" s="3088">
        <v>0.5</v>
      </c>
      <c r="C66" s="3088">
        <v>0.2</v>
      </c>
      <c r="D66" s="3088">
        <v>0.2</v>
      </c>
      <c r="E66" s="3088">
        <v>0.2</v>
      </c>
      <c r="F66" s="3088">
        <v>0.2</v>
      </c>
      <c r="G66" s="3088">
        <v>0.1</v>
      </c>
    </row>
    <row r="67" spans="1:7" ht="19.5" customHeight="1">
      <c r="A67" s="3120" t="s">
        <v>2601</v>
      </c>
      <c r="B67" s="3088">
        <v>0.5</v>
      </c>
      <c r="C67" s="3088">
        <v>0.2</v>
      </c>
      <c r="D67" s="3088">
        <v>0.2</v>
      </c>
      <c r="E67" s="3088">
        <v>0.2</v>
      </c>
      <c r="F67" s="3088">
        <v>0.2</v>
      </c>
      <c r="G67" s="3088">
        <v>0.1</v>
      </c>
    </row>
    <row r="68" spans="1:7" ht="19.5" customHeight="1">
      <c r="A68" s="3120" t="s">
        <v>2602</v>
      </c>
      <c r="B68" s="3088">
        <v>0.5</v>
      </c>
      <c r="C68" s="3088">
        <v>0.2</v>
      </c>
      <c r="D68" s="3088">
        <v>0.2</v>
      </c>
      <c r="E68" s="3088">
        <v>0.2</v>
      </c>
      <c r="F68" s="3088">
        <v>0.2</v>
      </c>
      <c r="G68" s="3088">
        <v>0.1</v>
      </c>
    </row>
    <row r="70" spans="1:7" ht="19.5" customHeight="1">
      <c r="A70" s="3121"/>
      <c r="B70" s="3122"/>
      <c r="C70" s="3122"/>
      <c r="D70" s="3122" t="s">
        <v>2639</v>
      </c>
      <c r="E70" s="3122"/>
      <c r="F70" s="3122"/>
    </row>
    <row r="71" spans="1:7" ht="19.5" customHeight="1">
      <c r="A71" s="3114" t="s">
        <v>2640</v>
      </c>
      <c r="B71" s="3114" t="s">
        <v>2641</v>
      </c>
      <c r="C71" s="3114" t="s">
        <v>2642</v>
      </c>
      <c r="D71" s="3114" t="s">
        <v>2643</v>
      </c>
      <c r="E71" s="3114" t="s">
        <v>2644</v>
      </c>
      <c r="F71" s="3114" t="s">
        <v>2645</v>
      </c>
    </row>
    <row r="72" spans="1:7" ht="13.5">
      <c r="A72" s="3114"/>
      <c r="B72" s="3114"/>
      <c r="C72" s="3114" t="s">
        <v>2646</v>
      </c>
      <c r="D72" s="3114"/>
      <c r="E72" s="3114" t="s">
        <v>2617</v>
      </c>
      <c r="F72" s="3114" t="s">
        <v>2617</v>
      </c>
    </row>
    <row r="73" spans="1:7" ht="13.5">
      <c r="A73" s="3114">
        <v>1</v>
      </c>
      <c r="B73" s="3771" t="s">
        <v>2647</v>
      </c>
      <c r="C73" s="3088" t="s">
        <v>2648</v>
      </c>
      <c r="D73" s="3088" t="s">
        <v>2649</v>
      </c>
      <c r="E73" s="3114">
        <v>0.2</v>
      </c>
      <c r="F73" s="3114">
        <v>25</v>
      </c>
    </row>
    <row r="74" spans="1:7" ht="24">
      <c r="A74" s="3114">
        <v>2</v>
      </c>
      <c r="B74" s="3766"/>
      <c r="C74" s="3088" t="s">
        <v>2650</v>
      </c>
      <c r="D74" s="3088" t="s">
        <v>2651</v>
      </c>
      <c r="E74" s="3114">
        <v>0.2</v>
      </c>
      <c r="F74" s="3114">
        <v>25</v>
      </c>
    </row>
    <row r="75" spans="1:7" ht="24">
      <c r="A75" s="3114">
        <v>3</v>
      </c>
      <c r="B75" s="3766"/>
      <c r="C75" s="3088" t="s">
        <v>2652</v>
      </c>
      <c r="D75" s="3088" t="s">
        <v>2653</v>
      </c>
      <c r="E75" s="3114">
        <v>0.2</v>
      </c>
      <c r="F75" s="3114">
        <v>25</v>
      </c>
    </row>
    <row r="76" spans="1:7" ht="13.5">
      <c r="A76" s="3114">
        <v>4</v>
      </c>
      <c r="B76" s="3766"/>
      <c r="C76" s="3088" t="s">
        <v>2654</v>
      </c>
      <c r="D76" s="3088" t="s">
        <v>2655</v>
      </c>
      <c r="E76" s="3114">
        <v>0.15</v>
      </c>
      <c r="F76" s="3114">
        <v>20</v>
      </c>
    </row>
    <row r="77" spans="1:7" ht="24">
      <c r="A77" s="3114">
        <v>5</v>
      </c>
      <c r="B77" s="3766"/>
      <c r="C77" s="3088" t="s">
        <v>2656</v>
      </c>
      <c r="D77" s="3088" t="s">
        <v>2657</v>
      </c>
      <c r="E77" s="3114">
        <v>0.15</v>
      </c>
      <c r="F77" s="3114">
        <v>20</v>
      </c>
    </row>
    <row r="78" spans="1:7" ht="24">
      <c r="A78" s="3114">
        <v>6</v>
      </c>
      <c r="B78" s="3766"/>
      <c r="C78" s="3088" t="s">
        <v>2658</v>
      </c>
      <c r="D78" s="3088" t="s">
        <v>2659</v>
      </c>
      <c r="E78" s="3114">
        <v>0.15</v>
      </c>
      <c r="F78" s="3114">
        <v>20</v>
      </c>
    </row>
    <row r="79" spans="1:7" ht="24">
      <c r="A79" s="3114">
        <v>7</v>
      </c>
      <c r="B79" s="3766"/>
      <c r="C79" s="3088" t="s">
        <v>2660</v>
      </c>
      <c r="D79" s="3088" t="s">
        <v>2661</v>
      </c>
      <c r="E79" s="3114">
        <v>0.15</v>
      </c>
      <c r="F79" s="3114">
        <v>20</v>
      </c>
    </row>
    <row r="80" spans="1:7" ht="24">
      <c r="A80" s="3114">
        <v>8</v>
      </c>
      <c r="B80" s="3766"/>
      <c r="C80" s="3088" t="s">
        <v>2662</v>
      </c>
      <c r="D80" s="3088" t="s">
        <v>2663</v>
      </c>
      <c r="E80" s="3114">
        <v>0.1</v>
      </c>
      <c r="F80" s="3114">
        <v>15</v>
      </c>
    </row>
    <row r="81" spans="1:6" ht="24">
      <c r="A81" s="3114">
        <v>9</v>
      </c>
      <c r="B81" s="3766"/>
      <c r="C81" s="3088" t="s">
        <v>2664</v>
      </c>
      <c r="D81" s="3088" t="s">
        <v>2665</v>
      </c>
      <c r="E81" s="3114">
        <v>0.1</v>
      </c>
      <c r="F81" s="3114">
        <v>15</v>
      </c>
    </row>
    <row r="82" spans="1:6" ht="24">
      <c r="A82" s="3114">
        <v>10</v>
      </c>
      <c r="B82" s="3766"/>
      <c r="C82" s="3088" t="s">
        <v>2666</v>
      </c>
      <c r="D82" s="3088" t="s">
        <v>2667</v>
      </c>
      <c r="E82" s="3114">
        <v>0.1</v>
      </c>
      <c r="F82" s="3114">
        <v>15</v>
      </c>
    </row>
    <row r="83" spans="1:6" ht="24">
      <c r="A83" s="3114">
        <v>11</v>
      </c>
      <c r="B83" s="3766"/>
      <c r="C83" s="3088" t="s">
        <v>2668</v>
      </c>
      <c r="D83" s="3088" t="s">
        <v>2669</v>
      </c>
      <c r="E83" s="3114">
        <v>0.1</v>
      </c>
      <c r="F83" s="3114">
        <v>15</v>
      </c>
    </row>
    <row r="84" spans="1:6" ht="24">
      <c r="A84" s="3114">
        <v>12</v>
      </c>
      <c r="B84" s="3766"/>
      <c r="C84" s="3088" t="s">
        <v>2670</v>
      </c>
      <c r="D84" s="3088" t="s">
        <v>2671</v>
      </c>
      <c r="E84" s="3114">
        <v>0.1</v>
      </c>
      <c r="F84" s="3114">
        <v>15</v>
      </c>
    </row>
    <row r="85" spans="1:6" ht="13.5">
      <c r="A85" s="3114">
        <v>13</v>
      </c>
      <c r="B85" s="3766"/>
      <c r="C85" s="3088" t="s">
        <v>2672</v>
      </c>
      <c r="D85" s="3088" t="s">
        <v>2673</v>
      </c>
      <c r="E85" s="3114">
        <v>0.1</v>
      </c>
      <c r="F85" s="3114">
        <v>15</v>
      </c>
    </row>
    <row r="86" spans="1:6" ht="13.5">
      <c r="A86" s="3114">
        <v>14</v>
      </c>
      <c r="B86" s="3766"/>
      <c r="C86" s="3088" t="s">
        <v>2674</v>
      </c>
      <c r="D86" s="3088" t="s">
        <v>2675</v>
      </c>
      <c r="E86" s="3114">
        <v>0.1</v>
      </c>
      <c r="F86" s="3114">
        <v>15</v>
      </c>
    </row>
    <row r="87" spans="1:6" ht="13.5">
      <c r="A87" s="3114">
        <v>15</v>
      </c>
      <c r="B87" s="3766"/>
      <c r="C87" s="3088" t="s">
        <v>2676</v>
      </c>
      <c r="D87" s="3088" t="s">
        <v>2677</v>
      </c>
      <c r="E87" s="3114">
        <v>0.1</v>
      </c>
      <c r="F87" s="3114">
        <v>15</v>
      </c>
    </row>
    <row r="88" spans="1:6" ht="24">
      <c r="A88" s="3114">
        <v>16</v>
      </c>
      <c r="B88" s="3766"/>
      <c r="C88" s="3088" t="s">
        <v>2678</v>
      </c>
      <c r="D88" s="3088" t="s">
        <v>2679</v>
      </c>
      <c r="E88" s="3114">
        <v>0.1</v>
      </c>
      <c r="F88" s="3114">
        <v>15</v>
      </c>
    </row>
    <row r="89" spans="1:6" ht="24">
      <c r="A89" s="3114">
        <v>17</v>
      </c>
      <c r="B89" s="3775"/>
      <c r="C89" s="3088" t="s">
        <v>2680</v>
      </c>
      <c r="D89" s="3088" t="s">
        <v>2681</v>
      </c>
      <c r="E89" s="3114">
        <v>0.1</v>
      </c>
      <c r="F89" s="3114">
        <v>15</v>
      </c>
    </row>
    <row r="90" spans="1:6" ht="13.5">
      <c r="A90" s="3114">
        <v>18</v>
      </c>
      <c r="B90" s="3771" t="s">
        <v>2682</v>
      </c>
      <c r="C90" s="3088" t="s">
        <v>2683</v>
      </c>
      <c r="D90" s="3088" t="s">
        <v>2684</v>
      </c>
      <c r="E90" s="3114">
        <v>0.2</v>
      </c>
      <c r="F90" s="3114">
        <v>25</v>
      </c>
    </row>
    <row r="91" spans="1:6" ht="24">
      <c r="A91" s="3114">
        <v>19</v>
      </c>
      <c r="B91" s="3766"/>
      <c r="C91" s="3088" t="s">
        <v>2685</v>
      </c>
      <c r="D91" s="3088" t="s">
        <v>2686</v>
      </c>
      <c r="E91" s="3114">
        <v>0.2</v>
      </c>
      <c r="F91" s="3114">
        <v>25</v>
      </c>
    </row>
    <row r="92" spans="1:6" ht="13.5">
      <c r="A92" s="3114">
        <v>20</v>
      </c>
      <c r="B92" s="3766"/>
      <c r="C92" s="3088" t="s">
        <v>2687</v>
      </c>
      <c r="D92" s="3088" t="s">
        <v>2688</v>
      </c>
      <c r="E92" s="3114">
        <v>0.15</v>
      </c>
      <c r="F92" s="3114">
        <v>20</v>
      </c>
    </row>
    <row r="93" spans="1:6" ht="13.5">
      <c r="A93" s="3114">
        <v>21</v>
      </c>
      <c r="B93" s="3766"/>
      <c r="C93" s="3088" t="s">
        <v>2689</v>
      </c>
      <c r="D93" s="3088" t="s">
        <v>2690</v>
      </c>
      <c r="E93" s="3114">
        <v>0.15</v>
      </c>
      <c r="F93" s="3114">
        <v>20</v>
      </c>
    </row>
    <row r="94" spans="1:6" ht="13.5">
      <c r="A94" s="3114">
        <v>22</v>
      </c>
      <c r="B94" s="3766"/>
      <c r="C94" s="3088" t="s">
        <v>2691</v>
      </c>
      <c r="D94" s="3088" t="s">
        <v>2692</v>
      </c>
      <c r="E94" s="3114">
        <v>0.15</v>
      </c>
      <c r="F94" s="3114">
        <v>20</v>
      </c>
    </row>
    <row r="95" spans="1:6" ht="36">
      <c r="A95" s="3114">
        <v>23</v>
      </c>
      <c r="B95" s="3766"/>
      <c r="C95" s="3088" t="s">
        <v>2693</v>
      </c>
      <c r="D95" s="3088" t="s">
        <v>2694</v>
      </c>
      <c r="E95" s="3114">
        <v>0.15</v>
      </c>
      <c r="F95" s="3114">
        <v>20</v>
      </c>
    </row>
    <row r="96" spans="1:6" ht="13.5">
      <c r="A96" s="3114">
        <v>24</v>
      </c>
      <c r="B96" s="3766"/>
      <c r="C96" s="3088" t="s">
        <v>2695</v>
      </c>
      <c r="D96" s="3088" t="s">
        <v>2696</v>
      </c>
      <c r="E96" s="3114">
        <v>0.1</v>
      </c>
      <c r="F96" s="3114">
        <v>15</v>
      </c>
    </row>
    <row r="97" spans="1:6" ht="13.5">
      <c r="A97" s="3114">
        <v>25</v>
      </c>
      <c r="B97" s="3766"/>
      <c r="C97" s="3088" t="s">
        <v>2697</v>
      </c>
      <c r="D97" s="3088" t="s">
        <v>2698</v>
      </c>
      <c r="E97" s="3114">
        <v>0.1</v>
      </c>
      <c r="F97" s="3114">
        <v>15</v>
      </c>
    </row>
    <row r="98" spans="1:6" ht="24">
      <c r="A98" s="3114">
        <v>26</v>
      </c>
      <c r="B98" s="3766"/>
      <c r="C98" s="3088" t="s">
        <v>2699</v>
      </c>
      <c r="D98" s="3088" t="s">
        <v>2700</v>
      </c>
      <c r="E98" s="3114">
        <v>0.1</v>
      </c>
      <c r="F98" s="3114">
        <v>15</v>
      </c>
    </row>
    <row r="99" spans="1:6" ht="24">
      <c r="A99" s="3114">
        <v>27</v>
      </c>
      <c r="B99" s="3766"/>
      <c r="C99" s="3088" t="s">
        <v>2701</v>
      </c>
      <c r="D99" s="3088" t="s">
        <v>2702</v>
      </c>
      <c r="E99" s="3114">
        <v>0.1</v>
      </c>
      <c r="F99" s="3114">
        <v>15</v>
      </c>
    </row>
    <row r="100" spans="1:6" ht="13.5">
      <c r="A100" s="3114">
        <v>28</v>
      </c>
      <c r="B100" s="3766"/>
      <c r="C100" s="3088" t="s">
        <v>2703</v>
      </c>
      <c r="D100" s="3088" t="s">
        <v>2704</v>
      </c>
      <c r="E100" s="3114">
        <v>0.1</v>
      </c>
      <c r="F100" s="3114">
        <v>15</v>
      </c>
    </row>
    <row r="101" spans="1:6" ht="13.5">
      <c r="A101" s="3114">
        <v>29</v>
      </c>
      <c r="B101" s="3766"/>
      <c r="C101" s="3088" t="s">
        <v>2705</v>
      </c>
      <c r="D101" s="3088" t="s">
        <v>2706</v>
      </c>
      <c r="E101" s="3114">
        <v>0.1</v>
      </c>
      <c r="F101" s="3114">
        <v>15</v>
      </c>
    </row>
    <row r="102" spans="1:6" ht="13.5">
      <c r="A102" s="3114">
        <v>30</v>
      </c>
      <c r="B102" s="3766"/>
      <c r="C102" s="3088" t="s">
        <v>2707</v>
      </c>
      <c r="D102" s="3088" t="s">
        <v>2708</v>
      </c>
      <c r="E102" s="3114">
        <v>0.1</v>
      </c>
      <c r="F102" s="3114">
        <v>15</v>
      </c>
    </row>
    <row r="103" spans="1:6" ht="24">
      <c r="A103" s="3114">
        <v>31</v>
      </c>
      <c r="B103" s="3766"/>
      <c r="C103" s="3088" t="s">
        <v>2709</v>
      </c>
      <c r="D103" s="3088" t="s">
        <v>2710</v>
      </c>
      <c r="E103" s="3114">
        <v>0.1</v>
      </c>
      <c r="F103" s="3114">
        <v>15</v>
      </c>
    </row>
    <row r="104" spans="1:6" ht="24">
      <c r="A104" s="3114">
        <v>32</v>
      </c>
      <c r="B104" s="3766"/>
      <c r="C104" s="3088" t="s">
        <v>2711</v>
      </c>
      <c r="D104" s="3088" t="s">
        <v>2712</v>
      </c>
      <c r="E104" s="3114">
        <v>0.1</v>
      </c>
      <c r="F104" s="3114">
        <v>15</v>
      </c>
    </row>
    <row r="105" spans="1:6" ht="24">
      <c r="A105" s="3114">
        <v>33</v>
      </c>
      <c r="B105" s="3766"/>
      <c r="C105" s="3088" t="s">
        <v>2713</v>
      </c>
      <c r="D105" s="3088" t="s">
        <v>2714</v>
      </c>
      <c r="E105" s="3114">
        <v>0.1</v>
      </c>
      <c r="F105" s="3114">
        <v>15</v>
      </c>
    </row>
    <row r="106" spans="1:6" ht="24">
      <c r="A106" s="3114">
        <v>34</v>
      </c>
      <c r="B106" s="3775"/>
      <c r="C106" s="3088" t="s">
        <v>2715</v>
      </c>
      <c r="D106" s="3088" t="s">
        <v>2716</v>
      </c>
      <c r="E106" s="3114">
        <v>0.1</v>
      </c>
      <c r="F106" s="3114">
        <v>15</v>
      </c>
    </row>
    <row r="107" spans="1:6" ht="24">
      <c r="A107" s="3114">
        <v>35</v>
      </c>
      <c r="B107" s="3771" t="s">
        <v>2717</v>
      </c>
      <c r="C107" s="3114" t="s">
        <v>2718</v>
      </c>
      <c r="D107" s="3088" t="s">
        <v>2719</v>
      </c>
      <c r="E107" s="3114">
        <v>0.15</v>
      </c>
      <c r="F107" s="3114">
        <v>20</v>
      </c>
    </row>
    <row r="108" spans="1:6" ht="13.5">
      <c r="A108" s="3114">
        <v>36</v>
      </c>
      <c r="B108" s="3766"/>
      <c r="C108" s="3114" t="s">
        <v>2720</v>
      </c>
      <c r="D108" s="3088" t="s">
        <v>2721</v>
      </c>
      <c r="E108" s="3114">
        <v>0.15</v>
      </c>
      <c r="F108" s="3114">
        <v>20</v>
      </c>
    </row>
    <row r="109" spans="1:6" ht="13.5">
      <c r="A109" s="3114">
        <v>37</v>
      </c>
      <c r="B109" s="3766"/>
      <c r="C109" s="3114" t="s">
        <v>2722</v>
      </c>
      <c r="D109" s="3088" t="s">
        <v>2723</v>
      </c>
      <c r="E109" s="3114">
        <v>0.15</v>
      </c>
      <c r="F109" s="3114">
        <v>20</v>
      </c>
    </row>
    <row r="110" spans="1:6" ht="13.5">
      <c r="A110" s="3114">
        <v>38</v>
      </c>
      <c r="B110" s="3766"/>
      <c r="C110" s="3114" t="s">
        <v>2724</v>
      </c>
      <c r="D110" s="3088" t="s">
        <v>2725</v>
      </c>
      <c r="E110" s="3114">
        <v>0.1</v>
      </c>
      <c r="F110" s="3114">
        <v>15</v>
      </c>
    </row>
    <row r="111" spans="1:6" ht="24">
      <c r="A111" s="3114">
        <v>39</v>
      </c>
      <c r="B111" s="3766"/>
      <c r="C111" s="3114" t="s">
        <v>2726</v>
      </c>
      <c r="D111" s="3088" t="s">
        <v>2727</v>
      </c>
      <c r="E111" s="3114">
        <v>0.1</v>
      </c>
      <c r="F111" s="3114">
        <v>15</v>
      </c>
    </row>
    <row r="112" spans="1:6" ht="24">
      <c r="A112" s="3114">
        <v>40</v>
      </c>
      <c r="B112" s="3775"/>
      <c r="C112" s="3114" t="s">
        <v>2728</v>
      </c>
      <c r="D112" s="3088" t="s">
        <v>2729</v>
      </c>
      <c r="E112" s="3114">
        <v>0.1</v>
      </c>
      <c r="F112" s="3114">
        <v>15</v>
      </c>
    </row>
    <row r="113" spans="1:6" ht="13.5">
      <c r="A113" s="3114">
        <v>41</v>
      </c>
      <c r="B113" s="3776" t="s">
        <v>2730</v>
      </c>
      <c r="C113" s="3114" t="s">
        <v>2731</v>
      </c>
      <c r="D113" s="3088" t="s">
        <v>2732</v>
      </c>
      <c r="E113" s="3114">
        <v>0.1</v>
      </c>
      <c r="F113" s="3114">
        <v>15</v>
      </c>
    </row>
    <row r="114" spans="1:6" ht="13.5">
      <c r="A114" s="3114">
        <v>42</v>
      </c>
      <c r="B114" s="3776"/>
      <c r="C114" s="3114" t="s">
        <v>2733</v>
      </c>
      <c r="D114" s="3088" t="s">
        <v>2734</v>
      </c>
      <c r="E114" s="3114">
        <v>0.1</v>
      </c>
      <c r="F114" s="3114">
        <v>15</v>
      </c>
    </row>
    <row r="115" spans="1:6" ht="24">
      <c r="A115" s="3114">
        <v>43</v>
      </c>
      <c r="B115" s="3776"/>
      <c r="C115" s="3114" t="s">
        <v>2735</v>
      </c>
      <c r="D115" s="3088" t="s">
        <v>2736</v>
      </c>
      <c r="E115" s="3114">
        <v>0.1</v>
      </c>
      <c r="F115" s="3114">
        <v>15</v>
      </c>
    </row>
    <row r="116" spans="1:6" ht="13.5">
      <c r="A116" s="3114">
        <v>44</v>
      </c>
      <c r="B116" s="3771" t="s">
        <v>2737</v>
      </c>
      <c r="C116" s="3114" t="s">
        <v>2738</v>
      </c>
      <c r="D116" s="3088" t="s">
        <v>2739</v>
      </c>
      <c r="E116" s="3114">
        <v>0.1</v>
      </c>
      <c r="F116" s="3114">
        <v>15</v>
      </c>
    </row>
    <row r="117" spans="1:6" ht="24">
      <c r="A117" s="3114">
        <v>45</v>
      </c>
      <c r="B117" s="3775"/>
      <c r="C117" s="3088" t="s">
        <v>2740</v>
      </c>
      <c r="D117" s="3088" t="s">
        <v>2741</v>
      </c>
      <c r="E117" s="3114">
        <v>0.1</v>
      </c>
      <c r="F117" s="3114">
        <v>15</v>
      </c>
    </row>
    <row r="118" spans="1:6" ht="24">
      <c r="A118" s="3114">
        <v>46</v>
      </c>
      <c r="B118" s="3771" t="s">
        <v>2742</v>
      </c>
      <c r="C118" s="3114" t="s">
        <v>2743</v>
      </c>
      <c r="D118" s="3088" t="s">
        <v>2744</v>
      </c>
      <c r="E118" s="3114">
        <v>0.1</v>
      </c>
      <c r="F118" s="3114">
        <v>15</v>
      </c>
    </row>
    <row r="119" spans="1:6" ht="24">
      <c r="A119" s="3114">
        <v>47</v>
      </c>
      <c r="B119" s="3775"/>
      <c r="C119" s="3114" t="s">
        <v>2745</v>
      </c>
      <c r="D119" s="3088" t="s">
        <v>2746</v>
      </c>
      <c r="E119" s="3114">
        <v>0.1</v>
      </c>
      <c r="F119" s="3114">
        <v>15</v>
      </c>
    </row>
    <row r="120" spans="1:6" ht="13.5">
      <c r="A120" s="3114">
        <v>48</v>
      </c>
      <c r="B120" s="3771" t="s">
        <v>2747</v>
      </c>
      <c r="C120" s="3114" t="s">
        <v>2748</v>
      </c>
      <c r="D120" s="3088" t="s">
        <v>2749</v>
      </c>
      <c r="E120" s="3114">
        <v>0.1</v>
      </c>
      <c r="F120" s="3114">
        <v>15</v>
      </c>
    </row>
    <row r="121" spans="1:6" ht="13.5">
      <c r="A121" s="3114">
        <v>49</v>
      </c>
      <c r="B121" s="3775"/>
      <c r="C121" s="3114" t="s">
        <v>2750</v>
      </c>
      <c r="D121" s="3088" t="s">
        <v>2751</v>
      </c>
      <c r="E121" s="3114">
        <v>0.1</v>
      </c>
      <c r="F121" s="3114">
        <v>15</v>
      </c>
    </row>
    <row r="122" spans="1:6" ht="24">
      <c r="A122" s="3114">
        <v>50</v>
      </c>
      <c r="B122" s="3776" t="s">
        <v>2752</v>
      </c>
      <c r="C122" s="3114" t="s">
        <v>2753</v>
      </c>
      <c r="D122" s="3088" t="s">
        <v>2754</v>
      </c>
      <c r="E122" s="3114">
        <v>0.1</v>
      </c>
      <c r="F122" s="3114">
        <v>15</v>
      </c>
    </row>
    <row r="123" spans="1:6" ht="24">
      <c r="A123" s="3114">
        <v>51</v>
      </c>
      <c r="B123" s="3776"/>
      <c r="C123" s="3114" t="s">
        <v>2755</v>
      </c>
      <c r="D123" s="3088" t="s">
        <v>2756</v>
      </c>
      <c r="E123" s="3114">
        <v>0.1</v>
      </c>
      <c r="F123" s="3114">
        <v>15</v>
      </c>
    </row>
    <row r="124" spans="1:6" ht="24">
      <c r="A124" s="3114">
        <v>52</v>
      </c>
      <c r="B124" s="3776" t="s">
        <v>2757</v>
      </c>
      <c r="C124" s="3114" t="s">
        <v>2758</v>
      </c>
      <c r="D124" s="3088" t="s">
        <v>2759</v>
      </c>
      <c r="E124" s="3114">
        <v>0.1</v>
      </c>
      <c r="F124" s="3114">
        <v>15</v>
      </c>
    </row>
    <row r="125" spans="1:6" ht="24">
      <c r="A125" s="3114">
        <v>53</v>
      </c>
      <c r="B125" s="3776"/>
      <c r="C125" s="3114" t="s">
        <v>2760</v>
      </c>
      <c r="D125" s="3088" t="s">
        <v>2761</v>
      </c>
      <c r="E125" s="3114">
        <v>0.1</v>
      </c>
      <c r="F125" s="3114">
        <v>15</v>
      </c>
    </row>
    <row r="126" spans="1:6" ht="13.5">
      <c r="A126" s="3114">
        <v>54</v>
      </c>
      <c r="B126" s="3114" t="s">
        <v>2762</v>
      </c>
      <c r="C126" s="3114" t="s">
        <v>2763</v>
      </c>
      <c r="D126" s="3088" t="s">
        <v>2764</v>
      </c>
      <c r="E126" s="3114">
        <v>0.1</v>
      </c>
      <c r="F126" s="3114">
        <v>15</v>
      </c>
    </row>
    <row r="127" spans="1:6" ht="13.5">
      <c r="A127" s="3114">
        <v>55</v>
      </c>
      <c r="B127" s="3776" t="s">
        <v>2765</v>
      </c>
      <c r="C127" s="3114" t="s">
        <v>2766</v>
      </c>
      <c r="D127" s="3088" t="s">
        <v>2767</v>
      </c>
      <c r="E127" s="3114">
        <v>0.1</v>
      </c>
      <c r="F127" s="3114">
        <v>15</v>
      </c>
    </row>
    <row r="128" spans="1:6" ht="13.5">
      <c r="A128" s="3114">
        <v>56</v>
      </c>
      <c r="B128" s="3776"/>
      <c r="C128" s="3114" t="s">
        <v>2768</v>
      </c>
      <c r="D128" s="3088" t="s">
        <v>2769</v>
      </c>
      <c r="E128" s="3114">
        <v>0.1</v>
      </c>
      <c r="F128" s="3114">
        <v>15</v>
      </c>
    </row>
    <row r="129" spans="1:6" ht="24">
      <c r="A129" s="3114">
        <v>57</v>
      </c>
      <c r="B129" s="3776"/>
      <c r="C129" s="3114" t="s">
        <v>2770</v>
      </c>
      <c r="D129" s="3088" t="s">
        <v>2771</v>
      </c>
      <c r="E129" s="3114">
        <v>0.1</v>
      </c>
      <c r="F129" s="3114">
        <v>15</v>
      </c>
    </row>
    <row r="130" spans="1:6" ht="24">
      <c r="A130" s="3114">
        <v>58</v>
      </c>
      <c r="B130" s="3776" t="s">
        <v>2772</v>
      </c>
      <c r="C130" s="3114" t="s">
        <v>2773</v>
      </c>
      <c r="D130" s="3088" t="s">
        <v>2774</v>
      </c>
      <c r="E130" s="3114">
        <v>0.1</v>
      </c>
      <c r="F130" s="3114">
        <v>15</v>
      </c>
    </row>
    <row r="131" spans="1:6" ht="13.5">
      <c r="A131" s="3114">
        <v>59</v>
      </c>
      <c r="B131" s="3776"/>
      <c r="C131" s="3114" t="s">
        <v>2775</v>
      </c>
      <c r="D131" s="3088" t="s">
        <v>2776</v>
      </c>
      <c r="E131" s="3114">
        <v>0.1</v>
      </c>
      <c r="F131" s="3114">
        <v>15</v>
      </c>
    </row>
    <row r="132" spans="1:6" ht="13.5">
      <c r="A132" s="3114">
        <v>60</v>
      </c>
      <c r="B132" s="3771" t="s">
        <v>2777</v>
      </c>
      <c r="C132" s="3114" t="s">
        <v>2778</v>
      </c>
      <c r="D132" s="3088" t="s">
        <v>2779</v>
      </c>
      <c r="E132" s="3114">
        <v>0.1</v>
      </c>
      <c r="F132" s="3114">
        <v>15</v>
      </c>
    </row>
    <row r="133" spans="1:6" ht="13.5">
      <c r="A133" s="3114">
        <v>61</v>
      </c>
      <c r="B133" s="3775"/>
      <c r="C133" s="3114" t="s">
        <v>2780</v>
      </c>
      <c r="D133" s="3088" t="s">
        <v>2781</v>
      </c>
      <c r="E133" s="3114">
        <v>0.1</v>
      </c>
      <c r="F133" s="3114">
        <v>15</v>
      </c>
    </row>
    <row r="134" spans="1:6" ht="24">
      <c r="A134" s="3114">
        <v>62</v>
      </c>
      <c r="B134" s="3114" t="s">
        <v>2782</v>
      </c>
      <c r="C134" s="3114" t="s">
        <v>2783</v>
      </c>
      <c r="D134" s="3088" t="s">
        <v>2784</v>
      </c>
      <c r="E134" s="3114">
        <v>0.1</v>
      </c>
      <c r="F134" s="3114">
        <v>15</v>
      </c>
    </row>
    <row r="135" spans="1:6" ht="13.5">
      <c r="A135" s="3114">
        <v>63</v>
      </c>
      <c r="B135" s="3776" t="s">
        <v>2785</v>
      </c>
      <c r="C135" s="3114" t="s">
        <v>2786</v>
      </c>
      <c r="D135" s="3088" t="s">
        <v>2787</v>
      </c>
      <c r="E135" s="3114">
        <v>0.1</v>
      </c>
      <c r="F135" s="3114">
        <v>15</v>
      </c>
    </row>
    <row r="136" spans="1:6" ht="13.5">
      <c r="A136" s="3114">
        <v>64</v>
      </c>
      <c r="B136" s="3776"/>
      <c r="C136" s="3114" t="s">
        <v>2788</v>
      </c>
      <c r="D136" s="3088" t="s">
        <v>2789</v>
      </c>
      <c r="E136" s="3114">
        <v>0.1</v>
      </c>
      <c r="F136" s="3114">
        <v>15</v>
      </c>
    </row>
    <row r="137" spans="1:6" ht="13.5">
      <c r="A137" s="3114">
        <v>65</v>
      </c>
      <c r="B137" s="3114" t="s">
        <v>2790</v>
      </c>
      <c r="C137" s="3114" t="s">
        <v>2791</v>
      </c>
      <c r="D137" s="3088" t="s">
        <v>2792</v>
      </c>
      <c r="E137" s="3114">
        <v>0.1</v>
      </c>
      <c r="F137" s="3114">
        <v>15</v>
      </c>
    </row>
    <row r="138" spans="1:6" ht="13.5">
      <c r="A138" s="3114"/>
      <c r="B138" s="3114"/>
      <c r="C138" s="3114"/>
      <c r="D138" s="3114"/>
      <c r="E138" s="3114" t="s">
        <v>2793</v>
      </c>
      <c r="F138" s="311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2794</v>
      </c>
      <c r="B1" s="3123"/>
      <c r="C1" s="3123"/>
      <c r="D1" s="3123"/>
      <c r="E1" s="3123"/>
      <c r="F1" s="3123"/>
      <c r="G1" s="3123"/>
      <c r="H1" s="3123"/>
      <c r="I1" s="3123"/>
      <c r="J1" s="3123"/>
      <c r="K1" s="3123"/>
      <c r="L1" s="3123"/>
      <c r="M1" s="3123"/>
      <c r="N1" s="749"/>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50">
        <f>SUMPRODUCT((A95:A184=ROUNDDOWN(基准地价修正!G3,1))*(B94:M94=基准地价修正!G2)*(B95:M184))</f>
        <v>0</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50">
        <f>SUMPRODUCT((A371:A460=ROUNDDOWN(基准地价修正!G3,1))*(B370:M370=基准地价修正!G2)*(B371:M460))</f>
        <v>0</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1423</v>
      </c>
      <c r="E5" s="1491"/>
    </row>
    <row r="6" spans="1:5" ht="15.75">
      <c r="A6" s="1491"/>
      <c r="B6" s="3460"/>
      <c r="C6" s="1494" t="s">
        <v>911</v>
      </c>
      <c r="D6" s="850" t="str">
        <f ca="1">NUMBERSTRING(INT(D5*10000),2)&amp;"元整"</f>
        <v>壹仟肆佰贰拾叁万元整</v>
      </c>
      <c r="E6" s="1491"/>
    </row>
    <row r="7" spans="1:5" ht="15.75">
      <c r="A7" s="1491"/>
      <c r="B7" s="3465"/>
      <c r="C7" s="1495" t="s">
        <v>912</v>
      </c>
      <c r="D7" s="851">
        <f ca="1">结果表!H102</f>
        <v>6879</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1423</v>
      </c>
      <c r="E13" s="1491"/>
    </row>
    <row r="14" spans="1:5" ht="15.75">
      <c r="A14" s="1491"/>
      <c r="B14" s="3460"/>
      <c r="C14" s="1494" t="s">
        <v>911</v>
      </c>
      <c r="D14" s="850" t="str">
        <f ca="1">NUMBERSTRING(INT(D13*10000),2)&amp;"元整"</f>
        <v>壹仟肆佰贰拾叁万元整</v>
      </c>
      <c r="E14" s="1491"/>
    </row>
    <row r="15" spans="1:5" ht="15">
      <c r="A15" s="1491"/>
      <c r="B15" s="3465"/>
      <c r="C15" s="1495" t="s">
        <v>921</v>
      </c>
      <c r="D15" s="859">
        <f ca="1">结果表!H108</f>
        <v>6879</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1361</v>
      </c>
      <c r="E19" s="1491"/>
    </row>
    <row r="20" spans="1:5" ht="15.75">
      <c r="A20" s="1491"/>
      <c r="B20" s="3460"/>
      <c r="C20" s="1494" t="s">
        <v>923</v>
      </c>
      <c r="D20" s="850" t="str">
        <f ca="1">NUMBERSTRING(INT(D19*10000),2)&amp;"元整"</f>
        <v>壹仟叁佰陆拾壹万元整</v>
      </c>
      <c r="E20" s="1491"/>
    </row>
    <row r="21" spans="1:5" ht="15.75" thickBot="1">
      <c r="A21" s="1491"/>
      <c r="B21" s="3461"/>
      <c r="C21" s="1501" t="s">
        <v>921</v>
      </c>
      <c r="D21" s="860">
        <f ca="1">结果表!H112</f>
        <v>6577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27312</v>
      </c>
      <c r="C2" s="2" t="s">
        <v>106</v>
      </c>
      <c r="D2" s="199"/>
      <c r="E2" s="199"/>
      <c r="F2" s="199"/>
      <c r="G2" s="199"/>
    </row>
    <row r="3" spans="1:7" s="200" customFormat="1" ht="18" customHeight="1" thickBot="1">
      <c r="A3" s="203" t="s">
        <v>58</v>
      </c>
      <c r="B3" s="204">
        <f ca="1">ROUND(B2*10000/'数据-汇总表'!E3,0)</f>
        <v>131984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290</v>
      </c>
      <c r="F9" s="221"/>
      <c r="G9" s="226"/>
    </row>
    <row r="10" spans="1:7" s="214" customFormat="1" ht="13.5" customHeight="1">
      <c r="A10" s="779" t="s">
        <v>356</v>
      </c>
      <c r="B10" s="224" t="s">
        <v>67</v>
      </c>
      <c r="C10" s="225">
        <f>ROUND(D10*E10/10000,0)</f>
        <v>66</v>
      </c>
      <c r="D10" s="845">
        <f>'数据-汇总表'!E6</f>
        <v>2069.34</v>
      </c>
      <c r="E10" s="225">
        <f>'数据-取费表'!B28</f>
        <v>320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2069.34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1089</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2106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26223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828</v>
      </c>
      <c r="D34" s="217"/>
      <c r="E34" s="220"/>
      <c r="F34" s="257">
        <f>IF('数据-取费表'!B24=0,1,'数据-取费表'!N16)</f>
        <v>1</v>
      </c>
      <c r="G34" s="219" t="s">
        <v>89</v>
      </c>
    </row>
    <row r="35" spans="1:7" ht="13.5" customHeight="1">
      <c r="A35" s="780" t="s">
        <v>351</v>
      </c>
      <c r="B35" s="215" t="s">
        <v>33</v>
      </c>
      <c r="C35" s="220">
        <f>ROUND(C34*F35,0)</f>
        <v>25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2069.34</v>
      </c>
      <c r="E37" s="249">
        <f>'数据-取费表'!B35</f>
        <v>200</v>
      </c>
      <c r="F37" s="259"/>
      <c r="G37" s="261" t="s">
        <v>92</v>
      </c>
    </row>
    <row r="38" spans="1:7" ht="13.5" customHeight="1">
      <c r="A38" s="780" t="s">
        <v>354</v>
      </c>
      <c r="B38" s="215" t="s">
        <v>36</v>
      </c>
      <c r="C38" s="220">
        <f>ROUND(C34*F38,0)</f>
        <v>12</v>
      </c>
      <c r="D38" s="220"/>
      <c r="E38" s="220"/>
      <c r="F38" s="259">
        <f>'数据-取费表'!B36</f>
        <v>1.4999999999999999E-2</v>
      </c>
      <c r="G38" s="219" t="s">
        <v>90</v>
      </c>
    </row>
    <row r="39" spans="1:7" s="214" customFormat="1" ht="13.5" customHeight="1">
      <c r="A39" s="777" t="s">
        <v>338</v>
      </c>
      <c r="B39" s="210" t="s">
        <v>77</v>
      </c>
      <c r="C39" s="232">
        <f>ROUND(C33*F20,0)</f>
        <v>18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5.0000000000000001E-4</v>
      </c>
      <c r="D44" s="238"/>
      <c r="E44" s="238"/>
      <c r="F44" s="239"/>
      <c r="G44" s="3643"/>
    </row>
    <row r="45" spans="1:7" s="214" customFormat="1" ht="13.5" customHeight="1">
      <c r="A45" s="777" t="s">
        <v>341</v>
      </c>
      <c r="B45" s="244" t="s">
        <v>85</v>
      </c>
      <c r="C45" s="245">
        <f>C46</f>
        <v>92</v>
      </c>
      <c r="D45" s="235">
        <f>C47</f>
        <v>2E-3</v>
      </c>
      <c r="E45" s="236" t="s">
        <v>102</v>
      </c>
      <c r="F45" s="246"/>
      <c r="G45" s="247" t="s">
        <v>434</v>
      </c>
    </row>
    <row r="46" spans="1:7" s="214" customFormat="1" ht="13.5" customHeight="1">
      <c r="A46" s="780" t="s">
        <v>349</v>
      </c>
      <c r="B46" s="248" t="s">
        <v>427</v>
      </c>
      <c r="C46" s="249">
        <f>ROUND((C33+C39)*F27,0)</f>
        <v>92</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1123</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1089</v>
      </c>
      <c r="D51" s="232"/>
      <c r="E51" s="232"/>
      <c r="F51" s="264"/>
      <c r="G51" s="234" t="s">
        <v>37</v>
      </c>
    </row>
    <row r="52" spans="1:7" s="208" customFormat="1" ht="16.5" thickBot="1">
      <c r="A52" s="265" t="s">
        <v>38</v>
      </c>
      <c r="B52" s="266"/>
      <c r="C52" s="267">
        <f ca="1">C31+C51</f>
        <v>27312</v>
      </c>
      <c r="D52" s="266"/>
      <c r="E52" s="266"/>
      <c r="F52" s="266"/>
      <c r="G52" s="268"/>
    </row>
    <row r="55" spans="1:7" ht="15">
      <c r="B55" s="270" t="s">
        <v>39</v>
      </c>
      <c r="C55" s="271"/>
    </row>
    <row r="56" spans="1:7">
      <c r="B56" s="273" t="s">
        <v>40</v>
      </c>
      <c r="C56" s="274">
        <f ca="1">ROUND(C51/C52,3)</f>
        <v>0.04</v>
      </c>
    </row>
    <row r="57" spans="1:7">
      <c r="B57" s="273" t="s">
        <v>41</v>
      </c>
      <c r="C57" s="275">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9" t="s">
        <v>2835</v>
      </c>
      <c r="B1" s="3779"/>
      <c r="C1" s="3779"/>
      <c r="D1" s="3779"/>
      <c r="E1" s="3779"/>
      <c r="F1" s="3779"/>
      <c r="G1" s="3780"/>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777"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778"/>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1" t="s">
        <v>3177</v>
      </c>
      <c r="B1" s="3781"/>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2" t="s">
        <v>3228</v>
      </c>
      <c r="B1" s="3782"/>
      <c r="C1" s="3782"/>
      <c r="D1" s="3782"/>
      <c r="E1" s="3782"/>
      <c r="F1" s="3783"/>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217">
        <f>基准地价修正!G23</f>
        <v>45440</v>
      </c>
      <c r="B1" s="3206" t="s">
        <v>3367</v>
      </c>
      <c r="C1" s="3207"/>
      <c r="D1" s="3207"/>
      <c r="E1" s="3207"/>
      <c r="F1" s="3207"/>
      <c r="G1" s="3207"/>
      <c r="H1" s="3207"/>
      <c r="I1" s="3207"/>
      <c r="J1" s="3161"/>
      <c r="K1" s="3207" t="s">
        <v>454</v>
      </c>
      <c r="L1" s="3207"/>
      <c r="M1" s="3207"/>
      <c r="N1" s="3207"/>
      <c r="O1" s="3207"/>
      <c r="P1" s="3207"/>
      <c r="Q1" s="3161"/>
      <c r="R1" s="3784" t="s">
        <v>456</v>
      </c>
      <c r="S1" s="3785"/>
      <c r="T1" s="3785"/>
      <c r="U1" s="3785"/>
      <c r="V1" s="3785"/>
      <c r="W1" s="3785"/>
      <c r="X1" s="3161"/>
      <c r="Y1" s="3784" t="s">
        <v>457</v>
      </c>
      <c r="Z1" s="3785"/>
      <c r="AA1" s="3785"/>
      <c r="AB1" s="3785"/>
      <c r="AC1" s="3785"/>
      <c r="AD1" s="3785"/>
    </row>
    <row r="2" spans="1:30"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row>
    <row r="3" spans="1:30" s="3157" customFormat="1" ht="12.75">
      <c r="A3" s="3145" t="s">
        <v>2815</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3370</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3371</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3373</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3374</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3366</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3365</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3364</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3360</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3351</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2816</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2817</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2818</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2819</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2820</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3362</v>
      </c>
    </row>
    <row r="21" spans="1:30" s="3005" customFormat="1">
      <c r="I21" s="3204" t="s">
        <v>2821</v>
      </c>
    </row>
    <row r="22" spans="1:30" s="3005" customFormat="1"/>
    <row r="23" spans="1:30" s="3205" customFormat="1" ht="12.75">
      <c r="B23" s="3206" t="s">
        <v>3368</v>
      </c>
      <c r="C23" s="3207"/>
      <c r="D23" s="3207"/>
      <c r="E23" s="3207"/>
      <c r="F23" s="3207"/>
      <c r="G23" s="3207"/>
      <c r="H23" s="3207"/>
      <c r="I23" s="3207"/>
      <c r="J23" s="3161"/>
      <c r="K23" s="3207" t="s">
        <v>2822</v>
      </c>
      <c r="L23" s="3207"/>
      <c r="M23" s="3207"/>
      <c r="N23" s="3207"/>
      <c r="O23" s="3207"/>
      <c r="P23" s="3207"/>
      <c r="Q23" s="3161"/>
      <c r="R23" s="3784" t="s">
        <v>2823</v>
      </c>
      <c r="S23" s="3785"/>
      <c r="T23" s="3785"/>
      <c r="U23" s="3785"/>
      <c r="V23" s="3785"/>
      <c r="W23" s="3785"/>
      <c r="X23" s="3161"/>
      <c r="Y23" s="3784" t="s">
        <v>2824</v>
      </c>
      <c r="Z23" s="3785"/>
      <c r="AA23" s="3785"/>
      <c r="AB23" s="3785"/>
      <c r="AC23" s="3785"/>
      <c r="AD23" s="3785"/>
    </row>
    <row r="24" spans="1:30" s="3139" customFormat="1" ht="14.25" thickBot="1">
      <c r="B24" s="3140"/>
      <c r="C24" s="3141"/>
      <c r="D24" s="3142" t="s">
        <v>2825</v>
      </c>
      <c r="E24" s="3143" t="s">
        <v>2826</v>
      </c>
      <c r="F24" s="3143" t="s">
        <v>2827</v>
      </c>
      <c r="G24" s="3143" t="s">
        <v>2828</v>
      </c>
      <c r="H24" s="3143"/>
      <c r="I24" s="3143" t="s">
        <v>2829</v>
      </c>
      <c r="J24" s="3144"/>
      <c r="K24" s="3142" t="s">
        <v>2825</v>
      </c>
      <c r="L24" s="3143" t="s">
        <v>2826</v>
      </c>
      <c r="M24" s="3143" t="s">
        <v>2827</v>
      </c>
      <c r="N24" s="3143" t="s">
        <v>2828</v>
      </c>
      <c r="O24" s="3143"/>
      <c r="P24" s="3143" t="s">
        <v>2829</v>
      </c>
      <c r="Q24" s="3144"/>
      <c r="R24" s="3142" t="s">
        <v>2825</v>
      </c>
      <c r="S24" s="3143" t="s">
        <v>2826</v>
      </c>
      <c r="T24" s="3143" t="s">
        <v>2827</v>
      </c>
      <c r="U24" s="3143" t="s">
        <v>2828</v>
      </c>
      <c r="V24" s="3143"/>
      <c r="W24" s="3143" t="s">
        <v>2829</v>
      </c>
      <c r="X24" s="3144"/>
      <c r="Y24" s="3142" t="s">
        <v>2825</v>
      </c>
      <c r="Z24" s="3143" t="s">
        <v>2826</v>
      </c>
      <c r="AA24" s="3143" t="s">
        <v>2827</v>
      </c>
      <c r="AB24" s="3143" t="s">
        <v>2828</v>
      </c>
      <c r="AC24" s="3143"/>
      <c r="AD24" s="3143" t="s">
        <v>2829</v>
      </c>
    </row>
    <row r="25" spans="1:30" s="3157" customFormat="1" ht="12.75">
      <c r="A25" s="3145" t="s">
        <v>2830</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3370</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3371</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3375</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3374</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3369</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3365</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3364</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3361</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3351</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2831</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2832</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2833</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2834</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2820</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45440</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2305</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34" sqref="O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30">
      <c r="A4" s="1505" t="str">
        <f>项目基本情况!S2</f>
        <v>天津市西青区张家窝镇安福道10号4-102、103、202房地产</v>
      </c>
      <c r="B4" s="854">
        <f>项目基本情况!C17</f>
        <v>2069.34</v>
      </c>
      <c r="C4" s="854">
        <f>项目基本情况!C18</f>
        <v>0</v>
      </c>
      <c r="D4" s="854" t="e">
        <f ca="1">结果表!D118</f>
        <v>#REF!</v>
      </c>
      <c r="E4" s="854" t="e">
        <f ca="1">结果表!E118</f>
        <v>#REF!</v>
      </c>
      <c r="F4" s="854" t="e">
        <f ca="1">结果表!F118</f>
        <v>#REF!</v>
      </c>
      <c r="G4" s="854" t="e">
        <f ca="1">结果表!G118</f>
        <v>#REF!</v>
      </c>
      <c r="H4" s="854">
        <f ca="1">结果表!H118</f>
        <v>1423</v>
      </c>
      <c r="I4" s="854">
        <f ca="1">结果表!I118</f>
        <v>6879</v>
      </c>
    </row>
    <row r="5" spans="1:9" ht="30" customHeight="1">
      <c r="A5" s="3471" t="s">
        <v>927</v>
      </c>
      <c r="B5" s="3471"/>
      <c r="C5" s="3471"/>
      <c r="D5" s="3471" t="e">
        <f ca="1">结果表!D119</f>
        <v>#REF!</v>
      </c>
      <c r="E5" s="3471"/>
      <c r="F5" s="3471" t="e">
        <f ca="1">结果表!F119</f>
        <v>#REF!</v>
      </c>
      <c r="G5" s="3471"/>
      <c r="H5" s="3471" t="str">
        <f ca="1">结果表!H119</f>
        <v>壹仟肆佰贰拾叁万元整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1423</v>
      </c>
      <c r="E8" s="3472"/>
      <c r="F8" s="3472"/>
      <c r="G8" s="3472"/>
      <c r="H8" s="3472"/>
      <c r="I8" s="3472"/>
    </row>
    <row r="9" spans="1:9" ht="15">
      <c r="A9" s="3471" t="s">
        <v>927</v>
      </c>
      <c r="B9" s="3471"/>
      <c r="C9" s="3471"/>
      <c r="D9" s="3471" t="str">
        <f ca="1">结果表!D123</f>
        <v>壹仟肆佰贰拾叁万元整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1361</v>
      </c>
      <c r="E12" s="3472"/>
      <c r="F12" s="3472"/>
      <c r="G12" s="3472"/>
      <c r="H12" s="3472"/>
      <c r="I12" s="3472"/>
    </row>
    <row r="13" spans="1:9" ht="15.75" thickBot="1">
      <c r="A13" s="3476" t="s">
        <v>927</v>
      </c>
      <c r="B13" s="3476"/>
      <c r="C13" s="3476"/>
      <c r="D13" s="3476" t="str">
        <f ca="1">结果表!D127</f>
        <v>壹仟叁佰陆拾壹万元整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45442</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2157</v>
      </c>
      <c r="B17" s="3495"/>
      <c r="C17" s="3495"/>
      <c r="D17" s="3495"/>
      <c r="E17" s="3495"/>
      <c r="F17" s="3495"/>
      <c r="G17" s="3495"/>
      <c r="H17" s="3495"/>
    </row>
    <row r="18" spans="1:8" ht="24" customHeight="1">
      <c r="A18" s="3496" t="s">
        <v>2158</v>
      </c>
      <c r="B18" s="3496"/>
      <c r="C18" s="3496"/>
      <c r="D18" s="2343"/>
      <c r="E18" s="3497" t="s">
        <v>2159</v>
      </c>
      <c r="F18" s="3496"/>
      <c r="G18" s="3496"/>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2024-05-30T08:42:09Z</dcterms:modified>
</cp:coreProperties>
</file>