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21" l="1"/>
  <c r="G37" i="21"/>
  <c r="E37" i="21"/>
  <c r="I7" i="21"/>
  <c r="G7" i="21"/>
  <c r="E7" i="21"/>
  <c r="E47" i="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D120" i="57" s="1"/>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F43" i="21"/>
  <c r="S43" i="21"/>
  <c r="H38" i="21"/>
  <c r="U38" i="21"/>
  <c r="H43" i="21"/>
  <c r="AB43" i="21"/>
  <c r="F38" i="21"/>
  <c r="F36" i="21"/>
  <c r="S36" i="21"/>
  <c r="F39" i="21"/>
  <c r="S39" i="21"/>
  <c r="H35" i="21"/>
  <c r="AB35" i="21"/>
  <c r="J8" i="21"/>
  <c r="AC8" i="21" s="1"/>
  <c r="J9" i="21"/>
  <c r="W9" i="21"/>
  <c r="H8" i="21"/>
  <c r="U8" i="21" s="1"/>
  <c r="H9" i="21"/>
  <c r="AB9" i="21"/>
  <c r="H10" i="21"/>
  <c r="AB10" i="21"/>
  <c r="H36" i="21"/>
  <c r="U36" i="21"/>
  <c r="F35" i="21"/>
  <c r="AA35" i="21"/>
  <c r="J33" i="21"/>
  <c r="W33" i="21" s="1"/>
  <c r="H33" i="21"/>
  <c r="AB33" i="21" s="1"/>
  <c r="F33" i="21"/>
  <c r="AA33" i="21" s="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9" i="59"/>
  <c r="I114" i="9"/>
  <c r="D129" i="9" s="1"/>
  <c r="I112" i="9"/>
  <c r="D39" i="50" s="1"/>
  <c r="D40" i="50" s="1"/>
  <c r="D116" i="9"/>
  <c r="D114" i="9"/>
  <c r="D115" i="9"/>
  <c r="I113" i="9" s="1"/>
  <c r="E2" i="33"/>
  <c r="D6" i="61"/>
  <c r="D5" i="61"/>
  <c r="E2" i="37"/>
  <c r="D20" i="57"/>
  <c r="D3" i="61"/>
  <c r="E2" i="34"/>
  <c r="F6" i="61"/>
  <c r="D4" i="61"/>
  <c r="F3" i="61"/>
  <c r="C20" i="57"/>
  <c r="H23" i="31"/>
  <c r="F5" i="61"/>
  <c r="E2" i="21"/>
  <c r="E2" i="36"/>
  <c r="E2" i="11"/>
  <c r="D7" i="61"/>
  <c r="C19" i="57"/>
  <c r="D19" i="57"/>
  <c r="F4" i="61"/>
  <c r="F7" i="61"/>
  <c r="E2" i="35"/>
  <c r="AB37" i="21" l="1"/>
  <c r="S37" i="21"/>
  <c r="F117" i="9"/>
  <c r="D42" i="50"/>
  <c r="D43" i="50" s="1"/>
  <c r="I14" i="62"/>
  <c r="B8" i="62"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69" i="39" l="1"/>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3" i="21" s="1"/>
  <c r="J53" i="21" s="1"/>
  <c r="I52" i="21"/>
  <c r="J52"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D102" i="9"/>
  <c r="I53" i="34"/>
  <c r="J53" i="34" s="1"/>
  <c r="I54" i="34"/>
  <c r="J54" i="34" s="1"/>
  <c r="C50" i="34"/>
  <c r="B2"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D22" i="9" l="1"/>
  <c r="G19" i="9"/>
  <c r="C101" i="9"/>
  <c r="B3" i="34"/>
  <c r="AC7" i="40"/>
  <c r="V42" i="40" s="1"/>
  <c r="I42" i="40" s="1"/>
  <c r="I46" i="40" s="1"/>
  <c r="J46" i="40" s="1"/>
  <c r="W7" i="40"/>
  <c r="S7" i="40"/>
  <c r="AA7" i="40"/>
  <c r="R42" i="40" s="1"/>
  <c r="R43" i="40" s="1"/>
  <c r="AB7" i="40"/>
  <c r="T42" i="40" s="1"/>
  <c r="G42" i="40" s="1"/>
  <c r="G46" i="40" s="1"/>
  <c r="H46" i="40" s="1"/>
  <c r="U7" i="40"/>
  <c r="C20" i="9"/>
  <c r="G20" i="9" l="1"/>
  <c r="C32" i="9" s="1"/>
  <c r="C35" i="9" s="1"/>
  <c r="C34" i="9" s="1"/>
  <c r="C102" i="9"/>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E121" i="9" l="1"/>
  <c r="G121" i="9"/>
  <c r="I121" i="9"/>
  <c r="F121" i="9" l="1"/>
  <c r="G4" i="52"/>
  <c r="B41" i="60" s="1"/>
  <c r="D107" i="9"/>
  <c r="I4" i="52"/>
  <c r="D121" i="9"/>
  <c r="E4" i="52"/>
  <c r="B38" i="60" s="1"/>
  <c r="H121" i="9"/>
  <c r="I103" i="9"/>
  <c r="C104" i="9"/>
  <c r="C103" i="9" l="1"/>
  <c r="H4" i="52"/>
  <c r="D122" i="9"/>
  <c r="D5" i="52" s="1"/>
  <c r="B39" i="60" s="1"/>
  <c r="D4" i="52"/>
  <c r="B37" i="60" s="1"/>
  <c r="F122" i="9"/>
  <c r="F5" i="52" s="1"/>
  <c r="B42" i="60" s="1"/>
  <c r="F4" i="52"/>
  <c r="B40" i="60" s="1"/>
  <c r="D9" i="50"/>
  <c r="B21" i="60" s="1"/>
  <c r="D30" i="50"/>
  <c r="D106" i="9"/>
  <c r="D112" i="9" s="1"/>
  <c r="D117" i="9" s="1"/>
  <c r="H122" i="9"/>
  <c r="H5" i="52" s="1"/>
  <c r="I102" i="9"/>
  <c r="D14" i="62"/>
  <c r="E14" i="62" s="1"/>
  <c r="D45" i="9"/>
  <c r="N48" i="9" l="1"/>
  <c r="D28" i="50"/>
  <c r="D29" i="50" s="1"/>
  <c r="D7" i="50"/>
  <c r="I115" i="9"/>
  <c r="D23" i="50" s="1"/>
  <c r="B34" i="60" s="1"/>
  <c r="D44" i="50"/>
  <c r="I110" i="9"/>
  <c r="D113" i="9"/>
  <c r="B5" i="62"/>
  <c r="D5" i="62" s="1"/>
  <c r="F14" i="62"/>
  <c r="C85" i="9"/>
  <c r="C78" i="9"/>
  <c r="C73" i="9" s="1"/>
  <c r="D53" i="9"/>
  <c r="D48" i="9" s="1"/>
  <c r="N52" i="9" s="1"/>
  <c r="O57" i="9" s="1"/>
  <c r="C93" i="9"/>
  <c r="C86" i="9" s="1"/>
  <c r="D52" i="9"/>
  <c r="C64" i="9"/>
  <c r="C63" i="9" s="1"/>
  <c r="C67" i="9" s="1"/>
  <c r="C68" i="9" s="1"/>
  <c r="D54" i="9" s="1"/>
  <c r="C72" i="9"/>
  <c r="C5" i="62" l="1"/>
  <c r="D125" i="9"/>
  <c r="D15" i="50"/>
  <c r="D36" i="50"/>
  <c r="D37" i="50" s="1"/>
  <c r="I111" i="9"/>
  <c r="D38" i="50"/>
  <c r="B62" i="60" s="1"/>
  <c r="B19" i="60"/>
  <c r="D8" i="50"/>
  <c r="B22" i="60" s="1"/>
  <c r="C79" i="9"/>
  <c r="C80" i="9" s="1"/>
  <c r="E80" i="9" s="1"/>
  <c r="E81" i="9" s="1"/>
  <c r="Q57" i="9"/>
  <c r="O58" i="9"/>
  <c r="O59" i="9"/>
  <c r="C95" i="9"/>
  <c r="D126" i="9" l="1"/>
  <c r="D9" i="52" s="1"/>
  <c r="D17" i="50"/>
  <c r="B29" i="60"/>
  <c r="D16" i="50"/>
  <c r="B30" i="60" s="1"/>
  <c r="G14" i="62"/>
  <c r="B6" i="62" s="1"/>
  <c r="D8" i="52"/>
  <c r="C81" i="9"/>
  <c r="C96" i="9"/>
  <c r="E96" i="9" s="1"/>
  <c r="E97" i="9" s="1"/>
  <c r="O60" i="9"/>
  <c r="O61" i="9"/>
  <c r="C97" i="9" l="1"/>
  <c r="D58" i="9" s="1"/>
  <c r="D6" i="62"/>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<sst xmlns="http://schemas.openxmlformats.org/spreadsheetml/2006/main" count="6912" uniqueCount="3046">
  <si>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</si>
  <si>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</si>
  <si>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</si>
  <si>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</si>
  <si>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</si>
  <si>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</si>
  <si>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</si>
  <si>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</si>
  <si>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</si>
  <si>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</si>
  <si>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</si>
  <si>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</si>
  <si>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</si>
  <si>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</si>
  <si>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</si>
  <si>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</si>
  <si>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</si>
  <si>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</si>
  <si>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</si>
  <si>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</si>
  <si>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</si>
  <si>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</si>
  <si>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</si>
  <si>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</si>
  <si>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</si>
  <si>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</si>
  <si>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</si>
  <si>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</si>
  <si>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</si>
  <si>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</si>
  <si>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</si>
  <si>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</si>
  <si>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</si>
  <si>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</si>
  <si>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</si>
  <si>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</si>
  <si>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</si>
  <si>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</si>
  <si>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</si>
  <si>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</si>
  <si>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</si>
  <si>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</si>
  <si>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</si>
  <si>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</si>
  <si>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</si>
  <si>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</si>
  <si>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</si>
  <si>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</si>
  <si>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</si>
  <si>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</si>
  <si>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</si>
  <si>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</si>
  <si>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</si>
  <si>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</si>
  <si>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</si>
  <si>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</si>
  <si>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</si>
  <si>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</si>
  <si>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</si>
  <si>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</si>
  <si>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</si>
  <si>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</si>
  <si>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</si>
  <si>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</si>
  <si>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</si>
  <si>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</si>
  <si>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</si>
  <si>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</si>
  <si>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</si>
  <si>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</si>
  <si>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</si>
  <si>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</si>
  <si>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</si>
  <si>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</si>
  <si>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</si>
  <si>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</si>
  <si>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</si>
  <si>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</si>
  <si>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</si>
  <si>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</si>
  <si>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</si>
  <si>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</si>
  <si>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</si>
  <si>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</si>
  <si>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</si>
  <si>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</si>
  <si>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</si>
  <si>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</si>
  <si>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</si>
  <si>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</si>
  <si>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</si>
  <si>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</si>
  <si>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</si>
  <si>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</si>
  <si>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</si>
  <si>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</si>
  <si>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</si>
  <si>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</si>
  <si>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</si>
  <si>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</si>
  <si>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</si>
  <si>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</si>
  <si>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</si>
  <si>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</si>
  <si>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</si>
  <si>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</si>
  <si>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</si>
  <si>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</si>
  <si>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</si>
  <si>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</si>
  <si>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</si>
  <si>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</si>
  <si>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</si>
  <si>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</si>
  <si>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</si>
  <si>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</si>
  <si>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</si>
  <si>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</si>
  <si>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</si>
  <si>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</si>
  <si>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</si>
  <si>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</si>
  <si>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</si>
  <si>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</si>
  <si>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</si>
  <si>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</si>
  <si>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</si>
  <si>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</si>
  <si>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</si>
  <si>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</si>
  <si>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</si>
  <si>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</si>
  <si>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</si>
  <si>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</si>
  <si>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</si>
  <si>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</si>
  <si>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</si>
  <si>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</si>
  <si>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</si>
  <si>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</si>
  <si>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</si>
  <si>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</si>
  <si>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</si>
  <si>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</si>
  <si>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</si>
  <si>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</si>
  <si>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</si>
  <si>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</si>
  <si>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</si>
  <si>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</si>
  <si>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</si>
  <si>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</si>
  <si>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</si>
  <si>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</si>
  <si>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</si>
  <si>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</si>
  <si>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</si>
  <si>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</si>
  <si>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</si>
  <si>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</si>
  <si>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</si>
  <si>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</si>
  <si>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</si>
  <si>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</si>
  <si>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</si>
  <si>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</si>
  <si>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</si>
  <si>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</si>
  <si>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</si>
  <si>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</si>
  <si>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</si>
  <si>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</si>
  <si>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</si>
  <si>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</si>
  <si>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</si>
  <si>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</si>
  <si>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</si>
  <si>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</si>
  <si>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</si>
  <si>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</si>
  <si>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</si>
  <si>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</si>
  <si>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</si>
  <si>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</si>
  <si>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</si>
  <si>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</si>
  <si>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</si>
  <si>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</si>
  <si>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</si>
  <si>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</si>
  <si>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</si>
  <si>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</si>
  <si>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</si>
  <si>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</si>
  <si>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</si>
  <si>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</si>
  <si>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</si>
  <si>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</si>
  <si>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</si>
  <si>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</si>
  <si>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</si>
  <si>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</si>
  <si>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</si>
  <si>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</si>
  <si>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</si>
  <si>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</si>
  <si>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</si>
  <si>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</si>
  <si>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</si>
  <si>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</si>
  <si>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</si>
  <si>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</si>
  <si>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</si>
  <si>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</si>
  <si>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</si>
  <si>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</si>
  <si>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</si>
  <si>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</si>
  <si>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</si>
  <si>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</si>
  <si>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</si>
  <si>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</si>
  <si>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</si>
  <si>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</si>
  <si>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</si>
  <si>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</si>
  <si>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</si>
  <si>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</si>
  <si>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</si>
  <si>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</si>
  <si>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</si>
  <si>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</si>
  <si>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</si>
  <si>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</si>
  <si>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</si>
  <si>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</si>
  <si>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</si>
  <si>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</si>
  <si>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</si>
  <si>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</si>
  <si>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</si>
  <si>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</si>
  <si>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</si>
  <si>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</si>
  <si>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</si>
  <si>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</si>
  <si>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</si>
  <si>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</si>
  <si>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</si>
  <si>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</si>
  <si>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</si>
  <si>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</si>
  <si>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</si>
  <si>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</si>
  <si>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</si>
  <si>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</si>
  <si>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</si>
  <si>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</si>
  <si>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</si>
  <si>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</si>
  <si>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</si>
  <si>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</si>
  <si>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</si>
  <si>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</si>
  <si>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</si>
  <si>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</si>
  <si>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</si>
  <si>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</si>
  <si>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</si>
  <si>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</si>
  <si>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</si>
  <si>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</si>
  <si>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</si>
  <si>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</si>
  <si>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</si>
  <si>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</si>
  <si>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</si>
  <si>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</si>
  <si>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</si>
  <si>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</si>
  <si>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</si>
  <si>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</si>
  <si>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</si>
  <si>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</si>
  <si>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</si>
  <si>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</si>
  <si>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</si>
  <si>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</si>
  <si>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</si>
  <si>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</si>
  <si>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</si>
  <si>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</si>
  <si>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</si>
  <si>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</si>
  <si>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</si>
  <si>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</si>
  <si>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</si>
  <si>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</si>
  <si>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</si>
  <si>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</si>
  <si>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</si>
  <si>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</si>
  <si>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</si>
  <si>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</si>
  <si>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</si>
  <si>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</si>
  <si>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</si>
  <si>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</si>
  <si>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</si>
  <si>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</si>
  <si>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</si>
  <si>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</si>
  <si>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</si>
  <si>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</si>
  <si>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</si>
  <si>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</si>
  <si>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</si>
  <si>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</si>
  <si>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</si>
  <si>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</si>
  <si>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</si>
  <si>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</si>
  <si>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</si>
  <si>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</si>
  <si>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</si>
  <si>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</si>
  <si>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</si>
  <si>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</si>
  <si>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</si>
  <si>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</si>
  <si>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</si>
  <si>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</si>
  <si>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</si>
  <si>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</si>
  <si>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</si>
  <si>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</si>
  <si>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</si>
  <si>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</si>
  <si>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</si>
  <si>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</si>
  <si>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</si>
  <si>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</si>
  <si>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</si>
  <si>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</si>
  <si>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</si>
  <si>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</si>
  <si>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</si>
  <si>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</si>
  <si>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</si>
  <si>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</si>
  <si>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</si>
  <si>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</si>
  <si>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</si>
  <si>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</si>
  <si>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</si>
  <si>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</si>
  <si>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</si>
  <si>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</si>
  <si>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</si>
  <si>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</si>
  <si>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</si>
  <si>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</si>
  <si>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</si>
  <si>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</si>
  <si>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</si>
  <si>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</si>
  <si>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</si>
  <si>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</si>
  <si>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</si>
  <si>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</si>
  <si>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</si>
  <si>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</si>
  <si>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</si>
  <si>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</si>
  <si>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</si>
  <si>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</si>
  <si>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</si>
  <si>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</si>
  <si>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</si>
  <si>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</si>
  <si>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</si>
  <si>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</si>
  <si>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</si>
  <si>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</si>
  <si>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</si>
  <si>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</si>
  <si>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</si>
  <si>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</si>
  <si>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</si>
  <si>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</si>
  <si>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</si>
  <si>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</si>
  <si>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</si>
  <si>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</si>
  <si>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</si>
  <si>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</si>
  <si>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</si>
  <si>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</si>
  <si>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</si>
  <si>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</si>
  <si>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</si>
  <si>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</si>
  <si>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</si>
  <si>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</si>
  <si>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</si>
  <si>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</si>
  <si>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</si>
  <si>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</si>
  <si>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</si>
  <si>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</si>
  <si>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</si>
  <si>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</si>
  <si>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</si>
  <si>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</si>
  <si>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</si>
  <si>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</si>
  <si>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</si>
  <si>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</si>
  <si>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</si>
  <si>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</si>
  <si>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</si>
  <si>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</si>
  <si>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</si>
  <si>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</si>
  <si>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</si>
  <si>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</si>
  <si>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</si>
  <si>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</si>
  <si>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</si>
  <si>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</si>
  <si>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</si>
  <si>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</si>
  <si>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</si>
  <si>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</si>
  <si>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</si>
  <si>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</si>
  <si>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</si>
  <si>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</si>
  <si>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</si>
  <si>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</si>
  <si>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</si>
  <si>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</si>
  <si>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</si>
  <si>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</si>
  <si>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</si>
  <si>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</si>
  <si>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</si>
  <si>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</si>
  <si>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</si>
  <si>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</si>
  <si>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</si>
  <si>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</si>
  <si>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</si>
  <si>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</si>
  <si>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</si>
  <si>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</si>
  <si>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</si>
  <si>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</si>
  <si>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</si>
  <si>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</si>
  <si>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</si>
  <si>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</si>
  <si>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</si>
  <si>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</si>
  <si>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</si>
  <si>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</si>
  <si>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</si>
  <si>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</si>
  <si>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</si>
  <si>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</si>
  <si>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</si>
  <si>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</si>
  <si>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</si>
  <si>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</si>
  <si>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</si>
  <si>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</si>
  <si>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</si>
  <si>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</si>
  <si>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</si>
  <si>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</si>
  <si>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</si>
  <si>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</si>
  <si>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</si>
  <si>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</si>
  <si>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</si>
  <si>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</si>
  <si>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</si>
  <si>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</si>
  <si>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</si>
  <si>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</si>
  <si>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</si>
  <si>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</si>
  <si>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</si>
  <si>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</si>
  <si>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</si>
  <si>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</si>
  <si>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</si>
  <si>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</si>
  <si>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</si>
  <si>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</si>
  <si>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</si>
  <si>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</si>
  <si>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</si>
  <si>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</si>
  <si>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</si>
  <si>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</si>
  <si>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</si>
  <si>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</si>
  <si>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</si>
  <si>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</si>
  <si>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</si>
  <si>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</si>
  <si>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</si>
  <si>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</si>
  <si>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</si>
  <si>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</si>
  <si>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</si>
  <si>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</si>
  <si>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</si>
  <si>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</si>
  <si>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</si>
  <si>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</si>
  <si>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</si>
  <si>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</si>
  <si>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</si>
  <si>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</si>
  <si>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</si>
  <si>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</si>
  <si>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</si>
  <si>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</si>
  <si>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</si>
  <si>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</si>
  <si>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</si>
  <si>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</si>
  <si>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</si>
  <si>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</si>
  <si>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</si>
  <si>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</si>
  <si>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</si>
  <si>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</si>
  <si>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</si>
  <si>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</si>
  <si>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</si>
  <si>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</si>
  <si>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</si>
  <si>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</si>
  <si>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</si>
  <si>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</si>
  <si>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</si>
  <si>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</si>
  <si>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</si>
  <si>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</si>
  <si>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</si>
  <si>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</si>
  <si>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</si>
  <si>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</si>
  <si>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</si>
  <si>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</si>
  <si>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</si>
  <si>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</si>
  <si>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</si>
  <si>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</si>
  <si>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</si>
  <si>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</si>
  <si>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</si>
  <si>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</si>
  <si>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</si>
  <si>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</si>
  <si>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</si>
  <si>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</si>
  <si>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</si>
  <si>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</si>
  <si>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</si>
  <si>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</si>
  <si>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</si>
  <si>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</si>
  <si>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</si>
  <si>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</si>
  <si>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</si>
  <si>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</si>
  <si>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</si>
  <si>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</si>
  <si>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</si>
  <si>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</si>
  <si>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</si>
  <si>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</si>
  <si>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</si>
  <si>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</si>
  <si>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</si>
  <si>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</si>
  <si>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</si>
  <si>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</si>
  <si>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</si>
  <si>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</si>
  <si>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</si>
  <si>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</si>
  <si>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</si>
  <si>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</si>
  <si>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</si>
  <si>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</si>
  <si>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</si>
  <si>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</si>
  <si>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</si>
  <si>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</si>
  <si>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</si>
  <si>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</si>
  <si>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</si>
  <si>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</si>
  <si>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</si>
  <si>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</si>
  <si>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</si>
  <si>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</si>
  <si>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</si>
  <si>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</si>
  <si>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</si>
  <si>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</si>
  <si>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</si>
  <si>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</si>
  <si>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</si>
  <si>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</si>
  <si>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</si>
  <si>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</si>
  <si>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</si>
  <si>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</si>
  <si>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</si>
  <si>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</si>
  <si>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</si>
  <si>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</si>
  <si>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</si>
  <si>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</si>
  <si>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</si>
  <si>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</si>
  <si>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</si>
  <si>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</si>
  <si>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</si>
  <si>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</si>
  <si>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</si>
  <si>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</si>
  <si>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</si>
  <si>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</si>
  <si>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</si>
  <si>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</si>
  <si>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</si>
  <si>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</si>
  <si>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</si>
  <si>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</si>
  <si>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</si>
  <si>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</si>
  <si>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</si>
  <si>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</si>
  <si>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</si>
  <si>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</si>
  <si>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</si>
  <si>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</si>
  <si>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</si>
  <si>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</si>
  <si>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</si>
  <si>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</si>
  <si>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</si>
  <si>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</si>
  <si>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</si>
  <si>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</si>
  <si>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</si>
  <si>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</si>
  <si>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</si>
  <si>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</si>
  <si>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</si>
  <si>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</si>
  <si>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</si>
  <si>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</si>
  <si>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</si>
  <si>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</si>
  <si>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</si>
  <si>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</si>
  <si>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</si>
  <si>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</si>
  <si>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</si>
  <si>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</si>
  <si>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</si>
  <si>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</si>
  <si>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</si>
  <si>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</si>
  <si>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</si>
  <si>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</si>
  <si>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</si>
  <si>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</si>
  <si>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</si>
  <si>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</si>
  <si>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</si>
  <si>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</si>
  <si>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</si>
  <si>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</si>
  <si>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</si>
  <si>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</si>
  <si>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</si>
  <si>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</si>
  <si>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</si>
  <si>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</si>
  <si>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</si>
  <si>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</si>
  <si>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</si>
  <si>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</si>
  <si>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</si>
  <si>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</si>
  <si>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</si>
  <si>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</si>
  <si>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</si>
  <si>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</si>
  <si>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</si>
  <si>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</si>
  <si>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</si>
  <si>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</si>
  <si>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</si>
  <si>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</si>
  <si>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</si>
  <si>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</si>
  <si>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</si>
  <si>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</si>
  <si>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</si>
  <si>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</si>
  <si>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</si>
  <si>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</si>
  <si>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</si>
  <si>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</si>
  <si>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</si>
  <si>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</si>
  <si>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</si>
  <si>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</si>
  <si>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</si>
  <si>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</si>
  <si>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</si>
  <si>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</si>
  <si>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</si>
  <si>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</si>
  <si>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</si>
  <si>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</si>
  <si>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</si>
  <si>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</si>
  <si>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</si>
  <si>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</si>
  <si>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</si>
  <si>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</si>
  <si>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</si>
  <si>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</si>
  <si>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</si>
  <si>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</si>
  <si>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</si>
  <si>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</si>
  <si>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</si>
  <si>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</si>
  <si>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</si>
  <si>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</si>
  <si>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</si>
  <si>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</si>
  <si>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</si>
  <si>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</si>
  <si>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</si>
  <si>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</si>
  <si>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</si>
  <si>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</si>
  <si>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</si>
  <si>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</si>
  <si>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</si>
  <si>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</si>
  <si>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</si>
  <si>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</si>
  <si>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</si>
  <si>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</si>
  <si>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</si>
  <si>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</si>
  <si>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</si>
  <si>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</si>
  <si>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</si>
  <si>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</si>
  <si>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</si>
  <si>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</si>
  <si>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</si>
  <si>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</si>
  <si>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</si>
  <si>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</si>
  <si>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</si>
  <si>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</si>
  <si>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</si>
  <si>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</si>
  <si>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</si>
  <si>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</si>
  <si>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</si>
  <si>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</si>
  <si>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</si>
  <si>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</si>
  <si>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</si>
  <si>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</si>
  <si>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</si>
  <si>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</si>
  <si>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</si>
  <si>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</si>
  <si>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</si>
  <si>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</si>
  <si>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</si>
  <si>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</si>
  <si>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</si>
  <si>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</si>
  <si>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</si>
  <si>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</si>
  <si>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</si>
  <si>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</si>
  <si>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</si>
  <si>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</si>
  <si>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</si>
  <si>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</si>
  <si>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</si>
  <si>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</si>
  <si>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</si>
  <si>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</si>
  <si>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</si>
  <si>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</si>
  <si>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</si>
  <si>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</si>
  <si>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</si>
  <si>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</si>
  <si>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</si>
  <si>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</si>
  <si>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</si>
  <si>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</si>
  <si>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</si>
  <si>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</si>
  <si>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</si>
  <si>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</si>
  <si>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</si>
  <si>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</si>
  <si>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</si>
  <si>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</si>
  <si>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</si>
  <si>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</si>
  <si>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</si>
  <si>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</si>
  <si>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</si>
  <si>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</si>
  <si>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</si>
  <si>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</si>
  <si>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</si>
  <si>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</si>
  <si>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</si>
  <si>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</si>
  <si>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</si>
  <si>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</si>
  <si>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</si>
  <si>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</si>
  <si>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</si>
  <si>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</si>
  <si>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</si>
  <si>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</si>
  <si>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</si>
  <si>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</si>
  <si>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</si>
  <si>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</si>
  <si>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</si>
  <si>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</si>
  <si>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</si>
  <si>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</si>
  <si>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</si>
  <si>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</si>
  <si>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</si>
  <si>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</si>
  <si>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</si>
  <si>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</si>
  <si>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</si>
  <si>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</si>
  <si>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</si>
  <si>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</si>
  <si>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</si>
  <si>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</si>
  <si>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</si>
  <si>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</si>
  <si>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</si>
  <si>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</si>
  <si>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</si>
  <si>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</si>
  <si>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</si>
  <si>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</si>
  <si>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</si>
  <si>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</si>
  <si>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</si>
  <si>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</si>
  <si>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</si>
  <si>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</si>
  <si>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</si>
  <si>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</si>
  <si>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</si>
  <si>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</si>
  <si>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</si>
  <si>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</si>
  <si>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</si>
  <si>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</si>
  <si>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</si>
  <si>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</si>
  <si>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</si>
  <si>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</si>
  <si>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</si>
  <si>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</si>
  <si>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</si>
  <si>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</si>
  <si>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</si>
  <si>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</si>
  <si>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</si>
  <si>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</si>
  <si>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</si>
  <si>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</si>
  <si>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</si>
  <si>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</si>
  <si>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</si>
  <si>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</si>
  <si>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</si>
  <si>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</si>
  <si>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</si>
  <si>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</si>
  <si>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</si>
  <si>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</si>
  <si>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</si>
  <si>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</si>
  <si>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</si>
  <si>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</si>
  <si>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</si>
  <si>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</si>
  <si>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</si>
  <si>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</si>
  <si>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</si>
  <si>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</si>
  <si>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</si>
  <si>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</si>
  <si>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</si>
  <si>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</si>
  <si>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</si>
  <si>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</si>
  <si>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</si>
  <si>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</si>
  <si>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</si>
  <si>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</si>
  <si>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</si>
  <si>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</si>
  <si>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</si>
  <si>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</si>
  <si>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</si>
  <si>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</si>
  <si>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</si>
  <si>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</si>
  <si>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</si>
  <si>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</si>
  <si>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</si>
  <si>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</si>
  <si>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</si>
  <si>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</si>
  <si>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</si>
  <si>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</si>
  <si>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</si>
  <si>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</si>
  <si>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</si>
  <si>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</si>
  <si>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</si>
  <si>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</si>
  <si>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</si>
  <si>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</si>
  <si>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</si>
  <si>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</si>
  <si>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</si>
  <si>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</si>
  <si>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</si>
  <si>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</si>
  <si>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</si>
  <si>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</si>
  <si>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</si>
  <si>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</si>
  <si>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</si>
  <si>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</si>
  <si>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</si>
  <si>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</si>
  <si>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</si>
  <si>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</si>
  <si>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</si>
  <si>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</si>
  <si>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</si>
  <si>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</si>
  <si>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</si>
  <si>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</si>
  <si>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</si>
  <si>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</si>
  <si>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</si>
  <si>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</si>
  <si>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</si>
  <si>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</si>
  <si>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</si>
  <si>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</si>
  <si>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</si>
  <si>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</si>
  <si>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</si>
  <si>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</si>
  <si>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</si>
  <si>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</si>
  <si>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</si>
  <si>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</si>
  <si>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</si>
  <si>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</si>
  <si>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</si>
  <si>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</si>
  <si>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</si>
  <si>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</si>
  <si>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</si>
  <si>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</si>
  <si>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</si>
  <si>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</si>
  <si>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</si>
  <si>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</si>
  <si>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</si>
  <si>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</si>
  <si>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</si>
  <si>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</si>
  <si>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</si>
  <si>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</si>
  <si>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</si>
  <si>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</si>
  <si>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</si>
  <si>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</si>
  <si>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</si>
  <si>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</si>
  <si>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</si>
  <si>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</si>
  <si>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</si>
  <si>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</si>
  <si>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</si>
  <si>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</si>
  <si>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</si>
  <si>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</si>
  <si>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</si>
  <si>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</si>
  <si>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</si>
  <si>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</si>
  <si>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</si>
  <si>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</si>
  <si>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</si>
  <si>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</si>
  <si>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</si>
  <si>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</si>
  <si>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</si>
  <si>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</si>
  <si>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</si>
  <si>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</si>
  <si>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</si>
  <si>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</si>
  <si>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</si>
  <si>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</si>
  <si>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</si>
  <si>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</si>
  <si>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</si>
  <si>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</si>
  <si>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</si>
  <si>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</si>
  <si>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</si>
  <si>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</si>
  <si>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</si>
  <si>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</si>
  <si>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</si>
  <si>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</si>
  <si>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</si>
  <si>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</si>
  <si>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</si>
  <si>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</si>
  <si>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</si>
  <si>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</si>
  <si>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</si>
  <si>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</si>
  <si>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</si>
  <si>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</si>
  <si>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</si>
  <si>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</si>
  <si>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</si>
  <si>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</si>
  <si>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</si>
  <si>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</si>
  <si>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</si>
  <si>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</si>
  <si>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</si>
  <si>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</si>
  <si>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</si>
  <si>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</si>
  <si>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</si>
  <si>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</si>
  <si>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</si>
  <si>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</si>
  <si>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</si>
  <si>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</si>
  <si>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</si>
  <si>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</si>
  <si>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</si>
  <si>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</si>
  <si>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</si>
  <si>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</si>
  <si>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</si>
  <si>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</si>
  <si>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</si>
  <si>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</si>
  <si>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</si>
  <si>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</si>
  <si>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</si>
  <si>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</si>
  <si>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</si>
  <si>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</si>
  <si>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</si>
  <si>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</si>
  <si>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</si>
  <si>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</si>
  <si>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</si>
  <si>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</si>
  <si>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</si>
  <si>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</si>
  <si>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</si>
  <si>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</si>
  <si>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</si>
  <si>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</si>
  <si>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</si>
  <si>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</si>
  <si>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</si>
  <si>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</si>
  <si>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</si>
  <si>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</si>
  <si>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</si>
  <si>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</si>
  <si>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</si>
  <si>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</si>
  <si>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</si>
  <si>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</si>
  <si>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</si>
  <si>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</si>
  <si>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</si>
  <si>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</si>
  <si>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</si>
  <si>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</si>
  <si>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</si>
  <si>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</si>
  <si>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</si>
  <si>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</si>
  <si>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</si>
  <si>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</si>
  <si>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</si>
  <si>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</si>
  <si>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</si>
  <si>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</si>
  <si>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</si>
  <si>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</si>
  <si>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</si>
  <si>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</si>
  <si>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</si>
  <si>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</si>
  <si>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</si>
  <si>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</si>
  <si>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</si>
  <si>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</si>
  <si>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</si>
  <si>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</si>
  <si>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</si>
  <si>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</si>
  <si>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</si>
  <si>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</si>
  <si>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</si>
  <si>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</si>
  <si>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</si>
  <si>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</si>
  <si>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</si>
  <si>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</si>
  <si>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</si>
  <si>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</si>
  <si>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</si>
  <si>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</si>
  <si>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</si>
  <si>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</si>
  <si>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</si>
  <si>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</si>
  <si>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</si>
  <si>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</si>
  <si>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</si>
  <si>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</si>
  <si>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</si>
  <si>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</si>
  <si>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</si>
  <si>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</si>
  <si>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</si>
  <si>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</si>
  <si>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</si>
  <si>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</si>
  <si>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</si>
  <si>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</si>
  <si>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</si>
  <si>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</si>
  <si>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</si>
  <si>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</si>
  <si>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</si>
  <si>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</si>
  <si>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</si>
  <si>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</si>
  <si>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</si>
  <si>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</si>
  <si>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</si>
  <si>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</si>
  <si>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</si>
  <si>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</si>
  <si>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</si>
  <si>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</si>
  <si>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</si>
  <si>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</si>
  <si>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</si>
  <si>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</si>
  <si>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</si>
  <si>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</si>
  <si>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</si>
  <si>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</si>
  <si>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</si>
  <si>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</si>
  <si>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</si>
  <si>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</si>
  <si>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</si>
  <si>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</si>
  <si>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</si>
  <si>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</si>
  <si>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</si>
  <si>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</si>
  <si>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</si>
  <si>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</si>
  <si>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</si>
  <si>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</si>
  <si>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</si>
  <si>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</si>
  <si>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</si>
  <si>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</si>
  <si>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</si>
  <si>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</si>
  <si>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</si>
  <si>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</si>
  <si>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</si>
  <si>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</si>
  <si>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</si>
  <si>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</si>
  <si>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</si>
  <si>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</si>
  <si>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</si>
  <si>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</si>
  <si>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</si>
  <si>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</si>
  <si>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</si>
  <si>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</si>
  <si>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</si>
  <si>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</si>
  <si>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</si>
  <si>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</si>
  <si>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</si>
  <si>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</si>
  <si>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</si>
  <si>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</si>
  <si>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</si>
  <si>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</si>
  <si>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</si>
  <si>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</si>
  <si>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</si>
  <si>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</si>
  <si>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</si>
  <si>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</si>
  <si>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</si>
  <si>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</si>
  <si>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</si>
  <si>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</si>
  <si>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</si>
  <si>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</si>
  <si>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</si>
  <si>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</si>
  <si>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</si>
  <si>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</si>
  <si>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</si>
  <si>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</si>
  <si>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</si>
  <si>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</si>
  <si>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</si>
  <si>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</si>
  <si>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</si>
  <si>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</si>
  <si>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</si>
  <si>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</si>
  <si>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</si>
  <si>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</si>
  <si>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</si>
  <si>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</si>
  <si>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</si>
  <si>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</si>
  <si>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</si>
  <si>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</si>
  <si>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</si>
  <si>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</si>
  <si>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</si>
  <si>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</si>
  <si>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</si>
  <si>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</si>
  <si>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</si>
  <si>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</si>
  <si>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</si>
  <si>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</si>
  <si>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</si>
  <si>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</si>
  <si>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</si>
  <si>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</si>
  <si>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</si>
  <si>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</si>
  <si>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</si>
  <si>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</si>
  <si>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</si>
  <si>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</si>
  <si>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</si>
  <si>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</si>
  <si>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</si>
  <si>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</si>
  <si>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</si>
  <si>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</si>
  <si>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</si>
  <si>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</si>
  <si>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</si>
  <si>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</si>
  <si>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</si>
  <si>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</si>
  <si>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</si>
  <si>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</si>
  <si>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</si>
  <si>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</si>
  <si>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</si>
  <si>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</si>
  <si>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</si>
  <si>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</si>
  <si>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</si>
  <si>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</si>
  <si>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</si>
  <si>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</si>
  <si>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</si>
  <si>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</si>
  <si>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</si>
  <si>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</si>
  <si>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</si>
  <si>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</si>
  <si>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</si>
  <si>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</si>
  <si>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</si>
  <si>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</si>
  <si>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</si>
  <si>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</si>
  <si>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</si>
  <si>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</si>
  <si>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</si>
  <si>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</si>
  <si>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</si>
  <si>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</si>
  <si>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</si>
  <si>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</si>
  <si>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</si>
  <si>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</si>
  <si>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</si>
  <si>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</si>
  <si>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</si>
  <si>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</si>
  <si>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</si>
  <si>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</si>
  <si>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</si>
  <si>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</si>
  <si>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</si>
  <si>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</si>
  <si>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</si>
  <si>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</si>
  <si>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</si>
  <si>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</si>
  <si>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</si>
  <si>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</si>
  <si>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</si>
  <si>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</si>
  <si>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</si>
  <si>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</si>
  <si>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</si>
  <si>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</si>
  <si>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</si>
  <si>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</si>
  <si>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</si>
  <si>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</si>
  <si>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</si>
  <si>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</si>
  <si>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</si>
  <si>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</si>
  <si>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</si>
  <si>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</si>
  <si>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</si>
  <si>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</si>
  <si>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</si>
  <si>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</si>
  <si>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</si>
  <si>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</si>
  <si>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</si>
  <si>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</si>
  <si>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</si>
  <si>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</si>
  <si>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</si>
  <si>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</si>
  <si>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</si>
  <si>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</si>
  <si>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</si>
  <si>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</si>
  <si>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</si>
  <si>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</si>
  <si>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</si>
  <si>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</si>
  <si>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</si>
  <si>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</si>
  <si>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</si>
  <si>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</si>
  <si>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</si>
  <si>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</si>
  <si>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</si>
  <si>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</si>
  <si>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</si>
  <si>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</si>
  <si>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</si>
  <si>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</si>
  <si>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</si>
  <si>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</si>
  <si>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</si>
  <si>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</si>
  <si>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</si>
  <si>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</si>
  <si>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</si>
  <si>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</si>
  <si>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</si>
  <si>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</si>
  <si>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</si>
  <si>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</si>
  <si>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</si>
  <si>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</si>
  <si>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</si>
  <si>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</si>
  <si>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</si>
  <si>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</si>
  <si>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</si>
  <si>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</si>
  <si>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</si>
  <si>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</si>
  <si>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</si>
  <si>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</si>
  <si>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</si>
  <si>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</si>
  <si>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</si>
  <si>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</si>
  <si>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</si>
  <si>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</si>
  <si>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</si>
  <si>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</si>
  <si>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</si>
  <si>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</si>
  <si>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</si>
  <si>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</si>
  <si>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</si>
  <si>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</si>
  <si>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</si>
  <si>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</si>
  <si>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</si>
  <si>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</si>
  <si>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</si>
  <si>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</si>
  <si>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</si>
  <si>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</si>
  <si>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</si>
  <si>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</si>
  <si>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</si>
  <si>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</si>
  <si>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</si>
  <si>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</si>
  <si>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</si>
  <si>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</si>
  <si>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</si>
  <si>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</si>
  <si>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</si>
  <si>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</si>
  <si>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</si>
  <si>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</si>
  <si>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</si>
  <si>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</si>
  <si>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</si>
  <si>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</si>
  <si>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</si>
  <si>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</si>
  <si>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</si>
  <si>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</si>
  <si>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</si>
  <si>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</si>
  <si>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</si>
  <si>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</si>
  <si>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</si>
  <si>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</si>
  <si>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</si>
  <si>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</si>
  <si>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</si>
  <si>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</si>
  <si>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</si>
  <si>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</si>
  <si>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</si>
  <si>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</si>
  <si>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</si>
  <si>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</si>
  <si>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</si>
  <si>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</si>
  <si>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</si>
  <si>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</si>
  <si>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</si>
  <si>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</si>
  <si>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</si>
  <si>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</si>
  <si>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</si>
  <si>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</si>
  <si>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</si>
  <si>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</si>
  <si>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</si>
  <si>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</si>
  <si>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</si>
  <si>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</si>
  <si>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</si>
  <si>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</si>
  <si>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</si>
  <si>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</si>
  <si>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</si>
  <si>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</si>
  <si>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</si>
  <si>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</si>
  <si>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</si>
  <si>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</si>
  <si>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</si>
  <si>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</si>
  <si>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</si>
  <si>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</si>
  <si>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</si>
  <si>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</si>
  <si>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</si>
  <si>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</si>
  <si>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</si>
  <si>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</si>
  <si>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</si>
  <si>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</si>
  <si>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</si>
  <si>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</si>
  <si>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</si>
  <si>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</si>
  <si>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</si>
  <si>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</si>
  <si>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</si>
  <si>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</si>
  <si>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</si>
  <si>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</si>
  <si>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</si>
  <si>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</si>
  <si>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</si>
  <si>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</si>
  <si>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</si>
  <si>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</si>
  <si>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</si>
  <si>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</si>
  <si>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</si>
  <si>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</si>
  <si>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</si>
  <si>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</si>
  <si>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</si>
  <si>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</si>
  <si>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</si>
  <si>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</si>
  <si>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</si>
  <si>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</si>
  <si>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</si>
  <si>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</si>
  <si>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</si>
  <si>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</si>
  <si>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</si>
  <si>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</si>
  <si>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</si>
  <si>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</si>
  <si>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</si>
  <si>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</si>
  <si>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</si>
  <si>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</si>
  <si>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</si>
  <si>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</si>
  <si>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</si>
  <si>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</si>
  <si>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</si>
  <si>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</si>
  <si>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</si>
  <si>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</si>
  <si>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</si>
  <si>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</si>
  <si>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</si>
  <si>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</si>
  <si>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</si>
  <si>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</si>
  <si>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</si>
  <si>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</si>
  <si>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</si>
  <si>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</si>
  <si>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</si>
  <si>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</si>
  <si>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</si>
  <si>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</si>
  <si>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</si>
  <si>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</si>
  <si>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</si>
  <si>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</si>
  <si>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</si>
  <si>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</si>
  <si>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</si>
  <si>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</si>
  <si>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</si>
  <si>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</si>
  <si>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</si>
  <si>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</si>
  <si>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</si>
  <si>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</si>
  <si>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</si>
  <si>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</si>
  <si>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</si>
  <si>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</si>
  <si>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</si>
  <si>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</si>
  <si>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</si>
  <si>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</si>
  <si>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</si>
  <si>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</si>
  <si>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</si>
  <si>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</si>
  <si>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</si>
  <si>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</si>
  <si>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</si>
  <si>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</si>
  <si>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</si>
  <si>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</si>
  <si>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</si>
  <si>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</si>
  <si>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</si>
  <si>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</si>
  <si>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</si>
  <si>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</si>
  <si>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</si>
  <si>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</si>
  <si>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</si>
  <si>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</si>
  <si>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</si>
  <si>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</si>
  <si>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</si>
  <si>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</si>
  <si>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</si>
  <si>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</si>
  <si>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</si>
  <si>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</si>
  <si>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</si>
  <si>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</si>
  <si>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</si>
  <si>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</si>
  <si>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</si>
  <si>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</si>
  <si>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</si>
  <si>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</si>
  <si>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</si>
  <si>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</si>
  <si>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</si>
  <si>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</si>
  <si>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</si>
  <si>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</si>
  <si>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</si>
  <si>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</si>
  <si>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</si>
  <si>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</si>
  <si>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</si>
  <si>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</si>
  <si>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</si>
  <si>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</si>
  <si>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</si>
  <si>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</si>
  <si>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</si>
  <si>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</si>
  <si>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</si>
  <si>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</si>
  <si>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</si>
  <si>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</si>
  <si>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</si>
  <si>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</si>
  <si>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</si>
  <si>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</si>
  <si>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</si>
  <si>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</si>
  <si>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</si>
  <si>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</si>
  <si>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</si>
  <si>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</si>
  <si>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</si>
  <si>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</si>
  <si>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</si>
  <si>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</si>
  <si>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</si>
  <si>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</si>
  <si>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</si>
  <si>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</si>
  <si>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</si>
  <si>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</si>
  <si>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</si>
  <si>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</si>
  <si>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</si>
  <si>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</si>
  <si>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</si>
  <si>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</si>
  <si>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</si>
  <si>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</si>
  <si>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</si>
  <si>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</si>
  <si>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</si>
  <si>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</si>
  <si>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</si>
  <si>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</si>
  <si>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</si>
  <si>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</si>
  <si>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</si>
  <si>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</si>
  <si>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</si>
  <si>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</si>
  <si>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</si>
  <si>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</si>
  <si>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</si>
  <si>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</si>
  <si>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</si>
  <si>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</si>
  <si>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</si>
  <si>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</si>
  <si>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</si>
  <si>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</si>
  <si>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</si>
  <si>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</si>
  <si>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</si>
  <si>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</si>
  <si>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</si>
  <si>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</si>
  <si>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</si>
  <si>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</si>
  <si>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</si>
  <si>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</si>
  <si>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</si>
  <si>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</si>
  <si>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</si>
  <si>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</si>
  <si>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</si>
  <si>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</si>
  <si>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</si>
  <si>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</si>
  <si>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</si>
  <si>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</si>
  <si>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</si>
  <si>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</si>
  <si>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</si>
  <si>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</si>
  <si>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</si>
  <si>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</si>
  <si>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</si>
  <si>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</si>
  <si>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</si>
  <si>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</si>
  <si>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</si>
  <si>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</si>
  <si>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</si>
  <si>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</si>
  <si>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</si>
  <si>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</si>
  <si>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</si>
  <si>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</si>
  <si>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</si>
  <si>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</si>
  <si>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</si>
  <si>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</si>
  <si>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</si>
  <si>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</si>
  <si>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</si>
  <si>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</si>
  <si>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</si>
  <si>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</si>
  <si>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</si>
  <si>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</si>
  <si>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</si>
  <si>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</si>
  <si>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</si>
  <si>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</si>
  <si>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</si>
  <si>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</si>
  <si>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</si>
  <si>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</si>
  <si>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</si>
  <si>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</si>
  <si>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</si>
  <si>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</si>
  <si>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</si>
  <si>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</si>
  <si>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</si>
  <si>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</si>
  <si>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</si>
  <si>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</si>
  <si>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</si>
  <si>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</si>
  <si>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</si>
  <si>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</si>
  <si>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</si>
  <si>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</si>
  <si>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</si>
  <si>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</si>
  <si>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</si>
  <si>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</si>
  <si>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</si>
  <si>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</si>
  <si>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</si>
  <si>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</si>
  <si>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</si>
  <si>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</si>
  <si>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</si>
  <si>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</si>
  <si>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</si>
  <si>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</si>
  <si>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</si>
  <si>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</si>
  <si>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</si>
  <si>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</si>
  <si>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</si>
  <si>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</si>
  <si>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</si>
  <si>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</si>
  <si>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</si>
  <si>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</si>
  <si>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</si>
  <si>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</si>
  <si>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</si>
  <si>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</si>
  <si>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</si>
  <si>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</si>
  <si>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</si>
  <si>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</si>
  <si>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</si>
  <si>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</si>
  <si>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</si>
  <si>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</si>
  <si>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</si>
  <si>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</si>
  <si>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</si>
  <si>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</si>
  <si>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</si>
  <si>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</si>
  <si>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</si>
  <si>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</si>
  <si>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</si>
  <si>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</si>
  <si>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</si>
  <si>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</si>
  <si>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</si>
  <si>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</si>
  <si>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</si>
  <si>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</si>
  <si>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</si>
  <si>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</si>
  <si>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</si>
  <si>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</si>
  <si>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</si>
  <si>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</si>
  <si>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</si>
  <si>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</si>
  <si>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</si>
  <si>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</si>
  <si>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</si>
  <si>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</si>
  <si>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</si>
  <si>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</si>
  <si>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</si>
  <si>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</si>
  <si>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</si>
  <si>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</si>
  <si>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</si>
  <si>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</si>
  <si>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</si>
  <si>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</si>
  <si>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</si>
  <si>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</si>
  <si>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</si>
  <si>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</si>
  <si>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</si>
  <si>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</si>
  <si>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</si>
  <si>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</si>
  <si>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</si>
  <si>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</si>
  <si>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</si>
  <si>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</si>
  <si>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</si>
  <si>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</si>
  <si>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</si>
  <si>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</si>
  <si>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</si>
  <si>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</si>
  <si>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</si>
  <si>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</si>
  <si>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</si>
  <si>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</si>
  <si>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</si>
  <si>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</si>
  <si>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</si>
  <si>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</si>
  <si>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</si>
  <si>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</si>
  <si>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</si>
  <si>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</si>
  <si>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</si>
  <si>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</si>
  <si>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</si>
  <si>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</si>
  <si>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</si>
  <si>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</si>
  <si>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</si>
  <si>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</si>
  <si>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</si>
  <si>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</si>
  <si>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</si>
  <si>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</si>
  <si>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</si>
  <si>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</si>
  <si>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</si>
  <si>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</si>
  <si>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</si>
  <si>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</si>
  <si>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</si>
  <si>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</si>
  <si>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</si>
  <si>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</si>
  <si>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</si>
  <si>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</si>
  <si>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</si>
  <si>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</si>
  <si>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</si>
  <si>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</si>
  <si>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</si>
  <si>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</si>
  <si>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</si>
  <si>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</si>
  <si>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</si>
  <si>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</si>
  <si>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</si>
  <si>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</si>
  <si>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</si>
  <si>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</si>
  <si>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</si>
  <si>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</si>
  <si>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</si>
  <si>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</si>
  <si>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</si>
  <si>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</si>
  <si>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</si>
  <si>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</si>
  <si>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</si>
  <si>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</si>
  <si>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</si>
  <si>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</si>
  <si>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</si>
  <si>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</si>
  <si>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</si>
  <si>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</si>
  <si>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</si>
  <si>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</si>
  <si>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</si>
  <si>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</si>
  <si>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</si>
  <si>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</si>
  <si>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</si>
  <si>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</si>
  <si>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</si>
  <si>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</si>
  <si>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</si>
  <si>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</si>
  <si>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</si>
  <si>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</si>
  <si>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</si>
  <si>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</si>
  <si>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</si>
  <si>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</si>
  <si>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</si>
  <si>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</si>
  <si>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</si>
  <si>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</si>
  <si>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</si>
  <si>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</si>
  <si>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</si>
  <si>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</si>
  <si>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</si>
  <si>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</si>
  <si>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</si>
  <si>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</si>
  <si>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</si>
  <si>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</si>
  <si>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</si>
  <si>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</si>
  <si>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</si>
  <si>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</si>
  <si>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</si>
  <si>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</si>
  <si>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</si>
  <si>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</si>
  <si>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</si>
  <si>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</si>
  <si>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</si>
  <si>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</si>
  <si>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</si>
  <si>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</si>
  <si>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</si>
  <si>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</si>
  <si>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</si>
  <si>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</si>
  <si>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</si>
  <si>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</si>
  <si>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</si>
  <si>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</si>
  <si>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</si>
  <si>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</si>
  <si>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</si>
  <si>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</si>
  <si>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</si>
  <si>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</si>
  <si>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</si>
  <si>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</si>
  <si>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</si>
  <si>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</si>
  <si>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</si>
  <si>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</si>
  <si>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</si>
  <si>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</si>
  <si>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</si>
  <si>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</si>
  <si>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</si>
  <si>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</si>
  <si>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</si>
  <si>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</si>
  <si>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</si>
  <si>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</si>
  <si>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</si>
  <si>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</si>
  <si>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</si>
  <si>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</si>
  <si>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</si>
  <si>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</si>
  <si>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</si>
  <si>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</si>
  <si>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</si>
  <si>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</si>
  <si>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</si>
  <si>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</si>
  <si>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</si>
  <si>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</si>
  <si>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</si>
  <si>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</si>
  <si>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</si>
  <si>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</si>
  <si>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</si>
  <si>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</si>
  <si>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</si>
  <si>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</si>
  <si>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</si>
  <si>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</si>
  <si>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</si>
  <si>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</si>
  <si>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</si>
  <si>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</si>
  <si>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</si>
  <si>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</si>
  <si>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</si>
  <si>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</si>
  <si>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</si>
  <si>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</si>
  <si>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</si>
  <si>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</si>
  <si>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</si>
  <si>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</si>
  <si>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</si>
  <si>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</si>
  <si>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</si>
  <si>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</si>
  <si>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</si>
  <si>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</si>
  <si>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</si>
  <si>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</si>
  <si>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</si>
  <si>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</si>
  <si>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</si>
  <si>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</si>
  <si>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</si>
  <si>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</si>
  <si>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</si>
  <si>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</si>
  <si>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</si>
  <si>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</si>
  <si>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</si>
  <si>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</si>
  <si>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</si>
  <si>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</si>
  <si>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</si>
  <si>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</si>
  <si>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</si>
  <si>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</si>
  <si>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</si>
  <si>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</si>
  <si>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</si>
  <si>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</si>
  <si>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</si>
  <si>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</si>
  <si>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</si>
  <si>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</si>
  <si>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</si>
  <si>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</si>
  <si>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</si>
  <si>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</si>
  <si>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</si>
  <si>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</si>
  <si>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</si>
  <si>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</si>
  <si>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</si>
  <si>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</si>
  <si>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</si>
  <si>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</si>
  <si>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</si>
  <si>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</si>
  <si>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</si>
  <si>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</si>
  <si>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</si>
  <si>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</si>
  <si>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</si>
  <si>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</si>
  <si>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</si>
  <si>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</si>
  <si>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</si>
  <si>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</si>
  <si>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</si>
  <si>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</si>
  <si>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</si>
  <si>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</si>
  <si>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</si>
  <si>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</si>
  <si>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</si>
  <si>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</si>
  <si>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</si>
  <si>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</si>
  <si>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</si>
  <si>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</si>
  <si>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</si>
  <si>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</si>
  <si>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</si>
  <si>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</si>
  <si>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</si>
  <si>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</si>
  <si>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</si>
  <si>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</si>
  <si>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</si>
  <si>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</si>
  <si>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</si>
  <si>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</si>
  <si>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</si>
  <si>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</si>
  <si>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</si>
  <si>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</si>
  <si>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</si>
  <si>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</si>
  <si>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</si>
  <si>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</si>
  <si>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</si>
  <si>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</si>
  <si>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</si>
  <si>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</si>
  <si>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</si>
  <si>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</si>
  <si>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</si>
  <si>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</si>
  <si>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</si>
  <si>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</si>
  <si>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</si>
  <si>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</si>
  <si>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</si>
  <si>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</si>
  <si>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</si>
  <si>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</si>
  <si>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</si>
  <si>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</si>
  <si>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</si>
  <si>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</si>
  <si>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</si>
  <si>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</si>
  <si>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</si>
  <si>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</si>
  <si>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</si>
  <si>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</si>
  <si>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</si>
  <si>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</si>
  <si>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</si>
  <si>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</si>
  <si>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</si>
  <si>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</si>
  <si>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</si>
  <si>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</si>
  <si>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</si>
  <si>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</si>
  <si>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</si>
  <si>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</si>
  <si>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</si>
  <si>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</si>
  <si>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</si>
  <si>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</si>
  <si>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</si>
  <si>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</si>
  <si>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</si>
  <si>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</si>
  <si>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</si>
  <si>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</si>
  <si>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</si>
  <si>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</si>
  <si>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</si>
  <si>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</si>
  <si>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</si>
  <si>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</si>
  <si>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</si>
  <si>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</si>
  <si>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</si>
  <si>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</si>
  <si>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</si>
  <si>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</si>
  <si>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</si>
  <si>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</si>
  <si>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</si>
  <si>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</si>
  <si>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</si>
  <si>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</si>
  <si>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</si>
  <si>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</si>
  <si>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</si>
  <si>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</si>
  <si>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</si>
  <si>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</si>
  <si>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</si>
  <si>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</si>
  <si>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</si>
  <si>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</si>
  <si>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</si>
  <si>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</si>
  <si>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</si>
  <si>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</si>
  <si>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</si>
  <si>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</si>
  <si>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</si>
  <si>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</si>
  <si>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</si>
  <si>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</si>
  <si>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</si>
  <si>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</si>
  <si>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</si>
  <si>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</si>
  <si>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</si>
  <si>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</si>
  <si>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</si>
  <si>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</si>
  <si>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</si>
  <si>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</si>
  <si>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</si>
  <si>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</si>
  <si>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</si>
  <si>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</si>
  <si>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</si>
  <si>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</si>
  <si>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</si>
  <si>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</si>
  <si>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</si>
  <si>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</si>
  <si>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</si>
  <si>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</si>
  <si>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</si>
  <si>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</si>
  <si>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</si>
  <si>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</si>
  <si>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</si>
  <si>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</si>
  <si>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</si>
  <si>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</si>
  <si>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</si>
  <si>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</si>
  <si>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</si>
  <si>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</si>
  <si>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</si>
  <si>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</si>
  <si>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</si>
  <si>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</si>
  <si>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</si>
  <si>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</si>
  <si>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</si>
  <si>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</si>
  <si>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</si>
  <si>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</si>
  <si>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</si>
  <si>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</si>
  <si>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</si>
  <si>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</si>
  <si>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</si>
  <si>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</si>
  <si>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</si>
  <si>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</si>
  <si>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</si>
  <si>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</si>
  <si>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</si>
  <si>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</si>
  <si>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</si>
  <si>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</si>
  <si>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</si>
  <si>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</si>
  <si>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</si>
  <si>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</si>
  <si>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</si>
  <si>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</si>
  <si>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</si>
  <si>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</si>
  <si>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</si>
  <si>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</si>
  <si>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</si>
  <si>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</si>
  <si>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</si>
  <si>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</si>
  <si>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</si>
  <si>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</si>
  <si>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</si>
  <si>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</si>
  <si>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</si>
  <si>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</si>
  <si>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</si>
  <si>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</si>
  <si>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</si>
  <si>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</si>
  <si>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</si>
  <si>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</si>
  <si>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</si>
  <si>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</si>
  <si>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</si>
  <si>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</si>
  <si>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</si>
  <si>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</si>
  <si>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</si>
  <si>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</si>
  <si>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</si>
  <si>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</si>
  <si>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</si>
  <si>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</si>
  <si>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</si>
  <si>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</si>
  <si>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</si>
  <si>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</si>
  <si>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</si>
  <si>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</si>
  <si>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</si>
  <si>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</si>
  <si>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</si>
  <si>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</si>
  <si>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</si>
  <si>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</si>
  <si>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</si>
  <si>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</si>
  <si>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</si>
  <si>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</si>
  <si>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</si>
  <si>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</si>
  <si>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</si>
  <si>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</si>
  <si>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</si>
  <si>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</si>
  <si>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</si>
  <si>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</si>
  <si>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</si>
  <si>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</si>
  <si>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</si>
  <si>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</si>
  <si>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</si>
  <si>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</si>
  <si>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</si>
  <si>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</si>
  <si>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</si>
  <si>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</si>
  <si>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</si>
  <si>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</si>
  <si>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</si>
  <si>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</si>
  <si>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</si>
  <si>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</si>
  <si>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</si>
  <si>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</si>
  <si>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</si>
  <si>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</si>
  <si>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</si>
  <si>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</si>
  <si>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</si>
  <si>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</si>
  <si>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</si>
  <si>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</si>
  <si>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</si>
  <si>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</si>
  <si>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</si>
  <si>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</si>
  <si>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</si>
  <si>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</si>
  <si>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</si>
  <si>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</si>
  <si>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</si>
  <si>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</si>
  <si>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</si>
  <si>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</si>
  <si>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</si>
  <si>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</si>
  <si>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</si>
  <si>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</si>
  <si>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</si>
  <si>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</si>
  <si>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</si>
  <si>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</si>
  <si>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</si>
  <si>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</si>
  <si>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</si>
  <si>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</si>
  <si>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</si>
  <si>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</si>
  <si>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</si>
  <si>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</si>
  <si>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</si>
  <si>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</si>
  <si>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</si>
  <si>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</si>
  <si>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</si>
  <si>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</si>
  <si>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</si>
  <si>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</si>
  <si>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</si>
  <si>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</si>
  <si>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</si>
  <si>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</si>
  <si>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</si>
  <si>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</si>
  <si>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</si>
  <si>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</si>
  <si>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</si>
  <si>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</si>
  <si>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</si>
  <si>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</si>
  <si>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</si>
  <si>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</si>
  <si>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</si>
  <si>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</si>
  <si>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</si>
  <si>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</si>
  <si>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</si>
  <si>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</si>
  <si>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</si>
  <si>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</si>
  <si>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</si>
  <si>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</si>
  <si>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</si>
  <si>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</si>
  <si>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</si>
  <si>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</si>
  <si>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</si>
  <si>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</si>
  <si>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</si>
  <si>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</si>
  <si>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</si>
  <si>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</si>
  <si>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</si>
  <si>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</si>
  <si>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</si>
  <si>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</si>
  <si>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</si>
  <si>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</si>
  <si>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</si>
  <si>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</si>
  <si>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</si>
  <si>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</si>
  <si>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</si>
  <si>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</si>
  <si>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</si>
  <si>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</si>
  <si>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</si>
  <si>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</si>
  <si>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</si>
  <si>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</si>
  <si>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</si>
  <si>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</si>
  <si>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</si>
  <si>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</si>
  <si>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</si>
  <si>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</si>
  <si>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</si>
  <si>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</si>
  <si>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</si>
  <si>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</si>
  <si>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</si>
  <si>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</si>
  <si>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</si>
  <si>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</si>
  <si>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</si>
  <si>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</si>
  <si>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</si>
  <si>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</si>
  <si>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</si>
  <si>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</si>
  <si>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</si>
  <si>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</si>
  <si>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</si>
  <si>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</si>
  <si>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</si>
  <si>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</si>
  <si>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</si>
  <si>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</si>
  <si>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</si>
  <si>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</si>
  <si>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</si>
  <si>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</si>
  <si>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</si>
  <si>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</si>
  <si>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</si>
  <si>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</si>
  <si>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</si>
  <si>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</si>
  <si>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</si>
  <si>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</si>
  <si>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</si>
  <si>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</si>
  <si>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</si>
  <si>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</si>
  <si>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</si>
  <si>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</si>
  <si>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</si>
  <si>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</si>
  <si>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</si>
  <si>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</si>
  <si>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</si>
  <si>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</si>
  <si>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</si>
  <si>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</si>
  <si>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</si>
  <si>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</si>
  <si>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</si>
  <si>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</si>
  <si>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</si>
  <si>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</si>
  <si>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</si>
  <si>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</si>
  <si>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</si>
  <si>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</si>
  <si>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</si>
  <si>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</si>
  <si>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</si>
  <si>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</si>
  <si>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</si>
  <si>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</si>
  <si>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</si>
  <si>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</si>
  <si>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</si>
  <si>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</si>
  <si>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</si>
  <si>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</si>
  <si>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</si>
  <si>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</si>
  <si>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</si>
  <si>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</si>
  <si>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</si>
  <si>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</si>
  <si>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</si>
  <si>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</si>
  <si>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</si>
  <si>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</si>
  <si>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</si>
  <si>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</si>
  <si>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</si>
  <si>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</si>
  <si>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</si>
  <si>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</si>
  <si>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</si>
  <si>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</si>
  <si>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</si>
  <si>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</si>
  <si>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</si>
  <si>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</si>
  <si>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</si>
  <si>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</si>
  <si>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</si>
  <si>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</si>
  <si>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</si>
  <si>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</si>
  <si>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</si>
  <si>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</si>
  <si>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</si>
  <si>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</si>
  <si>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</si>
  <si>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</si>
  <si>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</si>
  <si>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</si>
  <si>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</si>
  <si>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</si>
  <si>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</si>
  <si>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</si>
  <si>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</si>
  <si>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</si>
  <si>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</si>
  <si>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</si>
  <si>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</si>
  <si>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</si>
  <si>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</si>
  <si>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</si>
  <si>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</si>
  <si>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</si>
  <si>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</si>
  <si>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</si>
  <si>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</si>
  <si>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</si>
  <si>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</si>
  <si>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</si>
  <si>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</si>
  <si>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</si>
  <si>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</si>
  <si>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</si>
  <si>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</si>
  <si>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</si>
  <si>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</si>
  <si>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</si>
  <si>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</si>
  <si>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</si>
  <si>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</si>
  <si>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</si>
  <si>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</si>
  <si>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</si>
  <si>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</si>
  <si>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</si>
  <si>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</si>
  <si>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</si>
  <si>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</si>
  <si>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</si>
  <si>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</si>
  <si>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</si>
  <si>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</si>
  <si>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</si>
  <si>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</si>
  <si>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</si>
  <si>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</si>
  <si>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</si>
  <si>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</si>
  <si>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</si>
  <si>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</si>
  <si>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</si>
  <si>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</si>
  <si>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</si>
  <si>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</si>
  <si>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</si>
  <si>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</si>
  <si>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</si>
  <si>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</si>
  <si>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</si>
  <si>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</si>
  <si>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</si>
  <si>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</si>
  <si>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</si>
  <si>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</si>
  <si>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</si>
  <si>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</si>
  <si>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</si>
  <si>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</si>
  <si>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</si>
  <si>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</si>
  <si>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</si>
  <si>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</si>
  <si>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</si>
  <si>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</si>
  <si>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</si>
  <si>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</si>
  <si>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</si>
  <si>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</si>
  <si>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</si>
  <si>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</si>
  <si>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</si>
  <si>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</si>
  <si>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</si>
  <si>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</si>
  <si>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</si>
  <si>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</si>
  <si>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</si>
  <si>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</si>
  <si>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</si>
  <si>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</si>
  <si>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</si>
  <si>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</si>
  <si>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</si>
  <si>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</si>
  <si>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</si>
  <si>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</si>
  <si>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</si>
  <si>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</si>
  <si>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</si>
  <si>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</si>
  <si>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</si>
  <si>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</si>
  <si>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</si>
  <si>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</si>
  <si>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</si>
  <si>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</si>
  <si>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</si>
  <si>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</si>
  <si>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</si>
  <si>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</si>
  <si>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</si>
  <si>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</si>
  <si>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</si>
  <si>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</si>
  <si>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</si>
  <si>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</si>
  <si>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</si>
  <si>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</si>
  <si>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</si>
  <si>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</si>
  <si>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</si>
  <si>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</si>
  <si>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</si>
  <si>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</si>
  <si>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</si>
  <si>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</si>
  <si>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</si>
  <si>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</si>
  <si>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</si>
  <si>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</si>
  <si>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</si>
  <si>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</si>
  <si>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</si>
  <si>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</si>
  <si>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</si>
  <si>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</si>
  <si>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</si>
  <si>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</si>
  <si>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</si>
  <si>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</si>
  <si>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</si>
  <si>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</si>
  <si>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</si>
  <si>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</si>
  <si>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</si>
  <si>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</si>
  <si>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</si>
  <si>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</si>
  <si>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</si>
  <si>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</si>
  <si>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</si>
  <si>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</si>
  <si>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</si>
  <si>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</si>
  <si>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</si>
  <si>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</si>
  <si>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</si>
  <si>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</si>
  <si>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</si>
  <si>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</si>
  <si>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</si>
  <si>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</si>
  <si>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</si>
  <si>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</si>
  <si>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</si>
  <si>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</si>
  <si>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</si>
  <si>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</si>
  <si>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</si>
  <si>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</si>
  <si>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</si>
  <si>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</si>
  <si>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</si>
  <si>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</si>
  <si>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</si>
  <si>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</si>
  <si>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</si>
  <si>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</si>
  <si>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</si>
  <si>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</si>
  <si>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</si>
  <si>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</si>
  <si>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</si>
  <si>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</si>
  <si>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</si>
  <si>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</si>
  <si>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</si>
  <si>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</si>
  <si>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</si>
  <si>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</si>
  <si>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</si>
  <si>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</si>
  <si>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</si>
  <si>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</si>
  <si>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</si>
  <si>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</si>
  <si>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</si>
  <si>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</si>
  <si>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</si>
  <si>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</si>
  <si>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</si>
  <si>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</si>
  <si>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</si>
  <si>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</si>
  <si>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</si>
  <si>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</si>
  <si>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</si>
  <si>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</si>
  <si>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</si>
  <si>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</si>
  <si>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</si>
  <si>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</si>
  <si>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</si>
  <si>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</si>
  <si>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</si>
  <si>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</si>
  <si>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</si>
  <si>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</si>
  <si>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</si>
  <si>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</si>
  <si>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</si>
  <si>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</si>
  <si>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</si>
  <si>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</si>
  <si>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</si>
  <si>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</si>
  <si>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</si>
  <si>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</si>
  <si>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</si>
  <si>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</si>
  <si>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</si>
  <si>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</si>
  <si>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</si>
  <si>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</si>
  <si>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</si>
  <si>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</si>
  <si>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</si>
  <si>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</si>
  <si>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</si>
  <si>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</si>
  <si>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</si>
  <si>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</si>
  <si>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</si>
  <si>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</si>
  <si>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</si>
  <si>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</si>
  <si>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</si>
  <si>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</si>
  <si>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</si>
  <si>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</si>
  <si>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</si>
  <si>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</si>
  <si>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</si>
  <si>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</si>
  <si>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</si>
  <si>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</si>
  <si>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</si>
  <si>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</si>
  <si>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</si>
  <si>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</si>
  <si>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</si>
  <si>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</si>
  <si>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</si>
  <si>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</si>
  <si>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</si>
  <si>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</si>
  <si>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</si>
  <si>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</si>
  <si>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</si>
  <si>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</si>
  <si>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</si>
  <si>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</si>
  <si>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</si>
  <si>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</si>
  <si>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</si>
  <si>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</si>
  <si>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</si>
  <si>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</si>
  <si>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</si>
  <si>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</si>
  <si>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</si>
  <si>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</si>
  <si>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</si>
  <si>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</si>
  <si>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</si>
  <si>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</si>
  <si>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</si>
  <si>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</si>
  <si>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</si>
  <si>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</si>
  <si>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</si>
  <si>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</si>
  <si>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</si>
  <si>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</si>
  <si>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</si>
  <si>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</si>
  <si>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</si>
  <si>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</si>
  <si>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</si>
  <si>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</si>
  <si>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</si>
  <si>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</si>
  <si>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</si>
  <si>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</si>
  <si>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</si>
  <si>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</si>
  <si>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</si>
  <si>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</si>
  <si>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</si>
  <si>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</si>
  <si>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</si>
  <si>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</si>
  <si>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</si>
  <si>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</si>
  <si>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</si>
  <si>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</si>
  <si>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</si>
  <si>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</si>
  <si>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</si>
  <si>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</si>
  <si>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</si>
  <si>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</si>
  <si>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</si>
  <si>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</si>
  <si>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</si>
  <si>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</si>
  <si>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</si>
  <si>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</si>
  <si>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</si>
  <si>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</si>
  <si>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</si>
  <si>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</si>
  <si>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</si>
  <si>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</si>
  <si>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</si>
  <si>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</si>
  <si>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</si>
  <si>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</si>
  <si>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</si>
  <si>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</si>
  <si>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</si>
  <si>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</si>
  <si>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</si>
  <si>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</si>
  <si>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</si>
  <si>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</si>
  <si>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</si>
  <si>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</si>
  <si>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</si>
  <si>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</si>
  <si>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</si>
  <si>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</si>
  <si>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</si>
  <si>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</si>
  <si>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</si>
  <si>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</si>
  <si>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</si>
  <si>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</si>
  <si>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</si>
  <si>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</si>
  <si>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</si>
  <si>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</si>
  <si>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</si>
  <si>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</si>
  <si>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</si>
  <si>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</si>
  <si>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</si>
  <si>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</si>
  <si>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</si>
  <si>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</si>
  <si>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</si>
  <si>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</si>
  <si>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</si>
  <si>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</si>
  <si>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</si>
  <si>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</si>
  <si>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</si>
  <si>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</si>
  <si>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</si>
  <si>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</si>
  <si>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</si>
  <si>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</si>
  <si>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</si>
  <si>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</si>
  <si>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</si>
  <si>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</si>
  <si>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</si>
  <si>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</si>
  <si>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</si>
  <si>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</si>
  <si>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</si>
  <si>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</si>
  <si>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</si>
  <si>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</si>
  <si>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</si>
  <si>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</si>
  <si>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</si>
  <si>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</si>
  <si>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</si>
  <si>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</si>
  <si>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</si>
  <si>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</si>
  <si>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</si>
  <si>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</si>
  <si>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</si>
  <si>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</si>
  <si>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</si>
  <si>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</si>
  <si>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</si>
  <si>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</si>
  <si>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</si>
  <si>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</si>
  <si>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</si>
  <si>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</si>
  <si>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</si>
  <si>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</si>
  <si>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</si>
  <si>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</si>
  <si>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</si>
  <si>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</si>
  <si>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</si>
  <si>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</si>
  <si>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</si>
  <si>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</si>
  <si>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</si>
  <si>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</si>
  <si>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</si>
  <si>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</si>
  <si>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</si>
  <si>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</si>
  <si>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房屋所有权证</t>
  </si>
  <si>
    <t>万元</t>
  </si>
  <si>
    <t>楼面单价</t>
  </si>
  <si>
    <t>办公</t>
  </si>
  <si>
    <t>无租约</t>
  </si>
  <si>
    <t>否</t>
  </si>
  <si>
    <t>利息：取LPR加浮动点数</t>
  </si>
  <si>
    <t>钢混</t>
  </si>
  <si>
    <t>非生产用房</t>
  </si>
  <si>
    <t>比较法-住宅</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</si>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</sst>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估价对象为北京市房地产，为XX所有。根据《房屋所有权证》[]，估价对象建筑面积为71.38平方米。根据《》[]，估价对象（分摊）出让国有建设用地使用权面积为平方米。估价对象用途为。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2022年9月13日</v>
      </c>
    </row>
    <row r="10" spans="1:2">
      <c r="A10" s="1139" t="s">
        <v>865</v>
      </c>
      <c r="B10" s="1126" t="str">
        <f>'预评函-1'!A13</f>
        <v>本次估价的“房地产价值”是指在正常市场情况下，在价值时点2022年9月13日，估价对象规划用途为，假定未设立法定优先受偿款下的房地产市场价值。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71.38</v>
      </c>
    </row>
    <row r="19" spans="1:2">
      <c r="A19" s="1139" t="s">
        <v>874</v>
      </c>
      <c r="B19" s="1126">
        <f ca="1">'预评函-2（1）'!D7</f>
        <v>185</v>
      </c>
    </row>
    <row r="20" spans="1:2">
      <c r="A20" s="1139" t="s">
        <v>912</v>
      </c>
      <c r="B20" s="1126" t="str">
        <f>'预评函-2（1）'!C7</f>
        <v>总价（万元）</v>
      </c>
    </row>
    <row r="21" spans="1:2">
      <c r="A21" s="1139" t="s">
        <v>875</v>
      </c>
      <c r="B21" s="1126">
        <f ca="1">'预评函-2（1）'!D9</f>
        <v>25859</v>
      </c>
    </row>
    <row r="22" spans="1:2">
      <c r="A22" s="1139" t="s">
        <v>876</v>
      </c>
      <c r="B22" s="1126" t="str">
        <f ca="1">'预评函-2（1）'!D8</f>
        <v>壹佰捌拾伍万元整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185</v>
      </c>
    </row>
    <row r="30" spans="1:2">
      <c r="A30" s="1139" t="s">
        <v>882</v>
      </c>
      <c r="B30" s="1126" t="str">
        <f ca="1">'预评函-2（1）'!D16</f>
        <v>壹佰捌拾伍万元整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144</v>
      </c>
    </row>
    <row r="38" spans="1:2">
      <c r="A38" s="1139" t="s">
        <v>890</v>
      </c>
      <c r="B38" s="1126">
        <f ca="1">'预评函-2（2）'!E4</f>
        <v>20144</v>
      </c>
    </row>
    <row r="39" spans="1:2">
      <c r="A39" s="1139" t="s">
        <v>891</v>
      </c>
      <c r="B39" s="1126" t="str">
        <f ca="1">'预评函-2（2）'!D5</f>
        <v>壹佰肆拾肆万元整</v>
      </c>
    </row>
    <row r="40" spans="1:2">
      <c r="A40" s="1139" t="s">
        <v>892</v>
      </c>
      <c r="B40" s="1126">
        <f ca="1">'预评函-2（2）'!F4</f>
        <v>41</v>
      </c>
    </row>
    <row r="41" spans="1:2">
      <c r="A41" s="1139" t="s">
        <v>893</v>
      </c>
      <c r="B41" s="1126">
        <f ca="1">'预评函-2（2）'!G4</f>
        <v>5715</v>
      </c>
    </row>
    <row r="42" spans="1:2" s="1136" customFormat="1" ht="15.75" thickBot="1">
      <c r="A42" s="1140" t="s">
        <v>894</v>
      </c>
      <c r="B42" s="1128" t="str">
        <f ca="1">'预评函-2（2）'!F5</f>
        <v>肆拾壹万元整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25859</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14" sqref="F1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c r="C2" s="2808" t="s">
        <v>1291</v>
      </c>
      <c r="D2" s="2509">
        <v>44817</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t="s">
        <v>2479</v>
      </c>
      <c r="C4" s="2809" t="s">
        <v>1294</v>
      </c>
      <c r="D4" s="1357" t="s">
        <v>3031</v>
      </c>
      <c r="E4" s="782"/>
      <c r="F4" s="782"/>
      <c r="G4" s="1121"/>
    </row>
    <row r="5" spans="1:17">
      <c r="A5" s="1358" t="s">
        <v>1295</v>
      </c>
      <c r="B5" s="1359" t="s">
        <v>2480</v>
      </c>
      <c r="C5" s="2810" t="s">
        <v>1296</v>
      </c>
      <c r="D5" s="1361" t="s">
        <v>3032</v>
      </c>
      <c r="E5" s="2811" t="s">
        <v>1297</v>
      </c>
      <c r="F5" s="1361"/>
      <c r="G5" s="1362" t="s">
        <v>1001</v>
      </c>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3033</v>
      </c>
      <c r="C6" s="2515" t="s">
        <v>2481</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3034</v>
      </c>
      <c r="C7" s="1453" t="str">
        <f>IF(B7="自然人","姓名","名称")</f>
        <v>姓名</v>
      </c>
      <c r="D7" s="1366" t="s">
        <v>2480</v>
      </c>
      <c r="E7" s="783"/>
      <c r="F7" s="783"/>
      <c r="G7" s="1122"/>
    </row>
    <row r="8" spans="1:17" ht="13.5" thickTop="1">
      <c r="A8" s="3386" t="s">
        <v>1301</v>
      </c>
      <c r="B8" s="1367" t="s">
        <v>1302</v>
      </c>
      <c r="C8" s="3398"/>
      <c r="D8" s="3399"/>
      <c r="E8" s="2518" t="s">
        <v>1303</v>
      </c>
      <c r="F8" s="2519" t="s">
        <v>1304</v>
      </c>
      <c r="G8" s="2520" t="str">
        <f>C6</f>
        <v>XX</v>
      </c>
    </row>
    <row r="9" spans="1:17">
      <c r="A9" s="3386"/>
      <c r="B9" s="259" t="s">
        <v>1305</v>
      </c>
      <c r="C9" s="1359"/>
      <c r="D9" s="1368"/>
      <c r="E9" s="2814" t="s">
        <v>1306</v>
      </c>
      <c r="F9" s="2521"/>
      <c r="G9" s="2522"/>
    </row>
    <row r="10" spans="1:17" ht="13.5" thickBot="1">
      <c r="A10" s="3386"/>
      <c r="B10" s="259" t="s">
        <v>1307</v>
      </c>
      <c r="C10" s="3400"/>
      <c r="D10" s="3401"/>
      <c r="E10" s="2815" t="s">
        <v>1308</v>
      </c>
      <c r="F10" s="2523"/>
      <c r="G10" s="2524"/>
    </row>
    <row r="11" spans="1:17" ht="13.5" thickBot="1">
      <c r="A11" s="3386"/>
      <c r="B11" s="1370" t="s">
        <v>1309</v>
      </c>
      <c r="C11" s="3402"/>
      <c r="D11" s="3403"/>
      <c r="E11" s="769"/>
      <c r="F11" s="769"/>
      <c r="G11" s="788"/>
    </row>
    <row r="12" spans="1:17" ht="13.5" thickBot="1">
      <c r="A12" s="3389" t="s">
        <v>2587</v>
      </c>
      <c r="B12" s="2816" t="s">
        <v>1310</v>
      </c>
      <c r="C12" s="766">
        <v>71.38</v>
      </c>
      <c r="D12" s="1371" t="s">
        <v>1311</v>
      </c>
      <c r="E12" s="1372" t="s">
        <v>3035</v>
      </c>
      <c r="F12" s="1373" t="s">
        <v>1001</v>
      </c>
      <c r="G12" s="788"/>
    </row>
    <row r="13" spans="1:17" ht="21" customHeight="1" thickBot="1">
      <c r="A13" s="3390"/>
      <c r="B13" s="2817" t="s">
        <v>1312</v>
      </c>
      <c r="C13" s="767"/>
      <c r="D13" s="1374" t="s">
        <v>1313</v>
      </c>
      <c r="E13" s="1375"/>
      <c r="F13" s="769"/>
      <c r="G13" s="788"/>
      <c r="I13" s="3375"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2588</v>
      </c>
      <c r="C14" s="2526"/>
      <c r="D14" s="769"/>
      <c r="E14" s="769"/>
      <c r="F14" s="769"/>
      <c r="G14" s="788"/>
      <c r="I14" s="3375"/>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375"/>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04" t="s">
        <v>1320</v>
      </c>
      <c r="C17" s="3405"/>
      <c r="D17" s="3406" t="s">
        <v>1321</v>
      </c>
      <c r="E17" s="3407"/>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85" t="s">
        <v>2586</v>
      </c>
      <c r="B24" s="3385"/>
      <c r="C24" s="3385"/>
      <c r="D24" s="3385"/>
      <c r="E24" s="3385"/>
      <c r="F24" s="3385"/>
      <c r="G24" s="338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2" t="s">
        <v>1334</v>
      </c>
      <c r="D28" s="3393"/>
      <c r="E28" s="759"/>
      <c r="F28" s="761" t="s">
        <v>1334</v>
      </c>
      <c r="G28" s="759"/>
      <c r="K28" s="2821"/>
    </row>
    <row r="29" spans="1:66">
      <c r="A29" s="762" t="s">
        <v>1335</v>
      </c>
      <c r="B29" s="756"/>
      <c r="C29" s="3394" t="s">
        <v>1336</v>
      </c>
      <c r="D29" s="3395"/>
      <c r="E29" s="756"/>
      <c r="F29" s="762" t="s">
        <v>1336</v>
      </c>
      <c r="G29" s="756"/>
      <c r="K29" s="2821"/>
    </row>
    <row r="30" spans="1:66">
      <c r="A30" s="762" t="s">
        <v>1337</v>
      </c>
      <c r="B30" s="756"/>
      <c r="C30" s="3394" t="s">
        <v>1337</v>
      </c>
      <c r="D30" s="3395"/>
      <c r="E30" s="756"/>
      <c r="F30" s="762" t="s">
        <v>1338</v>
      </c>
      <c r="G30" s="756"/>
      <c r="K30" s="2821"/>
    </row>
    <row r="31" spans="1:66">
      <c r="A31" s="762" t="s">
        <v>1339</v>
      </c>
      <c r="B31" s="756"/>
      <c r="C31" s="3382" t="s">
        <v>1340</v>
      </c>
      <c r="D31" s="769"/>
      <c r="E31" s="2544" t="str">
        <f>E32&amp;" "&amp;E33&amp;" "&amp;E34&amp;" "&amp;E35</f>
        <v xml:space="preserve">   </v>
      </c>
      <c r="F31" s="762" t="s">
        <v>1341</v>
      </c>
      <c r="G31" s="756"/>
    </row>
    <row r="32" spans="1:66">
      <c r="A32" s="762" t="s">
        <v>1342</v>
      </c>
      <c r="B32" s="756"/>
      <c r="C32" s="3383"/>
      <c r="D32" s="259" t="s">
        <v>1343</v>
      </c>
      <c r="E32" s="756"/>
      <c r="F32" s="762" t="s">
        <v>1344</v>
      </c>
      <c r="G32" s="756"/>
    </row>
    <row r="33" spans="1:7" ht="24.75" thickBot="1">
      <c r="A33" s="763" t="s">
        <v>1345</v>
      </c>
      <c r="B33" s="760"/>
      <c r="C33" s="3383"/>
      <c r="D33" s="259" t="s">
        <v>1346</v>
      </c>
      <c r="E33" s="756"/>
      <c r="F33" s="762" t="s">
        <v>1347</v>
      </c>
      <c r="G33" s="756"/>
    </row>
    <row r="34" spans="1:7">
      <c r="A34" s="761" t="s">
        <v>1348</v>
      </c>
      <c r="B34" s="759"/>
      <c r="C34" s="3383"/>
      <c r="D34" s="259" t="s">
        <v>1349</v>
      </c>
      <c r="E34" s="756"/>
      <c r="F34" s="762" t="s">
        <v>1350</v>
      </c>
      <c r="G34" s="756"/>
    </row>
    <row r="35" spans="1:7" ht="13.5" thickBot="1">
      <c r="A35" s="762" t="s">
        <v>1351</v>
      </c>
      <c r="B35" s="756"/>
      <c r="C35" s="3384"/>
      <c r="D35" s="259" t="s">
        <v>1352</v>
      </c>
      <c r="E35" s="756"/>
      <c r="F35" s="763" t="s">
        <v>1353</v>
      </c>
      <c r="G35" s="2545"/>
    </row>
    <row r="36" spans="1:7">
      <c r="A36" s="762" t="s">
        <v>1310</v>
      </c>
      <c r="B36" s="756"/>
      <c r="C36" s="3394" t="s">
        <v>1354</v>
      </c>
      <c r="D36" s="3395"/>
      <c r="E36" s="756"/>
      <c r="F36" s="2546" t="s">
        <v>1355</v>
      </c>
      <c r="G36" s="759"/>
    </row>
    <row r="37" spans="1:7" ht="13.5" thickBot="1">
      <c r="A37" s="762" t="s">
        <v>1356</v>
      </c>
      <c r="B37" s="756"/>
      <c r="C37" s="3396" t="s">
        <v>1357</v>
      </c>
      <c r="D37" s="3397"/>
      <c r="E37" s="760"/>
      <c r="F37" s="1391" t="s">
        <v>1358</v>
      </c>
      <c r="G37" s="756"/>
    </row>
    <row r="38" spans="1:7" ht="13.5" thickBot="1">
      <c r="A38" s="762" t="s">
        <v>1359</v>
      </c>
      <c r="B38" s="756"/>
      <c r="C38" s="3380" t="s">
        <v>1360</v>
      </c>
      <c r="D38" s="1371" t="s">
        <v>1344</v>
      </c>
      <c r="E38" s="759"/>
      <c r="F38" s="763" t="s">
        <v>1361</v>
      </c>
      <c r="G38" s="760"/>
    </row>
    <row r="39" spans="1:7">
      <c r="A39" s="762" t="s">
        <v>1362</v>
      </c>
      <c r="B39" s="756"/>
      <c r="C39" s="3387"/>
      <c r="D39" s="259" t="s">
        <v>1351</v>
      </c>
      <c r="E39" s="756"/>
      <c r="F39" s="761" t="s">
        <v>1363</v>
      </c>
      <c r="G39" s="759"/>
    </row>
    <row r="40" spans="1:7">
      <c r="A40" s="762" t="s">
        <v>1364</v>
      </c>
      <c r="B40" s="756"/>
      <c r="C40" s="3387" t="s">
        <v>1365</v>
      </c>
      <c r="D40" s="259" t="s">
        <v>1310</v>
      </c>
      <c r="E40" s="756"/>
      <c r="F40" s="762" t="s">
        <v>1366</v>
      </c>
      <c r="G40" s="756"/>
    </row>
    <row r="41" spans="1:7" ht="24.75" customHeight="1" thickBot="1">
      <c r="A41" s="763" t="s">
        <v>1367</v>
      </c>
      <c r="B41" s="760"/>
      <c r="C41" s="3388"/>
      <c r="D41" s="1374" t="s">
        <v>1312</v>
      </c>
      <c r="E41" s="760"/>
      <c r="F41" s="763" t="s">
        <v>1368</v>
      </c>
      <c r="G41" s="760"/>
    </row>
    <row r="42" spans="1:7">
      <c r="A42" s="764" t="s">
        <v>1369</v>
      </c>
      <c r="B42" s="2547"/>
      <c r="C42" s="3376" t="s">
        <v>1369</v>
      </c>
      <c r="D42" s="3377"/>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378" t="s">
        <v>1372</v>
      </c>
      <c r="D49" s="3379"/>
      <c r="E49" s="778"/>
      <c r="F49" s="763" t="s">
        <v>1373</v>
      </c>
      <c r="G49" s="760"/>
    </row>
    <row r="50" spans="1:66">
      <c r="A50" s="762" t="s">
        <v>1374</v>
      </c>
      <c r="B50" s="777"/>
      <c r="C50" s="3380" t="s">
        <v>1375</v>
      </c>
      <c r="D50" s="3381"/>
      <c r="E50" s="2549"/>
      <c r="F50" s="795"/>
      <c r="G50" s="796"/>
    </row>
    <row r="51" spans="1:66" ht="13.5" thickBot="1">
      <c r="A51" s="762" t="s">
        <v>1376</v>
      </c>
      <c r="B51" s="777"/>
      <c r="C51" s="3388" t="s">
        <v>1377</v>
      </c>
      <c r="D51" s="3391"/>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30"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44817</v>
      </c>
      <c r="C2" s="1613"/>
      <c r="D2" s="3410"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3036</v>
      </c>
      <c r="C3" s="1613"/>
      <c r="D3" s="3411"/>
      <c r="E3" s="2556" t="s">
        <v>3040</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3037</v>
      </c>
      <c r="C4" s="1613"/>
      <c r="D4" s="3411"/>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71.38</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3038</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50</v>
      </c>
      <c r="C11" s="1613"/>
      <c r="D11" s="2846" t="s">
        <v>1392</v>
      </c>
      <c r="E11" s="2566">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57958</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36</v>
      </c>
      <c r="C13" s="2884"/>
      <c r="D13" s="2850"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0.90600000000000003</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0"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2598</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2595</v>
      </c>
      <c r="B17" s="3006">
        <v>7.4999999999999997E-2</v>
      </c>
      <c r="C17" s="2480" t="s">
        <v>2599</v>
      </c>
      <c r="D17" s="2843"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v>0.08</v>
      </c>
      <c r="C18" s="1613"/>
      <c r="D18" s="2856" t="str">
        <f>IF(B26=0,"建安总额","在建建安")</f>
        <v>建安总额</v>
      </c>
      <c r="E18" s="2857">
        <f>ROUND(B5*E17*IF(B26=0,1,E20),0)</f>
        <v>249830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ROUND(1-(2022-2010)/60,2)</f>
        <v>0.8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2604</v>
      </c>
      <c r="I25" s="2885"/>
    </row>
    <row r="26" spans="1:41" ht="15" thickBot="1">
      <c r="A26" s="2863" t="s">
        <v>1417</v>
      </c>
      <c r="B26" s="2867">
        <f>B22-B23</f>
        <v>0</v>
      </c>
      <c r="D26" s="2847" t="s">
        <v>1420</v>
      </c>
      <c r="E26" s="2582">
        <v>0.02</v>
      </c>
      <c r="F26" s="2590" t="s">
        <v>2604</v>
      </c>
      <c r="G26" s="2886"/>
      <c r="H26" s="2886"/>
      <c r="I26" s="1613"/>
      <c r="J26" s="1613"/>
      <c r="K26" s="1613"/>
      <c r="L26" s="1613"/>
      <c r="M26" s="1613"/>
      <c r="N26" s="1613"/>
    </row>
    <row r="27" spans="1:41" ht="15.75" thickBot="1">
      <c r="A27" s="2868" t="s">
        <v>1419</v>
      </c>
      <c r="B27" s="2584">
        <v>2010</v>
      </c>
      <c r="C27" s="1613"/>
      <c r="D27" s="3073" t="s">
        <v>3041</v>
      </c>
      <c r="E27" s="2869">
        <f ca="1">IF(D27="利息：取LPR",存贷款利率!G1,存贷款利率!G1+F27)</f>
        <v>4.1499999999999995E-2</v>
      </c>
      <c r="F27" s="3074">
        <v>5.0000000000000001E-3</v>
      </c>
      <c r="G27" s="2886"/>
      <c r="H27" s="2886"/>
      <c r="K27" s="1613"/>
      <c r="N27" s="1613"/>
    </row>
    <row r="28" spans="1:41" ht="15" thickBot="1">
      <c r="A28" s="905"/>
      <c r="B28" s="905"/>
      <c r="D28" s="2850" t="s">
        <v>1422</v>
      </c>
      <c r="E28" s="2586">
        <v>0.15</v>
      </c>
      <c r="G28" s="2886"/>
      <c r="H28" s="2886"/>
      <c r="K28" s="1613"/>
      <c r="N28" s="1613"/>
    </row>
    <row r="29" spans="1:41" ht="14.25">
      <c r="A29" s="2870" t="s">
        <v>1421</v>
      </c>
      <c r="B29" s="2585" t="s">
        <v>3039</v>
      </c>
      <c r="D29" s="2852" t="s">
        <v>1423</v>
      </c>
      <c r="E29" s="2871">
        <f>E30+E31</f>
        <v>5.6000000000000001E-2</v>
      </c>
      <c r="F29" s="1238"/>
      <c r="G29" s="2886"/>
      <c r="H29" s="2886"/>
      <c r="K29" s="1613"/>
      <c r="N29" s="1613"/>
    </row>
    <row r="30" spans="1:41" ht="14.25">
      <c r="A30" s="2847" t="str">
        <f>IF(B29="租赁期内按合同租金","合同租金","市场租金")</f>
        <v>市场租金</v>
      </c>
      <c r="B30" s="2587">
        <v>2.8</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2572">
        <v>0.03</v>
      </c>
      <c r="D32" s="2854" t="s">
        <v>1429</v>
      </c>
      <c r="E32" s="2589">
        <v>7.0000000000000007E-2</v>
      </c>
      <c r="F32" s="2590" t="s">
        <v>2491</v>
      </c>
      <c r="G32" s="2886"/>
      <c r="H32" s="2886"/>
      <c r="K32" s="1613"/>
      <c r="L32" s="1613"/>
      <c r="M32" s="1613"/>
      <c r="N32" s="1613"/>
    </row>
    <row r="33" spans="1:14" ht="14.25">
      <c r="A33" s="2847" t="s">
        <v>1428</v>
      </c>
      <c r="B33" s="2572">
        <v>0.1</v>
      </c>
      <c r="D33" s="2854" t="s">
        <v>1431</v>
      </c>
      <c r="E33" s="2588">
        <v>0.03</v>
      </c>
      <c r="F33" s="1237" t="s">
        <v>1432</v>
      </c>
      <c r="G33" s="2886"/>
      <c r="H33" s="2886"/>
      <c r="K33" s="1613"/>
      <c r="L33" s="1613"/>
      <c r="M33" s="1613"/>
      <c r="N33" s="1613"/>
    </row>
    <row r="34" spans="1:14" s="2592" customFormat="1" ht="14.25">
      <c r="A34" s="2847" t="s">
        <v>1430</v>
      </c>
      <c r="B34" s="2875">
        <f>收益法!J54</f>
        <v>36</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v>0</v>
      </c>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699"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c r="F44" s="1239">
        <v>18</v>
      </c>
      <c r="G44" s="2592"/>
      <c r="H44" s="2592"/>
      <c r="I44" s="2886"/>
      <c r="J44" s="1613"/>
      <c r="K44" s="1613"/>
      <c r="L44" s="1613"/>
      <c r="M44" s="1613"/>
      <c r="N44" s="1613"/>
    </row>
    <row r="45" spans="1:14" ht="14.25">
      <c r="A45" s="2847" t="s">
        <v>1453</v>
      </c>
      <c r="B45" s="2601">
        <v>0.01</v>
      </c>
      <c r="C45" s="2480" t="s">
        <v>2602</v>
      </c>
      <c r="D45" s="2600" t="s">
        <v>1456</v>
      </c>
      <c r="E45" s="2587"/>
      <c r="F45" s="1239">
        <v>12</v>
      </c>
      <c r="G45" s="2592"/>
      <c r="H45" s="2592"/>
      <c r="M45" s="1613"/>
      <c r="N45" s="1613"/>
    </row>
    <row r="46" spans="1:14" ht="14.25">
      <c r="A46" s="2847" t="s">
        <v>1455</v>
      </c>
      <c r="B46" s="2602">
        <v>1E-3</v>
      </c>
      <c r="C46" s="2480" t="s">
        <v>2600</v>
      </c>
      <c r="D46" s="2600" t="s">
        <v>1218</v>
      </c>
      <c r="E46" s="2587"/>
      <c r="F46" s="1239">
        <v>3</v>
      </c>
      <c r="G46" s="2592"/>
      <c r="H46" s="2592"/>
      <c r="M46" s="1613"/>
      <c r="N46" s="1613"/>
    </row>
    <row r="47" spans="1:14" ht="15" thickBot="1">
      <c r="A47" s="2850" t="s">
        <v>1457</v>
      </c>
      <c r="B47" s="2603">
        <v>0.01</v>
      </c>
      <c r="C47" s="2480" t="s">
        <v>2601</v>
      </c>
      <c r="D47" s="2600" t="s">
        <v>1458</v>
      </c>
      <c r="E47" s="2587">
        <f>F47</f>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2" t="s">
        <v>1463</v>
      </c>
      <c r="B1" s="3413"/>
      <c r="C1" s="3413"/>
      <c r="D1" s="3413"/>
      <c r="E1" s="3413"/>
      <c r="F1" s="3413"/>
      <c r="G1" s="341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71.38</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44817</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185</v>
      </c>
      <c r="C5" s="2498">
        <f ca="1">ROUND(B5*10000/$B$1,0)</f>
        <v>25918</v>
      </c>
      <c r="D5" s="2498" t="e">
        <f ca="1">ROUND(B5*10000/$B$2,0)</f>
        <v>#DIV/0!</v>
      </c>
      <c r="E5" s="1562"/>
      <c r="F5" s="2499"/>
      <c r="G5" s="2499"/>
    </row>
    <row r="6" spans="1:9" ht="16.5">
      <c r="A6" s="2498" t="s">
        <v>981</v>
      </c>
      <c r="B6" s="2498">
        <f ca="1">SUM(G14:G23)</f>
        <v>185</v>
      </c>
      <c r="C6" s="2498">
        <f t="shared" ref="C6:C8" ca="1" si="0">ROUND(B6*10000/$B$1,0)</f>
        <v>25918</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3030</v>
      </c>
      <c r="B14" s="2834">
        <f>项目基本情况!C12</f>
        <v>71.38</v>
      </c>
      <c r="C14" s="2834">
        <f>项目基本情况!C13</f>
        <v>0</v>
      </c>
      <c r="D14" s="2834">
        <f ca="1">IF('数据-取费表'!B3="万元",IF(A14="估价对象1（结果表）",结果表!H121,'结果表 (1修多)'!H125),IF(A14="估价对象1（结果表）",结果表!H121,'结果表 (1修多)'!H125)/10000)</f>
        <v>185</v>
      </c>
      <c r="E14" s="2834">
        <f ca="1">ROUND(D14*10000/B14,0)</f>
        <v>25918</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C14" sqref="C14:C16"/>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69" t="str">
        <f>项目基本情况!B1</f>
        <v>北京市房地产抵押价值预评估</v>
      </c>
      <c r="B2" s="3469"/>
      <c r="C2" s="3469"/>
      <c r="D2" s="3469"/>
      <c r="E2" s="3469"/>
      <c r="F2" s="3469"/>
      <c r="G2" s="3469"/>
      <c r="H2" s="3469"/>
      <c r="I2" s="3469"/>
      <c r="J2" s="2761"/>
    </row>
    <row r="3" spans="1:15" ht="12.75">
      <c r="A3" s="3472" t="s">
        <v>1471</v>
      </c>
      <c r="B3" s="3473"/>
      <c r="C3" s="3473"/>
      <c r="D3" s="3473"/>
      <c r="E3" s="3473"/>
      <c r="F3" s="3473"/>
      <c r="G3" s="3473"/>
      <c r="H3" s="3473"/>
      <c r="I3" s="3473"/>
      <c r="J3" s="2762"/>
    </row>
    <row r="4" spans="1:15" ht="14.25">
      <c r="A4" s="2630" t="s">
        <v>1472</v>
      </c>
      <c r="B4" s="2630" t="s">
        <v>1473</v>
      </c>
      <c r="C4" s="2631" t="s">
        <v>3044</v>
      </c>
      <c r="D4" s="2631" t="s">
        <v>3045</v>
      </c>
      <c r="E4" s="3418" t="s">
        <v>1474</v>
      </c>
      <c r="F4" s="3456"/>
      <c r="G4" s="3456"/>
      <c r="H4" s="3456"/>
      <c r="I4" s="3457"/>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49" t="s">
        <v>1475</v>
      </c>
      <c r="B5" s="3449">
        <v>25</v>
      </c>
      <c r="C5" s="3458"/>
      <c r="D5" s="3471"/>
      <c r="E5" s="12" t="s">
        <v>1476</v>
      </c>
      <c r="F5" s="2016"/>
      <c r="G5" s="2016"/>
      <c r="H5" s="2016"/>
      <c r="I5" s="2011"/>
      <c r="J5" s="2763"/>
    </row>
    <row r="6" spans="1:15" ht="12.75">
      <c r="A6" s="3449"/>
      <c r="B6" s="3449"/>
      <c r="C6" s="3474"/>
      <c r="D6" s="3471"/>
      <c r="E6" s="12" t="s">
        <v>1477</v>
      </c>
      <c r="F6" s="2016"/>
      <c r="G6" s="2016"/>
      <c r="H6" s="2016"/>
      <c r="I6" s="2011"/>
      <c r="J6" s="2763"/>
    </row>
    <row r="7" spans="1:15" ht="12.75">
      <c r="A7" s="3449"/>
      <c r="B7" s="3449"/>
      <c r="C7" s="3459"/>
      <c r="D7" s="3471"/>
      <c r="E7" s="12" t="s">
        <v>1478</v>
      </c>
      <c r="F7" s="2016"/>
      <c r="G7" s="2016"/>
      <c r="H7" s="2016"/>
      <c r="I7" s="2011"/>
      <c r="J7" s="2763"/>
    </row>
    <row r="8" spans="1:15" ht="12.75">
      <c r="A8" s="3449" t="s">
        <v>1479</v>
      </c>
      <c r="B8" s="3449">
        <v>15</v>
      </c>
      <c r="C8" s="3458"/>
      <c r="D8" s="3471"/>
      <c r="E8" s="12" t="s">
        <v>1480</v>
      </c>
      <c r="F8" s="2016"/>
      <c r="G8" s="2016"/>
      <c r="H8" s="2016"/>
      <c r="I8" s="2011"/>
      <c r="J8" s="2763"/>
    </row>
    <row r="9" spans="1:15" ht="12.75">
      <c r="A9" s="3449"/>
      <c r="B9" s="3449"/>
      <c r="C9" s="3459"/>
      <c r="D9" s="3471"/>
      <c r="E9" s="12" t="s">
        <v>1481</v>
      </c>
      <c r="F9" s="2016"/>
      <c r="G9" s="2016"/>
      <c r="H9" s="2016"/>
      <c r="I9" s="2011"/>
      <c r="J9" s="2763"/>
    </row>
    <row r="10" spans="1:15" ht="12.75">
      <c r="A10" s="3449" t="s">
        <v>1482</v>
      </c>
      <c r="B10" s="3449">
        <v>15</v>
      </c>
      <c r="C10" s="3458"/>
      <c r="D10" s="3471"/>
      <c r="E10" s="12" t="s">
        <v>1483</v>
      </c>
      <c r="F10" s="2016"/>
      <c r="G10" s="2016"/>
      <c r="H10" s="2016"/>
      <c r="I10" s="2011"/>
      <c r="J10" s="2763"/>
    </row>
    <row r="11" spans="1:15" ht="12.75">
      <c r="A11" s="3449"/>
      <c r="B11" s="3449"/>
      <c r="C11" s="3459"/>
      <c r="D11" s="3471"/>
      <c r="E11" s="12" t="s">
        <v>1484</v>
      </c>
      <c r="F11" s="2016"/>
      <c r="G11" s="2016"/>
      <c r="H11" s="2016"/>
      <c r="I11" s="2011"/>
      <c r="J11" s="2763"/>
    </row>
    <row r="12" spans="1:15" ht="12.75">
      <c r="A12" s="3449" t="s">
        <v>1485</v>
      </c>
      <c r="B12" s="3449">
        <v>15</v>
      </c>
      <c r="C12" s="3458"/>
      <c r="D12" s="3471"/>
      <c r="E12" s="12" t="s">
        <v>1486</v>
      </c>
      <c r="F12" s="2016"/>
      <c r="G12" s="2016"/>
      <c r="H12" s="2016"/>
      <c r="I12" s="2011"/>
      <c r="J12" s="2763"/>
    </row>
    <row r="13" spans="1:15" ht="12.75">
      <c r="A13" s="3449"/>
      <c r="B13" s="3449"/>
      <c r="C13" s="3459"/>
      <c r="D13" s="3471"/>
      <c r="E13" s="12" t="s">
        <v>1487</v>
      </c>
      <c r="F13" s="2016"/>
      <c r="G13" s="2016"/>
      <c r="H13" s="2016"/>
      <c r="I13" s="2011"/>
      <c r="J13" s="2763"/>
    </row>
    <row r="14" spans="1:15" ht="12.75">
      <c r="A14" s="3449" t="s">
        <v>1488</v>
      </c>
      <c r="B14" s="3449">
        <v>30</v>
      </c>
      <c r="C14" s="3458">
        <v>7</v>
      </c>
      <c r="D14" s="3471">
        <v>3</v>
      </c>
      <c r="E14" s="12" t="s">
        <v>1489</v>
      </c>
      <c r="F14" s="2016"/>
      <c r="G14" s="2016"/>
      <c r="H14" s="2016"/>
      <c r="I14" s="2011"/>
      <c r="J14" s="2763"/>
    </row>
    <row r="15" spans="1:15" ht="12.75">
      <c r="A15" s="3449"/>
      <c r="B15" s="3449"/>
      <c r="C15" s="3474"/>
      <c r="D15" s="3471"/>
      <c r="E15" s="12" t="s">
        <v>1490</v>
      </c>
      <c r="F15" s="2016"/>
      <c r="G15" s="2016"/>
      <c r="H15" s="2016"/>
      <c r="I15" s="2011"/>
      <c r="J15" s="2763"/>
    </row>
    <row r="16" spans="1:15" ht="12.75">
      <c r="A16" s="3449"/>
      <c r="B16" s="3449"/>
      <c r="C16" s="3459"/>
      <c r="D16" s="3471"/>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467" t="s">
        <v>2576</v>
      </c>
      <c r="F18" s="3468"/>
      <c r="G18" s="3468"/>
      <c r="H18" s="3468"/>
      <c r="I18" s="3468"/>
      <c r="J18" s="2764"/>
    </row>
    <row r="19" spans="1:36" ht="15">
      <c r="A19" s="2637" t="s">
        <v>1494</v>
      </c>
      <c r="B19" s="2638" t="s">
        <v>1495</v>
      </c>
      <c r="C19" s="2639">
        <f ca="1">SUMIF(INDIRECT("'"&amp;C4&amp;"'"&amp;"!A:A"),结果表!B19,INDIRECT("'"&amp;C4&amp;"'"&amp;"!B:B"))</f>
        <v>207</v>
      </c>
      <c r="D19" s="2640">
        <f ca="1">SUMIF(INDIRECT("'"&amp;D4&amp;"'"&amp;"!A:A"),结果表!B19,INDIRECT("'"&amp;D4&amp;"'"&amp;"!B:B"))</f>
        <v>132</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29000</v>
      </c>
      <c r="D20" s="1849">
        <f ca="1">SUMIF(INDIRECT("'"&amp;D4&amp;"'"&amp;"!A:A"),结果表!B20,INDIRECT("'"&amp;D4&amp;"'"&amp;"!B:B"))</f>
        <v>18529</v>
      </c>
      <c r="E20" s="2643"/>
      <c r="F20" s="1621" t="s">
        <v>1497</v>
      </c>
      <c r="G20" s="2020">
        <f ca="1">ROUND(C20*$C$18+D20*$D$18,0)</f>
        <v>25859</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0.56818181818181812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0" t="s">
        <v>1500</v>
      </c>
      <c r="B24" s="2638" t="s">
        <v>1495</v>
      </c>
      <c r="C24" s="2641">
        <f>D30</f>
        <v>0</v>
      </c>
      <c r="D24" s="2593"/>
      <c r="E24" s="905"/>
      <c r="F24" s="905"/>
      <c r="G24" s="905"/>
      <c r="H24" s="905"/>
      <c r="I24" s="905"/>
      <c r="J24" s="2764"/>
    </row>
    <row r="25" spans="1:36" ht="21.75" customHeight="1">
      <c r="A25" s="347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0"/>
      <c r="G30" s="2480"/>
      <c r="H30" s="2480"/>
      <c r="I30" s="2480"/>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25859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20144</v>
      </c>
      <c r="D34" s="2667">
        <f ca="1">IF(D33="自定义",ROUND(C34/C32,3),1-D35)</f>
        <v>0.77900000000000003</v>
      </c>
      <c r="E34" s="1363" t="s">
        <v>1510</v>
      </c>
      <c r="F34" s="2668">
        <v>2000</v>
      </c>
      <c r="G34" s="905"/>
      <c r="H34" s="905"/>
      <c r="I34" s="905"/>
      <c r="J34" s="2764"/>
    </row>
    <row r="35" spans="1:17" ht="15.75" thickBot="1">
      <c r="A35" s="1395"/>
      <c r="B35" s="2669" t="s">
        <v>1511</v>
      </c>
      <c r="C35" s="2670">
        <f ca="1">IF(D33="自定义",F35,ROUND(C32*D35,0))</f>
        <v>5715</v>
      </c>
      <c r="D35" s="2671">
        <f ca="1">IF(D33="自定义",ROUND(C35/C32,3),IF(D33="成本法成本比率",成本法!C56,IF(D33="收益法收益比率",收益法!J38,收益法!J41)))</f>
        <v>0.221</v>
      </c>
      <c r="E35" s="2672" t="s">
        <v>1512</v>
      </c>
      <c r="F35" s="2673">
        <v>4460</v>
      </c>
      <c r="G35" s="905"/>
      <c r="H35" s="905"/>
      <c r="I35" s="905"/>
      <c r="J35" s="2764"/>
    </row>
    <row r="36" spans="1:17" ht="15.75" thickBot="1">
      <c r="A36" s="3460" t="s">
        <v>1513</v>
      </c>
      <c r="B36" s="1396" t="s">
        <v>1514</v>
      </c>
      <c r="C36" s="2674">
        <v>0</v>
      </c>
      <c r="D36" s="2675"/>
      <c r="E36" s="1608"/>
      <c r="F36" s="1608"/>
      <c r="G36" s="905"/>
      <c r="H36" s="905"/>
      <c r="I36" s="905"/>
      <c r="J36" s="2764"/>
    </row>
    <row r="37" spans="1:17" ht="15.75" thickBot="1">
      <c r="A37" s="3461"/>
      <c r="B37" s="2021" t="s">
        <v>1515</v>
      </c>
      <c r="C37" s="2676">
        <v>0</v>
      </c>
      <c r="D37" s="1239"/>
      <c r="E37" s="1239"/>
      <c r="F37" s="1608"/>
      <c r="G37" s="1239"/>
      <c r="H37" s="1239"/>
      <c r="I37" s="1239"/>
      <c r="J37" s="2768"/>
    </row>
    <row r="38" spans="1:17" ht="15.75" thickBot="1">
      <c r="A38" s="3462"/>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64" t="s">
        <v>1524</v>
      </c>
      <c r="B45" s="3465"/>
      <c r="C45" s="3424"/>
      <c r="D45" s="246">
        <f ca="1">ROUND(I102*F45,0)</f>
        <v>185</v>
      </c>
      <c r="E45" s="1470" t="s">
        <v>1525</v>
      </c>
      <c r="F45" s="2478">
        <v>1</v>
      </c>
      <c r="G45" s="2479" t="s">
        <v>1526</v>
      </c>
      <c r="H45" s="905"/>
      <c r="I45" s="905"/>
      <c r="J45" s="2764"/>
      <c r="K45" s="3518" t="s">
        <v>2505</v>
      </c>
      <c r="L45" s="3518"/>
      <c r="M45" s="3518"/>
      <c r="N45" s="3518"/>
      <c r="O45" s="3518"/>
      <c r="P45" s="3518"/>
      <c r="Q45" s="1236"/>
    </row>
    <row r="46" spans="1:17" ht="14.25" customHeight="1">
      <c r="A46" s="3453" t="s">
        <v>1528</v>
      </c>
      <c r="B46" s="3454"/>
      <c r="C46" s="3454"/>
      <c r="D46" s="3454"/>
      <c r="E46" s="3454"/>
      <c r="F46" s="3454"/>
      <c r="G46" s="3455"/>
      <c r="H46" s="2896"/>
      <c r="I46" s="905"/>
      <c r="J46" s="2764"/>
      <c r="K46" s="2453">
        <v>1</v>
      </c>
      <c r="L46" s="3519" t="s">
        <v>2506</v>
      </c>
      <c r="M46" s="3519"/>
      <c r="N46" s="3520" t="str">
        <f>项目基本情况!B1</f>
        <v>北京市房地产抵押价值预评估</v>
      </c>
      <c r="O46" s="3520"/>
      <c r="P46" s="3520"/>
      <c r="Q46" s="1236"/>
    </row>
    <row r="47" spans="1:17" ht="12" customHeight="1">
      <c r="A47" s="38" t="s">
        <v>1530</v>
      </c>
      <c r="B47" s="39"/>
      <c r="C47" s="40"/>
      <c r="D47" s="1028" t="s">
        <v>1531</v>
      </c>
      <c r="E47" s="235" t="s">
        <v>1532</v>
      </c>
      <c r="F47" s="41" t="s">
        <v>1533</v>
      </c>
      <c r="G47" s="2481" t="s">
        <v>1534</v>
      </c>
      <c r="H47" s="2896"/>
      <c r="I47" s="905"/>
      <c r="J47" s="2764"/>
      <c r="K47" s="2453">
        <v>2</v>
      </c>
      <c r="L47" s="3519" t="s">
        <v>2507</v>
      </c>
      <c r="M47" s="3519"/>
      <c r="N47" s="3521">
        <f>'数据-取费表'!B2</f>
        <v>44817</v>
      </c>
      <c r="O47" s="3521"/>
      <c r="P47" s="3521"/>
      <c r="Q47" s="1236"/>
    </row>
    <row r="48" spans="1:17" ht="25.5">
      <c r="A48" s="3463" t="s">
        <v>1536</v>
      </c>
      <c r="B48" s="3417"/>
      <c r="C48" s="3417"/>
      <c r="D48" s="12">
        <f ca="1">IF(H48="情况1",0,IF(H48="情况2",D52,IF(H48="情况3",D53,IF(H48="情况4",D54))))</f>
        <v>10</v>
      </c>
      <c r="E48" s="2019" t="str">
        <f>IF(H48="情况4","(销售额-原购置价)×税（费）率","销售额×税（费）率")</f>
        <v>销售额×税（费）率</v>
      </c>
      <c r="F48" s="2482">
        <f>IF(H48="情况1","免征",'数据-取费表'!E29)</f>
        <v>5.6000000000000001E-2</v>
      </c>
      <c r="G48" s="2483" t="s">
        <v>1537</v>
      </c>
      <c r="H48" s="2484" t="s">
        <v>1538</v>
      </c>
      <c r="I48" s="2896"/>
      <c r="J48" s="2771"/>
      <c r="K48" s="2453">
        <v>3</v>
      </c>
      <c r="L48" s="3519" t="s">
        <v>2508</v>
      </c>
      <c r="M48" s="3519"/>
      <c r="N48" s="3520">
        <f ca="1">I102</f>
        <v>185</v>
      </c>
      <c r="O48" s="3520"/>
      <c r="P48" s="3520"/>
      <c r="Q48" s="1236"/>
    </row>
    <row r="49" spans="1:17" ht="25.5" customHeight="1">
      <c r="A49" s="2018" t="s">
        <v>1540</v>
      </c>
      <c r="B49" s="3456" t="s">
        <v>1541</v>
      </c>
      <c r="C49" s="3456"/>
      <c r="D49" s="2485">
        <v>0</v>
      </c>
      <c r="E49" s="261" t="s">
        <v>1542</v>
      </c>
      <c r="F49" s="2486" t="s">
        <v>48</v>
      </c>
      <c r="G49" s="3513"/>
      <c r="H49" s="2487" t="s">
        <v>2582</v>
      </c>
      <c r="I49" s="2488"/>
      <c r="J49" s="2772"/>
      <c r="K49" s="2453">
        <v>4</v>
      </c>
      <c r="L49" s="3519" t="str">
        <f>IF(项目基本情况!F5="房地产抵押价值","房地产抵押价值","抵押担保权已注销时的房地产抵押价值")</f>
        <v>抵押担保权已注销时的房地产抵押价值</v>
      </c>
      <c r="M49" s="3519"/>
      <c r="N49" s="3520" t="str">
        <f>IF(项目基本情况!F5="房地产抵押价值",I110,I112)</f>
        <v>——</v>
      </c>
      <c r="O49" s="3520"/>
      <c r="P49" s="3520"/>
      <c r="Q49" s="1236"/>
    </row>
    <row r="50" spans="1:17" ht="25.5" customHeight="1">
      <c r="A50" s="2008"/>
      <c r="B50" s="3456" t="s">
        <v>1543</v>
      </c>
      <c r="C50" s="3456"/>
      <c r="D50" s="2489"/>
      <c r="E50" s="269"/>
      <c r="F50" s="2486"/>
      <c r="G50" s="3514"/>
      <c r="H50" s="2490" t="s">
        <v>2501</v>
      </c>
      <c r="I50" s="2488"/>
      <c r="J50" s="2772"/>
      <c r="K50" s="3519" t="s">
        <v>2509</v>
      </c>
      <c r="L50" s="3519"/>
      <c r="M50" s="3519"/>
      <c r="N50" s="3519"/>
      <c r="O50" s="3519"/>
      <c r="P50" s="3519"/>
      <c r="Q50" s="1236"/>
    </row>
    <row r="51" spans="1:17" ht="20.45" customHeight="1">
      <c r="A51" s="2491"/>
      <c r="B51" s="3456" t="s">
        <v>1545</v>
      </c>
      <c r="C51" s="3456"/>
      <c r="D51" s="1028"/>
      <c r="E51" s="264"/>
      <c r="F51" s="2486"/>
      <c r="G51" s="3515"/>
      <c r="H51" s="2490" t="s">
        <v>2502</v>
      </c>
      <c r="I51" s="2488"/>
      <c r="J51" s="2772"/>
      <c r="K51" s="2454" t="s">
        <v>2510</v>
      </c>
      <c r="L51" s="3519" t="s">
        <v>2511</v>
      </c>
      <c r="M51" s="3519"/>
      <c r="N51" s="2454" t="s">
        <v>2512</v>
      </c>
      <c r="O51" s="2454" t="s">
        <v>2513</v>
      </c>
      <c r="P51" s="2454" t="s">
        <v>2514</v>
      </c>
      <c r="Q51" s="1236"/>
    </row>
    <row r="52" spans="1:17" ht="24" customHeight="1">
      <c r="A52" s="2009" t="s">
        <v>1551</v>
      </c>
      <c r="B52" s="3456" t="s">
        <v>1552</v>
      </c>
      <c r="C52" s="3456"/>
      <c r="D52" s="1028">
        <f ca="1">ROUND(D45*'数据-取费表'!E29/(1+'数据-取费表'!F30),0)</f>
        <v>10</v>
      </c>
      <c r="E52" s="2019" t="s">
        <v>1553</v>
      </c>
      <c r="F52" s="2492">
        <f>'数据-取费表'!E29</f>
        <v>5.6000000000000001E-2</v>
      </c>
      <c r="G52" s="2493"/>
      <c r="H52" s="905"/>
      <c r="I52" s="2897"/>
      <c r="J52" s="2772"/>
      <c r="K52" s="2453">
        <v>1</v>
      </c>
      <c r="L52" s="3486" t="s">
        <v>2515</v>
      </c>
      <c r="M52" s="3486"/>
      <c r="N52" s="2455">
        <f ca="1">D48</f>
        <v>10</v>
      </c>
      <c r="O52" s="2453" t="str">
        <f>E48</f>
        <v>销售额×税（费）率</v>
      </c>
      <c r="P52" s="2456">
        <f>F48</f>
        <v>5.6000000000000001E-2</v>
      </c>
      <c r="Q52" s="1236"/>
    </row>
    <row r="53" spans="1:17" ht="12" customHeight="1">
      <c r="A53" s="2009" t="s">
        <v>1555</v>
      </c>
      <c r="B53" s="3418" t="s">
        <v>2593</v>
      </c>
      <c r="C53" s="3457"/>
      <c r="D53" s="1028">
        <f ca="1">ROUND(D45*'数据-取费表'!E29/(1+'数据-取费表'!F30),0)</f>
        <v>10</v>
      </c>
      <c r="E53" s="2019" t="s">
        <v>1553</v>
      </c>
      <c r="F53" s="2492">
        <f>'数据-取费表'!E29</f>
        <v>5.6000000000000001E-2</v>
      </c>
      <c r="G53" s="2493"/>
      <c r="H53" s="905"/>
      <c r="I53" s="2897"/>
      <c r="J53" s="2772"/>
      <c r="K53" s="2453">
        <v>2</v>
      </c>
      <c r="L53" s="3486" t="s">
        <v>2516</v>
      </c>
      <c r="M53" s="3486"/>
      <c r="N53" s="2455">
        <f t="shared" ref="N53:P54" si="1">D55</f>
        <v>0</v>
      </c>
      <c r="O53" s="2453" t="str">
        <f t="shared" si="1"/>
        <v>销售额×税（费）率</v>
      </c>
      <c r="P53" s="2456" t="str">
        <f t="shared" si="1"/>
        <v>免征</v>
      </c>
      <c r="Q53" s="1236"/>
    </row>
    <row r="54" spans="1:17" ht="12" customHeight="1">
      <c r="A54" s="2009" t="s">
        <v>1557</v>
      </c>
      <c r="B54" s="3418" t="s">
        <v>2594</v>
      </c>
      <c r="C54" s="3457"/>
      <c r="D54" s="1028">
        <f ca="1">C68</f>
        <v>10</v>
      </c>
      <c r="E54" s="264" t="s">
        <v>1558</v>
      </c>
      <c r="F54" s="2492">
        <f>'数据-取费表'!E29</f>
        <v>5.6000000000000001E-2</v>
      </c>
      <c r="G54" s="2493"/>
      <c r="H54" s="2898"/>
      <c r="I54" s="2897"/>
      <c r="J54" s="2772"/>
      <c r="K54" s="2453">
        <v>3</v>
      </c>
      <c r="L54" s="3486" t="s">
        <v>2517</v>
      </c>
      <c r="M54" s="3486"/>
      <c r="N54" s="2455">
        <f t="shared" si="1"/>
        <v>0</v>
      </c>
      <c r="O54" s="2453" t="str">
        <f t="shared" si="1"/>
        <v>增值额×税（费）率</v>
      </c>
      <c r="P54" s="2457" t="str">
        <f t="shared" si="1"/>
        <v>免征</v>
      </c>
      <c r="Q54" s="1236"/>
    </row>
    <row r="55" spans="1:17" ht="24" customHeight="1">
      <c r="A55" s="3416" t="s">
        <v>1560</v>
      </c>
      <c r="B55" s="3417"/>
      <c r="C55" s="3417"/>
      <c r="D55" s="12">
        <f>IF(H55="个人住宅",0,ROUND(D45*I55,0))</f>
        <v>0</v>
      </c>
      <c r="E55" s="2019" t="s">
        <v>1561</v>
      </c>
      <c r="F55" s="2492" t="str">
        <f>IF(H55="正常",I55,"免征")</f>
        <v>免征</v>
      </c>
      <c r="G55" s="2493"/>
      <c r="H55" s="2484" t="s">
        <v>2498</v>
      </c>
      <c r="I55" s="74">
        <f>'数据-取费表'!E37</f>
        <v>5.0000000000000001E-4</v>
      </c>
      <c r="J55" s="2772"/>
      <c r="K55" s="2453" t="str">
        <f>IF(H59="非个人房产","",4)</f>
        <v/>
      </c>
      <c r="L55" s="3486" t="str">
        <f>IF(H59="非个人房产","——","个人所得税")</f>
        <v>——</v>
      </c>
      <c r="M55" s="3486"/>
      <c r="N55" s="2458" t="str">
        <f>D59</f>
        <v>——</v>
      </c>
      <c r="O55" s="2459" t="str">
        <f>E59</f>
        <v>——</v>
      </c>
      <c r="P55" s="2460" t="str">
        <f>F59</f>
        <v>——</v>
      </c>
      <c r="Q55" s="1236"/>
    </row>
    <row r="56" spans="1:17" ht="24.75">
      <c r="A56" s="3416" t="s">
        <v>1563</v>
      </c>
      <c r="B56" s="3417"/>
      <c r="C56" s="3417"/>
      <c r="D56" s="12">
        <f>IF(H56="个人住宅",D57,D58)</f>
        <v>0</v>
      </c>
      <c r="E56" s="2019" t="s">
        <v>1564</v>
      </c>
      <c r="F56" s="2492" t="str">
        <f>IF(H56="正常",F58,"免征")</f>
        <v>免征</v>
      </c>
      <c r="G56" s="2494" t="s">
        <v>1565</v>
      </c>
      <c r="H56" s="2495" t="s">
        <v>2498</v>
      </c>
      <c r="I56" s="2899"/>
      <c r="J56" s="2772"/>
      <c r="K56" s="2453" t="str">
        <f>IF(项目基本情况!I6="上海银行",IF(K55="",4,K55+1),"")</f>
        <v/>
      </c>
      <c r="L56" s="3500" t="str">
        <f>IF(项目基本情况!I6="上海银行","其他处置费用","")</f>
        <v/>
      </c>
      <c r="M56" s="3501"/>
      <c r="N56" s="2455" t="str">
        <f>IF(项目基本情况!I6="上海银行",N69,"")</f>
        <v/>
      </c>
      <c r="O56" s="3500" t="str">
        <f>IF(项目基本情况!I6="上海银行","包含处置中涉及的律师、诉讼、拍卖、评估等费用","")</f>
        <v/>
      </c>
      <c r="P56" s="3512"/>
      <c r="Q56" s="1236"/>
    </row>
    <row r="57" spans="1:17" ht="12.75">
      <c r="A57" s="2009" t="s">
        <v>1540</v>
      </c>
      <c r="B57" s="3418" t="s">
        <v>1566</v>
      </c>
      <c r="C57" s="3457"/>
      <c r="D57" s="2485">
        <v>0</v>
      </c>
      <c r="E57" s="261" t="s">
        <v>1542</v>
      </c>
      <c r="F57" s="235"/>
      <c r="G57" s="2493"/>
      <c r="H57" s="2899"/>
      <c r="I57" s="2899"/>
      <c r="J57" s="2772"/>
      <c r="K57" s="3486">
        <f>IF(AND(K55="",K56=""),4,IF(项目基本情况!I6="上海银行",K56+1,K55+1))</f>
        <v>4</v>
      </c>
      <c r="L57" s="3486" t="s">
        <v>2518</v>
      </c>
      <c r="M57" s="2461" t="s">
        <v>2519</v>
      </c>
      <c r="N57" s="2462"/>
      <c r="O57" s="2463">
        <f ca="1">SUMIF(N52:N56,"&lt;9e307")</f>
        <v>10</v>
      </c>
      <c r="P57" s="2464"/>
      <c r="Q57" s="1234" t="e">
        <f ca="1">O57/N49</f>
        <v>#VALUE!</v>
      </c>
    </row>
    <row r="58" spans="1:17" ht="24.75">
      <c r="A58" s="2009" t="s">
        <v>1551</v>
      </c>
      <c r="B58" s="3418" t="s">
        <v>1569</v>
      </c>
      <c r="C58" s="3456"/>
      <c r="D58" s="12">
        <f ca="1">IF(H58="转让取得",C81,C97)</f>
        <v>105</v>
      </c>
      <c r="E58" s="2019" t="s">
        <v>1564</v>
      </c>
      <c r="F58" s="235" t="s">
        <v>48</v>
      </c>
      <c r="G58" s="2493"/>
      <c r="H58" s="2495" t="s">
        <v>1570</v>
      </c>
      <c r="I58" s="2899"/>
      <c r="J58" s="2772"/>
      <c r="K58" s="3486"/>
      <c r="L58" s="3486"/>
      <c r="M58" s="2461" t="s">
        <v>2520</v>
      </c>
      <c r="N58" s="2465"/>
      <c r="O58" s="2466" t="str">
        <f ca="1">IF(H19="元",NUMBERSTRING(INT(O57),2)&amp;"元整",NUMBERSTRING(INT(O57*10000),2)&amp;"元整")</f>
        <v>壹拾万元整</v>
      </c>
      <c r="P58" s="2467"/>
      <c r="Q58" s="1236"/>
    </row>
    <row r="59" spans="1:17" ht="24.75" thickBot="1">
      <c r="A59" s="3440" t="s">
        <v>1572</v>
      </c>
      <c r="B59" s="3441"/>
      <c r="C59" s="3441"/>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2573</v>
      </c>
      <c r="H59" s="2023" t="s">
        <v>2583</v>
      </c>
      <c r="I59" s="2801" t="s">
        <v>2584</v>
      </c>
      <c r="J59" s="2772"/>
      <c r="K59" s="3484">
        <f>K57+1</f>
        <v>5</v>
      </c>
      <c r="L59" s="3486" t="s">
        <v>2521</v>
      </c>
      <c r="M59" s="2453" t="s">
        <v>2519</v>
      </c>
      <c r="N59" s="2468"/>
      <c r="O59" s="2469" t="e">
        <f ca="1">N49-O57</f>
        <v>#VALUE!</v>
      </c>
      <c r="P59" s="2470"/>
      <c r="Q59" s="1236"/>
    </row>
    <row r="60" spans="1:17" ht="12" customHeight="1">
      <c r="A60" s="1385"/>
      <c r="B60" s="1389"/>
      <c r="C60" s="1389"/>
      <c r="D60" s="1389"/>
      <c r="E60" s="770"/>
      <c r="F60" s="2900"/>
      <c r="G60" s="2900"/>
      <c r="H60" s="2901"/>
      <c r="I60" s="31"/>
      <c r="K60" s="3485"/>
      <c r="L60" s="3486"/>
      <c r="M60" s="2461" t="s">
        <v>2520</v>
      </c>
      <c r="N60" s="2465"/>
      <c r="O60" s="2466" t="e">
        <f ca="1">IF(H19="元",NUMBERSTRING(INT(O59),2)&amp;"元整",NUMBERSTRING(INT(O59*10000),2)&amp;"元整")</f>
        <v>#VALUE!</v>
      </c>
      <c r="P60" s="2467"/>
      <c r="Q60" s="1236"/>
    </row>
    <row r="61" spans="1:17" ht="13.5" thickBot="1">
      <c r="A61" s="3466" t="s">
        <v>1574</v>
      </c>
      <c r="B61" s="3466"/>
      <c r="C61" s="3466"/>
      <c r="D61" s="3466"/>
      <c r="E61" s="3466"/>
      <c r="F61" s="2900"/>
      <c r="G61" s="2900"/>
      <c r="H61" s="2902"/>
      <c r="I61" s="31"/>
      <c r="K61" s="2453">
        <f>K59+1</f>
        <v>6</v>
      </c>
      <c r="L61" s="3486" t="s">
        <v>2522</v>
      </c>
      <c r="M61" s="3486"/>
      <c r="N61" s="2471"/>
      <c r="O61" s="2472" t="e">
        <f ca="1">IF(H19="元",ROUND(O59/项目基本情况!C12,0),ROUND(O59*10000/项目基本情况!C12,0))</f>
        <v>#VALUE!</v>
      </c>
      <c r="P61" s="2473"/>
      <c r="Q61" s="1236"/>
    </row>
    <row r="62" spans="1:17" ht="12.75">
      <c r="A62" s="3475" t="s">
        <v>1576</v>
      </c>
      <c r="B62" s="3476"/>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176</v>
      </c>
      <c r="D63" s="47"/>
      <c r="E63" s="48"/>
      <c r="F63" s="2900"/>
      <c r="G63" s="2900"/>
      <c r="H63" s="2902"/>
      <c r="I63" s="31"/>
      <c r="K63" s="3502" t="s">
        <v>2523</v>
      </c>
      <c r="L63" s="2475" t="s">
        <v>2524</v>
      </c>
      <c r="M63" s="2475" t="e">
        <f>IF(N49&gt;10000,N49*0.5%,IF(AND(N49&gt;1000,N49&lt;=10000),N49*1%,IF(AND(N49&gt;100,N49&lt;=1000),N49*3%,IF(AND(N49&gt;10,N49&lt;=100),N49*5%,N49*8%))))</f>
        <v>#VALUE!</v>
      </c>
      <c r="N63" s="2476" t="e">
        <f>ROUND(M63,1)</f>
        <v>#VALUE!</v>
      </c>
      <c r="O63" s="2474"/>
      <c r="P63" s="2474"/>
      <c r="Q63" s="1236"/>
    </row>
    <row r="64" spans="1:17" ht="12.75">
      <c r="A64" s="49" t="s">
        <v>71</v>
      </c>
      <c r="B64" s="50" t="s">
        <v>1582</v>
      </c>
      <c r="C64" s="2704">
        <f ca="1">D45</f>
        <v>185</v>
      </c>
      <c r="D64" s="50" t="s">
        <v>41</v>
      </c>
      <c r="E64" s="52"/>
      <c r="F64" s="2900"/>
      <c r="G64" s="2900"/>
      <c r="H64" s="2902"/>
      <c r="I64" s="31"/>
      <c r="K64" s="3502"/>
      <c r="L64" s="2475" t="s">
        <v>2525</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2526</v>
      </c>
      <c r="P64" s="2474"/>
      <c r="Q64" s="1236"/>
    </row>
    <row r="65" spans="1:36" ht="12.75">
      <c r="A65" s="49" t="s">
        <v>72</v>
      </c>
      <c r="B65" s="50" t="s">
        <v>1585</v>
      </c>
      <c r="C65" s="2705"/>
      <c r="D65" s="50"/>
      <c r="E65" s="52"/>
      <c r="F65" s="2900"/>
      <c r="G65" s="2900"/>
      <c r="H65" s="2902"/>
      <c r="I65" s="31"/>
      <c r="K65" s="3502"/>
      <c r="L65" s="2475" t="s">
        <v>2527</v>
      </c>
      <c r="M65" s="2475" t="e">
        <f>IF(N49&gt;1000,N49*0.1%,IF(AND(N49&gt;500,N49&lt;=1000),N49*0.5%,IF(AND(N49&gt;50,N49&lt;=500),N49*1%,IF(AND(N49&gt;1,N49&lt;=50),N49*1.5%))))</f>
        <v>#VALUE!</v>
      </c>
      <c r="N65" s="2476" t="e">
        <f t="shared" si="2"/>
        <v>#VALUE!</v>
      </c>
      <c r="O65" s="2474" t="s">
        <v>2526</v>
      </c>
      <c r="P65" s="2474"/>
      <c r="Q65" s="1236"/>
    </row>
    <row r="66" spans="1:36" ht="12.75">
      <c r="A66" s="53" t="s">
        <v>47</v>
      </c>
      <c r="B66" s="54" t="s">
        <v>1587</v>
      </c>
      <c r="C66" s="2706"/>
      <c r="D66" s="54" t="s">
        <v>41</v>
      </c>
      <c r="E66" s="1244" t="s">
        <v>1588</v>
      </c>
      <c r="F66" s="2900"/>
      <c r="G66" s="2900"/>
      <c r="H66" s="2902"/>
      <c r="I66" s="31"/>
      <c r="K66" s="3502"/>
      <c r="L66" s="2475" t="s">
        <v>2528</v>
      </c>
      <c r="M66" s="2475" t="e">
        <f>N49*0.5%</f>
        <v>#VALUE!</v>
      </c>
      <c r="N66" s="2476" t="e">
        <f>IF(M66&gt;0.5,0.5,ROUND(M66,0))</f>
        <v>#VALUE!</v>
      </c>
      <c r="O66" s="2474" t="s">
        <v>2529</v>
      </c>
      <c r="P66" s="2474"/>
      <c r="Q66" s="1236"/>
    </row>
    <row r="67" spans="1:36" ht="12.75">
      <c r="A67" s="53" t="s">
        <v>42</v>
      </c>
      <c r="B67" s="54" t="s">
        <v>1591</v>
      </c>
      <c r="C67" s="2707">
        <f ca="1">C63-C66</f>
        <v>176</v>
      </c>
      <c r="D67" s="50" t="s">
        <v>41</v>
      </c>
      <c r="E67" s="52"/>
      <c r="F67" s="2900"/>
      <c r="G67" s="2900"/>
      <c r="H67" s="2902"/>
      <c r="I67" s="31"/>
      <c r="K67" s="3502"/>
      <c r="L67" s="2475" t="s">
        <v>2530</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5" thickBot="1">
      <c r="A68" s="55" t="s">
        <v>46</v>
      </c>
      <c r="B68" s="56" t="s">
        <v>1593</v>
      </c>
      <c r="C68" s="2708">
        <f ca="1">IF(C67&lt;=0,0,ROUND(C67*D68,0))</f>
        <v>10</v>
      </c>
      <c r="D68" s="2169">
        <f>'数据-取费表'!E29</f>
        <v>5.6000000000000001E-2</v>
      </c>
      <c r="E68" s="57"/>
      <c r="F68" s="2900"/>
      <c r="G68" s="2900"/>
      <c r="H68" s="2902"/>
      <c r="I68" s="31"/>
      <c r="K68" s="3502"/>
      <c r="L68" s="2475" t="s">
        <v>2531</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502"/>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8" t="s">
        <v>1596</v>
      </c>
      <c r="B70" s="3479"/>
      <c r="C70" s="3479"/>
      <c r="D70" s="3479"/>
      <c r="E70" s="3479"/>
      <c r="F70" s="3479"/>
      <c r="G70" s="3479"/>
      <c r="H70" s="3479"/>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5" t="s">
        <v>1576</v>
      </c>
      <c r="B71" s="3476"/>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176</v>
      </c>
      <c r="D72" s="50" t="s">
        <v>41</v>
      </c>
      <c r="E72" s="12" t="s">
        <v>1598</v>
      </c>
      <c r="F72" s="2016"/>
      <c r="G72" s="2016"/>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v>
      </c>
      <c r="D73" s="50" t="s">
        <v>41</v>
      </c>
      <c r="E73" s="2015"/>
      <c r="F73" s="2016"/>
      <c r="G73" s="2016"/>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5"/>
      <c r="F74" s="2016"/>
      <c r="G74" s="2016"/>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18" t="s">
        <v>1606</v>
      </c>
      <c r="F76" s="3456"/>
      <c r="G76" s="3456"/>
      <c r="H76" s="3470"/>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4" t="s">
        <v>1609</v>
      </c>
      <c r="H77" s="2017"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v>
      </c>
      <c r="D78" s="2716">
        <f>'数据-取费表'!E31</f>
        <v>6.000000000000001E-3</v>
      </c>
      <c r="E78" s="3450" t="s">
        <v>1611</v>
      </c>
      <c r="F78" s="3451"/>
      <c r="G78" s="3451"/>
      <c r="H78" s="3452"/>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175</v>
      </c>
      <c r="D79" s="50" t="s">
        <v>41</v>
      </c>
      <c r="E79" s="2015"/>
      <c r="F79" s="2016"/>
      <c r="G79" s="2016"/>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8" t="s">
        <v>1615</v>
      </c>
      <c r="B83" s="3479"/>
      <c r="C83" s="3479"/>
      <c r="D83" s="3479"/>
      <c r="E83" s="3479"/>
      <c r="F83" s="3479"/>
      <c r="G83" s="3479"/>
      <c r="H83" s="3479"/>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5" t="s">
        <v>1576</v>
      </c>
      <c r="B84" s="3476"/>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3"/>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3"/>
      <c r="G90" s="3511" t="s">
        <v>2493</v>
      </c>
      <c r="H90" s="3511"/>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50" t="s">
        <v>1623</v>
      </c>
      <c r="F91" s="3451"/>
      <c r="G91" s="3451"/>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50" t="s">
        <v>1626</v>
      </c>
      <c r="F92" s="3451"/>
      <c r="G92" s="3451"/>
      <c r="H92" s="3452"/>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v>
      </c>
      <c r="D93" s="2716">
        <f>'数据-取费表'!E31</f>
        <v>6.000000000000001E-3</v>
      </c>
      <c r="E93" s="3450" t="s">
        <v>1611</v>
      </c>
      <c r="F93" s="3451"/>
      <c r="G93" s="3451"/>
      <c r="H93" s="3452"/>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50" t="s">
        <v>1628</v>
      </c>
      <c r="F94" s="3451"/>
      <c r="G94" s="3451"/>
      <c r="H94" s="3452"/>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7" t="s">
        <v>1630</v>
      </c>
      <c r="B99" s="3498"/>
      <c r="C99" s="3498"/>
      <c r="D99" s="3499"/>
      <c r="E99" s="1389"/>
      <c r="F99" s="3506" t="s">
        <v>1631</v>
      </c>
      <c r="G99" s="3507"/>
      <c r="H99" s="3507"/>
      <c r="I99" s="3508"/>
      <c r="J99" s="2778"/>
    </row>
    <row r="100" spans="1:36" ht="15">
      <c r="A100" s="3509" t="s">
        <v>1632</v>
      </c>
      <c r="B100" s="3510"/>
      <c r="C100" s="1235" t="str">
        <f>C4</f>
        <v>比较法-住宅</v>
      </c>
      <c r="D100" s="2726" t="str">
        <f>D4</f>
        <v>收益法</v>
      </c>
      <c r="E100" s="1389"/>
      <c r="F100" s="3421" t="s">
        <v>2537</v>
      </c>
      <c r="G100" s="3422"/>
      <c r="H100" s="3421" t="s">
        <v>2538</v>
      </c>
      <c r="I100" s="3420"/>
      <c r="J100" s="2779"/>
    </row>
    <row r="101" spans="1:36" ht="12.75">
      <c r="A101" s="3489" t="s">
        <v>2570</v>
      </c>
      <c r="B101" s="2234" t="str">
        <f>IF(H19="元","总价（元）","总价（万元）")</f>
        <v>总价（万元）</v>
      </c>
      <c r="C101" s="1235">
        <f ca="1">C19</f>
        <v>207</v>
      </c>
      <c r="D101" s="2726">
        <f ca="1">D19</f>
        <v>132</v>
      </c>
      <c r="E101" s="1389"/>
      <c r="F101" s="3421" t="str">
        <f>项目基本情况!I1</f>
        <v>北京市房地产</v>
      </c>
      <c r="G101" s="3422"/>
      <c r="H101" s="3419">
        <f>项目基本情况!C12</f>
        <v>71.38</v>
      </c>
      <c r="I101" s="3420"/>
      <c r="J101" s="2779"/>
    </row>
    <row r="102" spans="1:36" ht="12.75">
      <c r="A102" s="3489"/>
      <c r="B102" s="2234" t="s">
        <v>2571</v>
      </c>
      <c r="C102" s="2727">
        <f ca="1">C20</f>
        <v>29000</v>
      </c>
      <c r="D102" s="2728">
        <f ca="1">D20</f>
        <v>18529</v>
      </c>
      <c r="E102" s="1389"/>
      <c r="F102" s="3431" t="s">
        <v>2567</v>
      </c>
      <c r="G102" s="3432"/>
      <c r="H102" s="2736" t="str">
        <f>C106</f>
        <v>总价（万元）</v>
      </c>
      <c r="I102" s="2737">
        <f ca="1">H121</f>
        <v>185</v>
      </c>
      <c r="J102" s="2779"/>
    </row>
    <row r="103" spans="1:36" ht="12.75">
      <c r="A103" s="3489" t="s">
        <v>2572</v>
      </c>
      <c r="B103" s="2172" t="str">
        <f>B101</f>
        <v>总价（万元）</v>
      </c>
      <c r="C103" s="2731">
        <f ca="1">H121</f>
        <v>185</v>
      </c>
      <c r="D103" s="2729"/>
      <c r="E103" s="1389"/>
      <c r="F103" s="3431"/>
      <c r="G103" s="3432"/>
      <c r="H103" s="2736" t="s">
        <v>2540</v>
      </c>
      <c r="I103" s="52">
        <f ca="1">I121</f>
        <v>25859</v>
      </c>
      <c r="J103" s="2763"/>
    </row>
    <row r="104" spans="1:36" ht="13.5" thickBot="1">
      <c r="A104" s="3490"/>
      <c r="B104" s="2733" t="s">
        <v>2571</v>
      </c>
      <c r="C104" s="2734">
        <f ca="1">I121</f>
        <v>25859</v>
      </c>
      <c r="D104" s="2735"/>
      <c r="E104" s="1389"/>
      <c r="F104" s="3431"/>
      <c r="G104" s="3432"/>
      <c r="H104" s="3491"/>
      <c r="I104" s="3492"/>
      <c r="J104" s="2780"/>
    </row>
    <row r="105" spans="1:36" ht="15">
      <c r="A105" s="3497" t="s">
        <v>1633</v>
      </c>
      <c r="B105" s="3498"/>
      <c r="C105" s="3498"/>
      <c r="D105" s="3499"/>
      <c r="E105" s="1389"/>
      <c r="F105" s="3495" t="s">
        <v>2541</v>
      </c>
      <c r="G105" s="3496"/>
      <c r="H105" s="2738" t="str">
        <f>C108</f>
        <v>总额（万元）</v>
      </c>
      <c r="I105" s="2737">
        <f>SUMIF(I106:I108,"&lt;9E307")</f>
        <v>0</v>
      </c>
      <c r="J105" s="2779"/>
    </row>
    <row r="106" spans="1:36" ht="14.25">
      <c r="A106" s="3431" t="s">
        <v>2564</v>
      </c>
      <c r="B106" s="3432"/>
      <c r="C106" s="2736" t="str">
        <f>B101</f>
        <v>总价（万元）</v>
      </c>
      <c r="D106" s="2737">
        <f ca="1">H121</f>
        <v>185</v>
      </c>
      <c r="E106" s="1389"/>
      <c r="F106" s="3433" t="s">
        <v>2542</v>
      </c>
      <c r="G106" s="3434"/>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1"/>
      <c r="B107" s="3432"/>
      <c r="C107" s="2736" t="s">
        <v>2565</v>
      </c>
      <c r="D107" s="52">
        <f ca="1">I121</f>
        <v>25859</v>
      </c>
      <c r="E107" s="1389"/>
      <c r="F107" s="3433" t="s">
        <v>2543</v>
      </c>
      <c r="G107" s="3434"/>
      <c r="H107" s="2738" t="str">
        <f>C110</f>
        <v>总额（万元）</v>
      </c>
      <c r="I107" s="52">
        <f>C37</f>
        <v>0</v>
      </c>
      <c r="J107" s="2763"/>
    </row>
    <row r="108" spans="1:36" ht="12.75">
      <c r="A108" s="3438" t="s">
        <v>2541</v>
      </c>
      <c r="B108" s="3439"/>
      <c r="C108" s="2738" t="str">
        <f>IF(H19="元","总额（元）","总额（万元）")</f>
        <v>总额（万元）</v>
      </c>
      <c r="D108" s="2737">
        <f>IF(D36="正常操作",I106+I107+I108,I107+I108)</f>
        <v>0</v>
      </c>
      <c r="E108" s="1389"/>
      <c r="F108" s="3433" t="s">
        <v>2568</v>
      </c>
      <c r="G108" s="3434"/>
      <c r="H108" s="2738" t="str">
        <f>C111</f>
        <v>总额（万元）</v>
      </c>
      <c r="I108" s="52">
        <f>C38</f>
        <v>0</v>
      </c>
      <c r="J108" s="2763"/>
    </row>
    <row r="109" spans="1:36" ht="12.75">
      <c r="A109" s="3433" t="s">
        <v>2542</v>
      </c>
      <c r="B109" s="3434"/>
      <c r="C109" s="2738" t="str">
        <f>C108</f>
        <v>总额（万元）</v>
      </c>
      <c r="D109" s="52">
        <f>IF(D36="同一抵押权人同一抵押物续贷",C36&amp;"（未扣减，详见特别提示）",C36)</f>
        <v>0</v>
      </c>
      <c r="E109" s="1389"/>
      <c r="F109" s="3431"/>
      <c r="G109" s="3432"/>
      <c r="H109" s="3493"/>
      <c r="I109" s="3494"/>
      <c r="J109" s="2781"/>
    </row>
    <row r="110" spans="1:36" ht="28.5" customHeight="1">
      <c r="A110" s="3433" t="s">
        <v>2566</v>
      </c>
      <c r="B110" s="3434"/>
      <c r="C110" s="2738" t="str">
        <f>C108</f>
        <v>总额（万元）</v>
      </c>
      <c r="D110" s="52">
        <f>C37</f>
        <v>0</v>
      </c>
      <c r="E110" s="1389"/>
      <c r="F110" s="3423" t="str">
        <f>IF(项目基本情况!F5="已注销","——","3.房地产抵押价值")</f>
        <v>3.房地产抵押价值</v>
      </c>
      <c r="G110" s="3424"/>
      <c r="H110" s="2724" t="str">
        <f>C112</f>
        <v>总价（万元）</v>
      </c>
      <c r="I110" s="2737">
        <f ca="1">IF(F110="——","——",I102-I105)</f>
        <v>185</v>
      </c>
      <c r="J110" s="2779"/>
    </row>
    <row r="111" spans="1:36" ht="12.75">
      <c r="A111" s="3433" t="s">
        <v>2545</v>
      </c>
      <c r="B111" s="3434"/>
      <c r="C111" s="2738" t="str">
        <f>C108</f>
        <v>总额（万元）</v>
      </c>
      <c r="D111" s="52">
        <f>C38</f>
        <v>0</v>
      </c>
      <c r="E111" s="1389"/>
      <c r="F111" s="3522"/>
      <c r="G111" s="3523"/>
      <c r="H111" s="2736" t="s">
        <v>2540</v>
      </c>
      <c r="I111" s="2740">
        <f ca="1">D113</f>
        <v>25859</v>
      </c>
      <c r="J111" s="2782"/>
    </row>
    <row r="112" spans="1:36" ht="26.25" customHeight="1">
      <c r="A112" s="3431" t="str">
        <f>IF(项目基本情况!F5="已注销","——","3.房地产抵押价值")</f>
        <v>3.房地产抵押价值</v>
      </c>
      <c r="B112" s="3432"/>
      <c r="C112" s="2736" t="str">
        <f>B101</f>
        <v>总价（万元）</v>
      </c>
      <c r="D112" s="2737">
        <f ca="1">IF(A112="——","——",D106-D108)</f>
        <v>185</v>
      </c>
      <c r="E112" s="1389"/>
      <c r="F112" s="3423" t="str">
        <f>IF(项目基本情况!F5="已注销及未注销","4.抵押担保权已注销时的房地产抵押价值",IF(项目基本情况!F5="已注销","3.抵押担保权已注销时的房地产抵押价值","——"))</f>
        <v>——</v>
      </c>
      <c r="G112" s="3424"/>
      <c r="H112" s="2724" t="str">
        <f>C114</f>
        <v>总价（万元）</v>
      </c>
      <c r="I112" s="2737" t="str">
        <f>IF(F112="——","——",I102-I107-I108)</f>
        <v>——</v>
      </c>
      <c r="J112" s="2779"/>
    </row>
    <row r="113" spans="1:16" ht="12.75">
      <c r="A113" s="3431"/>
      <c r="B113" s="3432"/>
      <c r="C113" s="2736" t="s">
        <v>2533</v>
      </c>
      <c r="D113" s="52">
        <f ca="1">ROUND(IF(D112=D106,D107,IF(H19="元",D112/项目基本情况!C12,D112*10000/项目基本情况!C12)),0)</f>
        <v>25859</v>
      </c>
      <c r="E113" s="1389"/>
      <c r="F113" s="3522"/>
      <c r="G113" s="3523"/>
      <c r="H113" s="2736" t="s">
        <v>2569</v>
      </c>
      <c r="I113" s="52" t="str">
        <f>D115</f>
        <v>——</v>
      </c>
      <c r="J113" s="2763"/>
    </row>
    <row r="114" spans="1:16" ht="12.75">
      <c r="A114" s="3431" t="str">
        <f>IF(项目基本情况!F5="已注销及未注销","4.抵押担保权已注销时的房地产抵押价值",IF(项目基本情况!F5="已注销","3.抵押担保权已注销时的房地产抵押价值","——"))</f>
        <v>——</v>
      </c>
      <c r="B114" s="3432"/>
      <c r="C114" s="2736" t="str">
        <f>B101</f>
        <v>总价（万元）</v>
      </c>
      <c r="D114" s="2737" t="str">
        <f>IF(A114="——","——",D106-D110-D111)</f>
        <v>——</v>
      </c>
      <c r="E114" s="1389"/>
      <c r="F114" s="3423" t="str">
        <f>IF(项目基本情况!G5="抵押净值",IF(OR(项目基本情况!F5="已注销",项目基本情况!F5="房地产抵押价值"),"4.抵押净值","5.抵押净值"),"——")</f>
        <v>——</v>
      </c>
      <c r="G114" s="3424"/>
      <c r="H114" s="2736" t="str">
        <f>C116</f>
        <v>总价（万元）</v>
      </c>
      <c r="I114" s="2737" t="str">
        <f>IF(F114="——","——",O59)</f>
        <v>——</v>
      </c>
      <c r="J114" s="2779"/>
    </row>
    <row r="115" spans="1:16" ht="13.5" thickBot="1">
      <c r="A115" s="3431"/>
      <c r="B115" s="3432"/>
      <c r="C115" s="2736" t="s">
        <v>2533</v>
      </c>
      <c r="D115" s="52" t="str">
        <f>IF(A114="——","——",ROUND(IF(D114=D106,D107,IF(H19="元",D114/项目基本情况!C12,D114*10000/项目基本情况!C12)),0))</f>
        <v>——</v>
      </c>
      <c r="E115" s="1389"/>
      <c r="F115" s="3425"/>
      <c r="G115" s="3426"/>
      <c r="H115" s="2741" t="s">
        <v>2533</v>
      </c>
      <c r="I115" s="2725" t="str">
        <f ca="1">D117</f>
        <v>——</v>
      </c>
      <c r="J115" s="2763"/>
    </row>
    <row r="116" spans="1:16" ht="15.75">
      <c r="A116" s="3431" t="str">
        <f>IF(项目基本情况!G5="抵押净值",IF(OR(项目基本情况!F5="已注销",项目基本情况!F5="房地产抵押价值"),"4.抵押净值","5.抵押净值"),"——")</f>
        <v>——</v>
      </c>
      <c r="B116" s="3432"/>
      <c r="C116" s="2736" t="str">
        <f>B101</f>
        <v>总价（万元）</v>
      </c>
      <c r="D116" s="2737" t="str">
        <f>IF(A116="——","——",O59)</f>
        <v>——</v>
      </c>
      <c r="E116" s="1389"/>
      <c r="F116" s="3517"/>
      <c r="G116" s="3517"/>
      <c r="H116" s="3481"/>
      <c r="I116" s="3481"/>
      <c r="J116" s="2783"/>
      <c r="O116" s="32"/>
      <c r="P116" s="32"/>
    </row>
    <row r="117" spans="1:16" ht="13.5" thickBot="1">
      <c r="A117" s="3436"/>
      <c r="B117" s="3437"/>
      <c r="C117" s="2741" t="s">
        <v>2533</v>
      </c>
      <c r="D117" s="2725" t="str">
        <f ca="1">IF(D116=D112,D113,IF(A116="——","——",O61))</f>
        <v>——</v>
      </c>
      <c r="E117" s="1389"/>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84"/>
      <c r="O117" s="32"/>
      <c r="P117" s="32"/>
    </row>
    <row r="118" spans="1:16" ht="15">
      <c r="A118" s="3482" t="s">
        <v>1634</v>
      </c>
      <c r="B118" s="3483"/>
      <c r="C118" s="3483"/>
      <c r="D118" s="3483"/>
      <c r="E118" s="3483"/>
      <c r="F118" s="3483"/>
      <c r="G118" s="3483"/>
      <c r="H118" s="3483"/>
      <c r="I118" s="3483"/>
      <c r="J118" s="2785"/>
    </row>
    <row r="119" spans="1:16" ht="12.75">
      <c r="A119" s="3416" t="s">
        <v>2551</v>
      </c>
      <c r="B119" s="3442" t="s">
        <v>2561</v>
      </c>
      <c r="C119" s="3442" t="s">
        <v>2562</v>
      </c>
      <c r="D119" s="3504" t="s">
        <v>2553</v>
      </c>
      <c r="E119" s="3505"/>
      <c r="F119" s="3417" t="s">
        <v>2563</v>
      </c>
      <c r="G119" s="3417"/>
      <c r="H119" s="3417" t="s">
        <v>2554</v>
      </c>
      <c r="I119" s="3503"/>
      <c r="J119" s="2763"/>
    </row>
    <row r="120" spans="1:16" ht="12.75">
      <c r="A120" s="3416"/>
      <c r="B120" s="3443"/>
      <c r="C120" s="3443"/>
      <c r="D120" s="2019" t="s">
        <v>2555</v>
      </c>
      <c r="E120" s="2019" t="s">
        <v>2560</v>
      </c>
      <c r="F120" s="2019" t="s">
        <v>2555</v>
      </c>
      <c r="G120" s="2019" t="s">
        <v>2556</v>
      </c>
      <c r="H120" s="2019" t="s">
        <v>2555</v>
      </c>
      <c r="I120" s="52" t="s">
        <v>2556</v>
      </c>
      <c r="J120" s="2763"/>
    </row>
    <row r="121" spans="1:16" ht="12.75">
      <c r="A121" s="2009" t="str">
        <f>项目基本情况!I1</f>
        <v>北京市房地产</v>
      </c>
      <c r="B121" s="2019">
        <f>项目基本情况!C12</f>
        <v>71.38</v>
      </c>
      <c r="C121" s="2019">
        <f>项目基本情况!C13</f>
        <v>0</v>
      </c>
      <c r="D121" s="2019">
        <f ca="1">ROUND(IF(B32="总价",C34,IF('数据-取费表'!B3="万元",E121*B121/10000,E121*B121)),0)</f>
        <v>144</v>
      </c>
      <c r="E121" s="2019">
        <f ca="1">ROUND(IF(B32="楼面单价",C34,IF(H19="元",D121/B121,D121*10000/B121)),0)</f>
        <v>20144</v>
      </c>
      <c r="F121" s="2019">
        <f ca="1">ROUND(IF(B32="总价",C35,IF('数据-取费表'!B3="万元",G121*B121/10000,G121*B121)),0)</f>
        <v>41</v>
      </c>
      <c r="G121" s="2019">
        <f ca="1">ROUND(IF(B32="楼面单价",C35,IF(H19="元",F121/B121,F121*10000/B121)),0)</f>
        <v>5715</v>
      </c>
      <c r="H121" s="2019">
        <f ca="1">ROUND(IF(B32="总价",C32,IF('数据-取费表'!B3="万元",I121*B121/10000,I121*B121)),0)</f>
        <v>185</v>
      </c>
      <c r="I121" s="52">
        <f ca="1">ROUND(IF(B32="楼面单价",C32,IF(H19="元",H121/B121,H121*10000/B121)),0)</f>
        <v>25859</v>
      </c>
      <c r="J121" s="2763"/>
    </row>
    <row r="122" spans="1:16" ht="12.75">
      <c r="A122" s="3416" t="s">
        <v>2557</v>
      </c>
      <c r="B122" s="3417"/>
      <c r="C122" s="3417"/>
      <c r="D122" s="3444" t="str">
        <f ca="1">IF(H19="元",NUMBERSTRING(INT(D121),2)&amp;"元整",NUMBERSTRING(INT(D121*10000),2)&amp;"元整")</f>
        <v>壹佰肆拾肆万元整</v>
      </c>
      <c r="E122" s="3487"/>
      <c r="F122" s="3444" t="str">
        <f ca="1">IF(H19="元",NUMBERSTRING(INT(F121),2)&amp;"元整",NUMBERSTRING(INT(F121*10000),2)&amp;"元整")</f>
        <v>肆拾壹万元整</v>
      </c>
      <c r="G122" s="3487"/>
      <c r="H122" s="3444" t="str">
        <f ca="1">IF(H19="元",NUMBERSTRING(INT(H121),2)&amp;"元整",NUMBERSTRING(INT(H121*10000),2)&amp;"元整")</f>
        <v>壹佰捌拾伍万元整</v>
      </c>
      <c r="I122" s="3445"/>
      <c r="J122" s="2786"/>
    </row>
    <row r="123" spans="1:16" ht="12.75">
      <c r="A123" s="3421" t="str">
        <f>IF(项目基本情况!D5="房地产市场价值","——",MID(A108,3,LEN(A108)-2))</f>
        <v>估价师所知悉的法定优先受偿款</v>
      </c>
      <c r="B123" s="3427"/>
      <c r="C123" s="3422"/>
      <c r="D123" s="3419">
        <f>I105</f>
        <v>0</v>
      </c>
      <c r="E123" s="3427"/>
      <c r="F123" s="3427"/>
      <c r="G123" s="3427"/>
      <c r="H123" s="3427"/>
      <c r="I123" s="3420"/>
      <c r="J123" s="2779"/>
    </row>
    <row r="124" spans="1:16" ht="12.75">
      <c r="A124" s="3488" t="s">
        <v>2557</v>
      </c>
      <c r="B124" s="3456"/>
      <c r="C124" s="3457"/>
      <c r="D124" s="3428">
        <f>H109</f>
        <v>0</v>
      </c>
      <c r="E124" s="3429"/>
      <c r="F124" s="3429"/>
      <c r="G124" s="3429"/>
      <c r="H124" s="3429"/>
      <c r="I124" s="3430"/>
      <c r="J124" s="2787"/>
    </row>
    <row r="125" spans="1:16" ht="12.75">
      <c r="A125" s="3431" t="str">
        <f>IF(项目基本情况!D5="房地产市场价值","——",MID(A112,3,LEN(A112)-2))</f>
        <v>房地产抵押价值</v>
      </c>
      <c r="B125" s="3432"/>
      <c r="C125" s="3432"/>
      <c r="D125" s="3419">
        <f ca="1">I110</f>
        <v>185</v>
      </c>
      <c r="E125" s="3427"/>
      <c r="F125" s="3427"/>
      <c r="G125" s="3427"/>
      <c r="H125" s="3427"/>
      <c r="I125" s="3420"/>
      <c r="J125" s="2779"/>
    </row>
    <row r="126" spans="1:16" ht="12.75">
      <c r="A126" s="3416" t="s">
        <v>2557</v>
      </c>
      <c r="B126" s="3417"/>
      <c r="C126" s="3417"/>
      <c r="D126" s="3428">
        <f ca="1">I111</f>
        <v>25859</v>
      </c>
      <c r="E126" s="3429"/>
      <c r="F126" s="3429"/>
      <c r="G126" s="3429"/>
      <c r="H126" s="3429"/>
      <c r="I126" s="3430"/>
      <c r="J126" s="2787"/>
    </row>
    <row r="127" spans="1:16" ht="13.5" thickBot="1">
      <c r="A127" s="3431" t="str">
        <f>IF(项目基本情况!D5="房地产市场价值","——",MID(A114,3,LEN(A114)-2))</f>
        <v/>
      </c>
      <c r="B127" s="3432"/>
      <c r="C127" s="3432"/>
      <c r="D127" s="3464" t="str">
        <f>I112</f>
        <v>——</v>
      </c>
      <c r="E127" s="3465"/>
      <c r="F127" s="3465"/>
      <c r="G127" s="3465"/>
      <c r="H127" s="3465"/>
      <c r="I127" s="3516"/>
      <c r="J127" s="2779"/>
    </row>
    <row r="128" spans="1:16" ht="14.25" thickTop="1" thickBot="1">
      <c r="A128" s="3416" t="s">
        <v>2557</v>
      </c>
      <c r="B128" s="3417"/>
      <c r="C128" s="3418"/>
      <c r="D128" s="3480" t="str">
        <f>I113</f>
        <v>——</v>
      </c>
      <c r="E128" s="3480"/>
      <c r="F128" s="3480"/>
      <c r="G128" s="3480"/>
      <c r="H128" s="3480"/>
      <c r="I128" s="3480"/>
      <c r="J128" s="2787"/>
    </row>
    <row r="129" spans="1:10" ht="14.25" thickTop="1" thickBot="1">
      <c r="A129" s="3431" t="str">
        <f>IF(项目基本情况!D5="房地产市场价值","——",MID(F114,3,LEN(F114)-2))</f>
        <v/>
      </c>
      <c r="B129" s="3432"/>
      <c r="C129" s="3419"/>
      <c r="D129" s="3435" t="str">
        <f>I114</f>
        <v>——</v>
      </c>
      <c r="E129" s="3435"/>
      <c r="F129" s="3435"/>
      <c r="G129" s="3435"/>
      <c r="H129" s="3435"/>
      <c r="I129" s="3435"/>
      <c r="J129" s="2779"/>
    </row>
    <row r="130" spans="1:10" ht="14.25" thickTop="1" thickBot="1">
      <c r="A130" s="3440" t="s">
        <v>2557</v>
      </c>
      <c r="B130" s="3441"/>
      <c r="C130" s="3441"/>
      <c r="D130" s="3446">
        <f>H116</f>
        <v>0</v>
      </c>
      <c r="E130" s="3447"/>
      <c r="F130" s="3447"/>
      <c r="G130" s="3447"/>
      <c r="H130" s="3447"/>
      <c r="I130" s="3448"/>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414" t="str">
        <f>IF(B32="总价","（以上估价结果中楼面单价为总价除以建筑面积得出）","（以上估价结果中总价为楼面单价乘以建筑面积得出）")</f>
        <v>（以上估价结果中总价为楼面单价乘以建筑面积得出）</v>
      </c>
      <c r="B132" s="3414"/>
      <c r="C132" s="3414"/>
      <c r="D132" s="3414"/>
      <c r="E132" s="3414"/>
      <c r="F132" s="3414"/>
      <c r="G132" s="3414"/>
      <c r="H132" s="3414"/>
      <c r="I132" s="3414"/>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8" t="s">
        <v>1643</v>
      </c>
      <c r="B2" s="3548"/>
      <c r="C2" s="3548"/>
      <c r="D2" s="3548"/>
      <c r="E2" s="3548"/>
      <c r="F2" s="3548"/>
      <c r="G2" s="3548"/>
      <c r="H2" s="3548"/>
      <c r="I2" s="3548"/>
      <c r="J2" s="2792"/>
    </row>
    <row r="3" spans="1:15" ht="12.75">
      <c r="A3" s="3472" t="s">
        <v>1471</v>
      </c>
      <c r="B3" s="3473"/>
      <c r="C3" s="3473"/>
      <c r="D3" s="3473"/>
      <c r="E3" s="3473"/>
      <c r="F3" s="3473"/>
      <c r="G3" s="3473"/>
      <c r="H3" s="3473"/>
      <c r="I3" s="3473"/>
      <c r="J3" s="2762"/>
    </row>
    <row r="4" spans="1:15" ht="14.25">
      <c r="A4" s="2630" t="s">
        <v>1472</v>
      </c>
      <c r="B4" s="2630" t="s">
        <v>1473</v>
      </c>
      <c r="C4" s="2631"/>
      <c r="D4" s="2631"/>
      <c r="E4" s="3418" t="s">
        <v>1644</v>
      </c>
      <c r="F4" s="3456"/>
      <c r="G4" s="3456"/>
      <c r="H4" s="3456"/>
      <c r="I4" s="3457"/>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49" t="s">
        <v>1475</v>
      </c>
      <c r="B5" s="3449">
        <v>25</v>
      </c>
      <c r="C5" s="3458"/>
      <c r="D5" s="3471"/>
      <c r="E5" s="12" t="s">
        <v>1476</v>
      </c>
      <c r="F5" s="2016"/>
      <c r="G5" s="2016"/>
      <c r="H5" s="2016"/>
      <c r="I5" s="2011"/>
      <c r="J5" s="2763"/>
    </row>
    <row r="6" spans="1:15" ht="12.75">
      <c r="A6" s="3449"/>
      <c r="B6" s="3449"/>
      <c r="C6" s="3474"/>
      <c r="D6" s="3471"/>
      <c r="E6" s="12" t="s">
        <v>1477</v>
      </c>
      <c r="F6" s="2016"/>
      <c r="G6" s="2016"/>
      <c r="H6" s="2016"/>
      <c r="I6" s="2011"/>
      <c r="J6" s="2763"/>
    </row>
    <row r="7" spans="1:15" ht="12.75">
      <c r="A7" s="3449"/>
      <c r="B7" s="3449"/>
      <c r="C7" s="3459"/>
      <c r="D7" s="3471"/>
      <c r="E7" s="12" t="s">
        <v>1478</v>
      </c>
      <c r="F7" s="2016"/>
      <c r="G7" s="2016"/>
      <c r="H7" s="2016"/>
      <c r="I7" s="2011"/>
      <c r="J7" s="2763"/>
    </row>
    <row r="8" spans="1:15" ht="12.75">
      <c r="A8" s="3449" t="s">
        <v>1479</v>
      </c>
      <c r="B8" s="3449">
        <v>15</v>
      </c>
      <c r="C8" s="3458"/>
      <c r="D8" s="3471"/>
      <c r="E8" s="12" t="s">
        <v>1480</v>
      </c>
      <c r="F8" s="2016"/>
      <c r="G8" s="2016"/>
      <c r="H8" s="2016"/>
      <c r="I8" s="2011"/>
      <c r="J8" s="2763"/>
    </row>
    <row r="9" spans="1:15" ht="12.75">
      <c r="A9" s="3449"/>
      <c r="B9" s="3449"/>
      <c r="C9" s="3459"/>
      <c r="D9" s="3471"/>
      <c r="E9" s="12" t="s">
        <v>1481</v>
      </c>
      <c r="F9" s="2016"/>
      <c r="G9" s="2016"/>
      <c r="H9" s="2016"/>
      <c r="I9" s="2011"/>
      <c r="J9" s="2763"/>
    </row>
    <row r="10" spans="1:15" ht="12.75">
      <c r="A10" s="3449" t="s">
        <v>1482</v>
      </c>
      <c r="B10" s="3449">
        <v>15</v>
      </c>
      <c r="C10" s="3458"/>
      <c r="D10" s="3471"/>
      <c r="E10" s="12" t="s">
        <v>1483</v>
      </c>
      <c r="F10" s="2016"/>
      <c r="G10" s="2016"/>
      <c r="H10" s="2016"/>
      <c r="I10" s="2011"/>
      <c r="J10" s="2763"/>
    </row>
    <row r="11" spans="1:15" ht="12.75">
      <c r="A11" s="3449"/>
      <c r="B11" s="3449"/>
      <c r="C11" s="3459"/>
      <c r="D11" s="3471"/>
      <c r="E11" s="12" t="s">
        <v>1484</v>
      </c>
      <c r="F11" s="2016"/>
      <c r="G11" s="2016"/>
      <c r="H11" s="2016"/>
      <c r="I11" s="2011"/>
      <c r="J11" s="2763"/>
    </row>
    <row r="12" spans="1:15" ht="12.75">
      <c r="A12" s="3449" t="s">
        <v>1485</v>
      </c>
      <c r="B12" s="3449">
        <v>15</v>
      </c>
      <c r="C12" s="3458"/>
      <c r="D12" s="3471"/>
      <c r="E12" s="12" t="s">
        <v>1486</v>
      </c>
      <c r="F12" s="2016"/>
      <c r="G12" s="2016"/>
      <c r="H12" s="2016"/>
      <c r="I12" s="2011"/>
      <c r="J12" s="2763"/>
    </row>
    <row r="13" spans="1:15" ht="12.75">
      <c r="A13" s="3449"/>
      <c r="B13" s="3449"/>
      <c r="C13" s="3459"/>
      <c r="D13" s="3471"/>
      <c r="E13" s="12" t="s">
        <v>1487</v>
      </c>
      <c r="F13" s="2016"/>
      <c r="G13" s="2016"/>
      <c r="H13" s="2016"/>
      <c r="I13" s="2011"/>
      <c r="J13" s="2763"/>
    </row>
    <row r="14" spans="1:15" ht="12.75">
      <c r="A14" s="3449" t="s">
        <v>1488</v>
      </c>
      <c r="B14" s="3449">
        <v>30</v>
      </c>
      <c r="C14" s="3458"/>
      <c r="D14" s="3471"/>
      <c r="E14" s="12" t="s">
        <v>1489</v>
      </c>
      <c r="F14" s="2016"/>
      <c r="G14" s="2016"/>
      <c r="H14" s="2016"/>
      <c r="I14" s="2011"/>
      <c r="J14" s="2763"/>
    </row>
    <row r="15" spans="1:15" ht="12.75">
      <c r="A15" s="3449"/>
      <c r="B15" s="3449"/>
      <c r="C15" s="3474"/>
      <c r="D15" s="3471"/>
      <c r="E15" s="12" t="s">
        <v>1490</v>
      </c>
      <c r="F15" s="2016"/>
      <c r="G15" s="2016"/>
      <c r="H15" s="2016"/>
      <c r="I15" s="2011"/>
      <c r="J15" s="2763"/>
    </row>
    <row r="16" spans="1:15" ht="12.75">
      <c r="A16" s="3449"/>
      <c r="B16" s="3449"/>
      <c r="C16" s="3459"/>
      <c r="D16" s="3471"/>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67" t="s">
        <v>2576</v>
      </c>
      <c r="F18" s="3468"/>
      <c r="G18" s="3468"/>
      <c r="H18" s="3468"/>
      <c r="I18" s="3468"/>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0" t="s">
        <v>1500</v>
      </c>
      <c r="B24" s="2638" t="s">
        <v>1495</v>
      </c>
      <c r="C24" s="2641">
        <f>D30</f>
        <v>0</v>
      </c>
      <c r="D24" s="2593"/>
      <c r="E24" s="905"/>
      <c r="F24" s="905"/>
      <c r="G24" s="905"/>
      <c r="H24" s="905"/>
      <c r="I24" s="905"/>
      <c r="J24" s="2764"/>
    </row>
    <row r="25" spans="1:36" ht="21.75" customHeight="1">
      <c r="A25" s="347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0"/>
      <c r="G30" s="2480"/>
      <c r="H30" s="2480"/>
      <c r="I30" s="2480"/>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25" t="s">
        <v>1647</v>
      </c>
      <c r="B32" s="3525"/>
      <c r="C32" s="3525"/>
      <c r="D32" s="3525"/>
      <c r="E32" s="3525"/>
      <c r="F32" s="3525"/>
      <c r="G32" s="3525"/>
      <c r="H32" s="3525"/>
      <c r="I32" s="3525"/>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460" t="s">
        <v>1656</v>
      </c>
      <c r="B38" s="1396" t="s">
        <v>1657</v>
      </c>
      <c r="C38" s="2674"/>
      <c r="D38" s="2675"/>
      <c r="E38" s="1608"/>
      <c r="F38" s="1608"/>
      <c r="G38" s="905"/>
      <c r="H38" s="905"/>
      <c r="I38" s="905"/>
      <c r="J38" s="2764"/>
    </row>
    <row r="39" spans="1:16" ht="15.75" thickBot="1">
      <c r="A39" s="3461"/>
      <c r="B39" s="2021" t="s">
        <v>1658</v>
      </c>
      <c r="C39" s="2676"/>
      <c r="D39" s="1239"/>
      <c r="E39" s="1239"/>
      <c r="F39" s="1608"/>
      <c r="G39" s="1239"/>
      <c r="H39" s="1239"/>
      <c r="I39" s="1239"/>
      <c r="J39" s="2768"/>
    </row>
    <row r="40" spans="1:16" ht="15.75" thickBot="1">
      <c r="A40" s="3462"/>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64" t="s">
        <v>1669</v>
      </c>
      <c r="B47" s="3465"/>
      <c r="C47" s="3424"/>
      <c r="D47" s="246">
        <f>ROUND(I104*F47,0)</f>
        <v>0</v>
      </c>
      <c r="E47" s="1470" t="s">
        <v>1670</v>
      </c>
      <c r="F47" s="2478">
        <v>1</v>
      </c>
      <c r="G47" s="2479" t="s">
        <v>1671</v>
      </c>
      <c r="H47" s="905"/>
      <c r="I47" s="905"/>
      <c r="J47" s="2764"/>
      <c r="K47" s="3550" t="s">
        <v>1527</v>
      </c>
      <c r="L47" s="3550"/>
      <c r="M47" s="3550"/>
      <c r="N47" s="3550"/>
      <c r="O47" s="3550"/>
      <c r="P47" s="3550"/>
    </row>
    <row r="48" spans="1:16" ht="14.25" customHeight="1">
      <c r="A48" s="3453" t="s">
        <v>1528</v>
      </c>
      <c r="B48" s="3454"/>
      <c r="C48" s="3454"/>
      <c r="D48" s="3454"/>
      <c r="E48" s="3454"/>
      <c r="F48" s="3454"/>
      <c r="G48" s="3455"/>
      <c r="H48" s="2896"/>
      <c r="I48" s="905"/>
      <c r="J48" s="2764"/>
      <c r="K48" s="2430">
        <v>1</v>
      </c>
      <c r="L48" s="3545" t="s">
        <v>1529</v>
      </c>
      <c r="M48" s="3545"/>
      <c r="N48" s="3551"/>
      <c r="O48" s="3551"/>
      <c r="P48" s="3551"/>
    </row>
    <row r="49" spans="1:17" ht="12" customHeight="1">
      <c r="A49" s="38" t="s">
        <v>1530</v>
      </c>
      <c r="B49" s="39"/>
      <c r="C49" s="40"/>
      <c r="D49" s="1028" t="s">
        <v>1531</v>
      </c>
      <c r="E49" s="235" t="s">
        <v>1532</v>
      </c>
      <c r="F49" s="41" t="s">
        <v>1533</v>
      </c>
      <c r="G49" s="2481" t="s">
        <v>1534</v>
      </c>
      <c r="H49" s="2896"/>
      <c r="I49" s="905"/>
      <c r="J49" s="2764"/>
      <c r="K49" s="2430">
        <v>2</v>
      </c>
      <c r="L49" s="3545" t="s">
        <v>1535</v>
      </c>
      <c r="M49" s="3545"/>
      <c r="N49" s="3552">
        <f>'数据-取费表'!B2</f>
        <v>44817</v>
      </c>
      <c r="O49" s="3552"/>
      <c r="P49" s="3552"/>
    </row>
    <row r="50" spans="1:17" ht="25.5">
      <c r="A50" s="3463" t="s">
        <v>1536</v>
      </c>
      <c r="B50" s="3417"/>
      <c r="C50" s="3417"/>
      <c r="D50" s="12">
        <f>IF(H50="情况1",0,IF(H50="情况2",D54,IF(H50="情况3",D55,IF(H50="情况4",D56))))</f>
        <v>0</v>
      </c>
      <c r="E50" s="2019" t="str">
        <f>IF(H50="情况4","(销售额-原购置价)×税（费）率","销售额×税（费）率")</f>
        <v>销售额×税（费）率</v>
      </c>
      <c r="F50" s="2482">
        <f>IF(H50="情况1","免征",'数据-取费表'!E29)</f>
        <v>5.6000000000000001E-2</v>
      </c>
      <c r="G50" s="2483" t="s">
        <v>1537</v>
      </c>
      <c r="H50" s="2484" t="s">
        <v>1538</v>
      </c>
      <c r="I50" s="2896"/>
      <c r="J50" s="2771"/>
      <c r="K50" s="2430">
        <v>3</v>
      </c>
      <c r="L50" s="3545" t="s">
        <v>1539</v>
      </c>
      <c r="M50" s="3545"/>
      <c r="N50" s="3546">
        <f>I104</f>
        <v>0</v>
      </c>
      <c r="O50" s="3546"/>
      <c r="P50" s="3546"/>
    </row>
    <row r="51" spans="1:17" ht="25.5" customHeight="1">
      <c r="A51" s="2018" t="s">
        <v>1540</v>
      </c>
      <c r="B51" s="3456" t="s">
        <v>1541</v>
      </c>
      <c r="C51" s="3456"/>
      <c r="D51" s="2485">
        <v>0</v>
      </c>
      <c r="E51" s="261" t="s">
        <v>1542</v>
      </c>
      <c r="F51" s="2486" t="s">
        <v>48</v>
      </c>
      <c r="G51" s="3513"/>
      <c r="H51" s="2487" t="s">
        <v>2500</v>
      </c>
      <c r="I51" s="2488"/>
      <c r="J51" s="2772"/>
      <c r="K51" s="2430">
        <v>4</v>
      </c>
      <c r="L51" s="3545" t="str">
        <f>IF(项目基本情况!F5="房地产抵押价值","房地产抵押价值","抵押担保权已注销时的房地产抵押价值")</f>
        <v>抵押担保权已注销时的房地产抵押价值</v>
      </c>
      <c r="M51" s="3545"/>
      <c r="N51" s="3546" t="str">
        <f>IF(项目基本情况!F5="房地产抵押价值",I112,I114)</f>
        <v>——</v>
      </c>
      <c r="O51" s="3546"/>
      <c r="P51" s="3546"/>
    </row>
    <row r="52" spans="1:17" ht="25.5" customHeight="1">
      <c r="A52" s="2008"/>
      <c r="B52" s="3456" t="s">
        <v>1543</v>
      </c>
      <c r="C52" s="3456"/>
      <c r="D52" s="2489"/>
      <c r="E52" s="269"/>
      <c r="F52" s="2486"/>
      <c r="G52" s="3514"/>
      <c r="H52" s="2490" t="s">
        <v>2501</v>
      </c>
      <c r="I52" s="2488"/>
      <c r="J52" s="2772"/>
      <c r="K52" s="3545" t="s">
        <v>1544</v>
      </c>
      <c r="L52" s="3545"/>
      <c r="M52" s="3545"/>
      <c r="N52" s="3545"/>
      <c r="O52" s="3545"/>
      <c r="P52" s="3545"/>
    </row>
    <row r="53" spans="1:17" ht="20.45" customHeight="1">
      <c r="A53" s="2491"/>
      <c r="B53" s="3456" t="s">
        <v>1545</v>
      </c>
      <c r="C53" s="3456"/>
      <c r="D53" s="1028"/>
      <c r="E53" s="264"/>
      <c r="F53" s="2486"/>
      <c r="G53" s="3515"/>
      <c r="H53" s="2490" t="s">
        <v>2502</v>
      </c>
      <c r="I53" s="2488"/>
      <c r="J53" s="2772"/>
      <c r="K53" s="2431" t="s">
        <v>1546</v>
      </c>
      <c r="L53" s="3545" t="s">
        <v>1547</v>
      </c>
      <c r="M53" s="3545"/>
      <c r="N53" s="2431" t="s">
        <v>1548</v>
      </c>
      <c r="O53" s="2431" t="s">
        <v>1549</v>
      </c>
      <c r="P53" s="2431" t="s">
        <v>1550</v>
      </c>
    </row>
    <row r="54" spans="1:17" ht="24" customHeight="1">
      <c r="A54" s="2009" t="s">
        <v>1551</v>
      </c>
      <c r="B54" s="3456" t="s">
        <v>1552</v>
      </c>
      <c r="C54" s="3456"/>
      <c r="D54" s="1028">
        <f>ROUND(D47*'数据-取费表'!E29/(1+'数据-取费表'!F30),0)</f>
        <v>0</v>
      </c>
      <c r="E54" s="2019" t="s">
        <v>1553</v>
      </c>
      <c r="F54" s="2492">
        <f>'数据-取费表'!E29</f>
        <v>5.6000000000000001E-2</v>
      </c>
      <c r="G54" s="2493"/>
      <c r="H54" s="905"/>
      <c r="I54" s="2897"/>
      <c r="J54" s="2772"/>
      <c r="K54" s="2430">
        <v>1</v>
      </c>
      <c r="L54" s="3541" t="s">
        <v>1554</v>
      </c>
      <c r="M54" s="3541"/>
      <c r="N54" s="2432">
        <f>D50</f>
        <v>0</v>
      </c>
      <c r="O54" s="2430" t="str">
        <f>E50</f>
        <v>销售额×税（费）率</v>
      </c>
      <c r="P54" s="2433">
        <f>F50</f>
        <v>5.6000000000000001E-2</v>
      </c>
    </row>
    <row r="55" spans="1:17" ht="12" customHeight="1">
      <c r="A55" s="2009" t="s">
        <v>1555</v>
      </c>
      <c r="B55" s="3418" t="s">
        <v>2593</v>
      </c>
      <c r="C55" s="3457"/>
      <c r="D55" s="1028">
        <f>ROUND(D47*'数据-取费表'!E29/(1+'数据-取费表'!F30),0)</f>
        <v>0</v>
      </c>
      <c r="E55" s="2019" t="s">
        <v>1553</v>
      </c>
      <c r="F55" s="2492">
        <f>'数据-取费表'!E29</f>
        <v>5.6000000000000001E-2</v>
      </c>
      <c r="G55" s="2493"/>
      <c r="H55" s="905"/>
      <c r="I55" s="2897"/>
      <c r="J55" s="2772"/>
      <c r="K55" s="2430">
        <v>2</v>
      </c>
      <c r="L55" s="3541" t="s">
        <v>1556</v>
      </c>
      <c r="M55" s="3541"/>
      <c r="N55" s="2432">
        <f t="shared" ref="N55:P56" si="1">D57</f>
        <v>0</v>
      </c>
      <c r="O55" s="2430" t="str">
        <f t="shared" si="1"/>
        <v>销售额×税（费）率</v>
      </c>
      <c r="P55" s="2433">
        <f t="shared" si="1"/>
        <v>5.0000000000000001E-4</v>
      </c>
    </row>
    <row r="56" spans="1:17" ht="12" customHeight="1">
      <c r="A56" s="2009" t="s">
        <v>1557</v>
      </c>
      <c r="B56" s="3418" t="s">
        <v>2594</v>
      </c>
      <c r="C56" s="3457"/>
      <c r="D56" s="1028">
        <f>C70</f>
        <v>0</v>
      </c>
      <c r="E56" s="264" t="s">
        <v>1558</v>
      </c>
      <c r="F56" s="2492">
        <f>'数据-取费表'!E29</f>
        <v>5.6000000000000001E-2</v>
      </c>
      <c r="G56" s="2493"/>
      <c r="H56" s="2898"/>
      <c r="I56" s="2897"/>
      <c r="J56" s="2772"/>
      <c r="K56" s="2430">
        <v>3</v>
      </c>
      <c r="L56" s="3541" t="s">
        <v>1559</v>
      </c>
      <c r="M56" s="3541"/>
      <c r="N56" s="2432">
        <f t="shared" si="1"/>
        <v>0</v>
      </c>
      <c r="O56" s="2430" t="str">
        <f t="shared" si="1"/>
        <v>增值额×税（费）率</v>
      </c>
      <c r="P56" s="2434" t="str">
        <f t="shared" si="1"/>
        <v>——</v>
      </c>
    </row>
    <row r="57" spans="1:17" ht="24" customHeight="1">
      <c r="A57" s="3416" t="s">
        <v>1560</v>
      </c>
      <c r="B57" s="3417"/>
      <c r="C57" s="3417"/>
      <c r="D57" s="12">
        <f>IF(H57="个人住宅",0,ROUND(D47*I57,0))</f>
        <v>0</v>
      </c>
      <c r="E57" s="2019" t="s">
        <v>1561</v>
      </c>
      <c r="F57" s="2492">
        <f>IF(H57="正常",I57,"免征")</f>
        <v>5.0000000000000001E-4</v>
      </c>
      <c r="G57" s="2493"/>
      <c r="H57" s="2484" t="s">
        <v>1562</v>
      </c>
      <c r="I57" s="74">
        <f>'数据-取费表'!E37</f>
        <v>5.0000000000000001E-4</v>
      </c>
      <c r="J57" s="2772"/>
      <c r="K57" s="2430">
        <f>IF(H61="非个人房产","",4)</f>
        <v>4</v>
      </c>
      <c r="L57" s="3541" t="str">
        <f>IF(H61="非个人房产","——","个人所得税")</f>
        <v>个人所得税</v>
      </c>
      <c r="M57" s="3541"/>
      <c r="N57" s="2435">
        <f>D61</f>
        <v>0</v>
      </c>
      <c r="O57" s="2436" t="str">
        <f>E61</f>
        <v>销售额×税（费）率</v>
      </c>
      <c r="P57" s="2437">
        <f>F61</f>
        <v>0.01</v>
      </c>
    </row>
    <row r="58" spans="1:17" ht="24.75">
      <c r="A58" s="3416" t="s">
        <v>1563</v>
      </c>
      <c r="B58" s="3417"/>
      <c r="C58" s="3417"/>
      <c r="D58" s="12">
        <f>IF(H58="个人住宅",D59,D60)</f>
        <v>0</v>
      </c>
      <c r="E58" s="2019" t="s">
        <v>1564</v>
      </c>
      <c r="F58" s="2492" t="str">
        <f>IF(H58="正常",F60,"免征")</f>
        <v>——</v>
      </c>
      <c r="G58" s="2494" t="s">
        <v>1565</v>
      </c>
      <c r="H58" s="2495" t="s">
        <v>1562</v>
      </c>
      <c r="I58" s="2899"/>
      <c r="J58" s="2772"/>
      <c r="K58" s="2430" t="str">
        <f>IF(项目基本情况!I6="上海银行",IF(K57="",4,K57+1),"")</f>
        <v/>
      </c>
      <c r="L58" s="3543" t="str">
        <f>IF(项目基本情况!I6="上海银行","其他处置费用","")</f>
        <v/>
      </c>
      <c r="M58" s="3544"/>
      <c r="N58" s="2432" t="str">
        <f>IF(项目基本情况!I6="上海银行",N71,"")</f>
        <v/>
      </c>
      <c r="O58" s="3543" t="str">
        <f>IF(项目基本情况!I6="上海银行","包含处置中涉及的律师、诉讼、拍卖、评估等费用","")</f>
        <v/>
      </c>
      <c r="P58" s="3547"/>
    </row>
    <row r="59" spans="1:17" ht="12.75">
      <c r="A59" s="2009" t="s">
        <v>1540</v>
      </c>
      <c r="B59" s="3418" t="s">
        <v>1566</v>
      </c>
      <c r="C59" s="3457"/>
      <c r="D59" s="2485">
        <v>0</v>
      </c>
      <c r="E59" s="261" t="s">
        <v>1542</v>
      </c>
      <c r="F59" s="235"/>
      <c r="G59" s="2493"/>
      <c r="H59" s="2899"/>
      <c r="I59" s="2899"/>
      <c r="J59" s="2772"/>
      <c r="K59" s="3541">
        <f>IF(AND(K57="",K58=""),4,IF(项目基本情况!I6="上海银行",K58+1,K57+1))</f>
        <v>5</v>
      </c>
      <c r="L59" s="3541" t="s">
        <v>1567</v>
      </c>
      <c r="M59" s="2438" t="s">
        <v>1568</v>
      </c>
      <c r="N59" s="2439"/>
      <c r="O59" s="2440">
        <f>SUMIF(N54:N58,"&lt;9e307")</f>
        <v>0</v>
      </c>
      <c r="P59" s="2441"/>
      <c r="Q59" s="1234" t="e">
        <f>O59/N51</f>
        <v>#VALUE!</v>
      </c>
    </row>
    <row r="60" spans="1:17" ht="24.75">
      <c r="A60" s="2009" t="s">
        <v>1551</v>
      </c>
      <c r="B60" s="3418" t="s">
        <v>1569</v>
      </c>
      <c r="C60" s="3456"/>
      <c r="D60" s="12">
        <f>IF(H60="转让取得",C83,C99)</f>
        <v>0</v>
      </c>
      <c r="E60" s="2019" t="s">
        <v>1564</v>
      </c>
      <c r="F60" s="235" t="s">
        <v>48</v>
      </c>
      <c r="G60" s="2493"/>
      <c r="H60" s="2495" t="s">
        <v>1570</v>
      </c>
      <c r="I60" s="2899"/>
      <c r="J60" s="2772"/>
      <c r="K60" s="3541"/>
      <c r="L60" s="3541"/>
      <c r="M60" s="2438" t="s">
        <v>1571</v>
      </c>
      <c r="N60" s="2442"/>
      <c r="O60" s="2443" t="str">
        <f>IF(H19="元",NUMBERSTRING(INT(O59),2)&amp;"元整",NUMBERSTRING(INT(O59*10000),2)&amp;"元整")</f>
        <v>零元整</v>
      </c>
      <c r="P60" s="2444"/>
    </row>
    <row r="61" spans="1:17" ht="26.25" thickBot="1">
      <c r="A61" s="3440" t="s">
        <v>1572</v>
      </c>
      <c r="B61" s="3441"/>
      <c r="C61" s="3441"/>
      <c r="D61" s="69">
        <f>IF(H61="非个人房产","——",IF(H61="个人住宅（满五唯一有凭证）",0,IF(H61="个人其他（无凭证）",ROUND(D47*F61,0),ROUND(C69*F61,0))))</f>
        <v>0</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3" t="s">
        <v>2499</v>
      </c>
      <c r="I61" s="2800" t="s">
        <v>2585</v>
      </c>
      <c r="J61" s="2772"/>
      <c r="K61" s="3539">
        <f>K59+1</f>
        <v>6</v>
      </c>
      <c r="L61" s="3541" t="s">
        <v>1573</v>
      </c>
      <c r="M61" s="2430" t="s">
        <v>1568</v>
      </c>
      <c r="N61" s="2445"/>
      <c r="O61" s="2446" t="e">
        <f>N51-O59</f>
        <v>#VALUE!</v>
      </c>
      <c r="P61" s="2447"/>
    </row>
    <row r="62" spans="1:17" ht="12" customHeight="1">
      <c r="A62" s="1385"/>
      <c r="B62" s="2480"/>
      <c r="C62" s="2480"/>
      <c r="D62" s="2480"/>
      <c r="E62" s="1385"/>
      <c r="F62" s="2899"/>
      <c r="G62" s="2899"/>
      <c r="H62" s="2894"/>
      <c r="I62" s="905"/>
      <c r="J62" s="2772"/>
      <c r="K62" s="3540"/>
      <c r="L62" s="3541"/>
      <c r="M62" s="2438" t="s">
        <v>1571</v>
      </c>
      <c r="N62" s="2442"/>
      <c r="O62" s="2443" t="e">
        <f>IF(H19="元",NUMBERSTRING(INT(O61),2)&amp;"元整",NUMBERSTRING(INT(O61*10000),2)&amp;"元整")</f>
        <v>#VALUE!</v>
      </c>
      <c r="P62" s="2444"/>
    </row>
    <row r="63" spans="1:17" ht="13.5" thickBot="1">
      <c r="A63" s="3542" t="s">
        <v>1574</v>
      </c>
      <c r="B63" s="3542"/>
      <c r="C63" s="3542"/>
      <c r="D63" s="3542"/>
      <c r="E63" s="3542"/>
      <c r="F63" s="2899"/>
      <c r="G63" s="2899"/>
      <c r="H63" s="2894"/>
      <c r="I63" s="905"/>
      <c r="J63" s="2764"/>
      <c r="K63" s="2430">
        <f>K61+1</f>
        <v>7</v>
      </c>
      <c r="L63" s="3541" t="s">
        <v>1575</v>
      </c>
      <c r="M63" s="3541"/>
      <c r="N63" s="2448"/>
      <c r="O63" s="2449" t="e">
        <f>IF(H19="元",ROUND(O61/项目基本情况!C12,0),ROUND(O61*10000/项目基本情况!C12,0))</f>
        <v>#VALUE!</v>
      </c>
      <c r="P63" s="2450"/>
    </row>
    <row r="64" spans="1:17" ht="12.75">
      <c r="A64" s="3475" t="s">
        <v>1576</v>
      </c>
      <c r="B64" s="3476"/>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49" t="s">
        <v>1580</v>
      </c>
      <c r="L65" s="1235" t="s">
        <v>1581</v>
      </c>
      <c r="M65" s="1235" t="e">
        <f>IF(N51&gt;10000,N51*0.5%,IF(AND(N51&gt;1000,N51&lt;=10000),N51*1%,IF(AND(N51&gt;100,N51&lt;=1000),N51*3%,IF(AND(N51&gt;10,N51&lt;=100),N51*5%,N51*8%))))</f>
        <v>#VALUE!</v>
      </c>
      <c r="N65" s="235" t="e">
        <f>ROUND(M65,1)</f>
        <v>#VALUE!</v>
      </c>
      <c r="O65" s="2451"/>
    </row>
    <row r="66" spans="1:36" ht="12.75">
      <c r="A66" s="49" t="s">
        <v>71</v>
      </c>
      <c r="B66" s="50" t="s">
        <v>1582</v>
      </c>
      <c r="C66" s="2704">
        <f>D47</f>
        <v>0</v>
      </c>
      <c r="D66" s="50" t="s">
        <v>41</v>
      </c>
      <c r="E66" s="52"/>
      <c r="F66" s="2899"/>
      <c r="G66" s="2899"/>
      <c r="H66" s="2894"/>
      <c r="I66" s="905"/>
      <c r="J66" s="2764"/>
      <c r="K66" s="3549"/>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49"/>
      <c r="L67" s="1235" t="s">
        <v>1586</v>
      </c>
      <c r="M67" s="1235"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4" t="s">
        <v>1588</v>
      </c>
      <c r="F68" s="2899"/>
      <c r="G68" s="2899"/>
      <c r="H68" s="2894"/>
      <c r="I68" s="905"/>
      <c r="J68" s="2764"/>
      <c r="K68" s="3549"/>
      <c r="L68" s="1235" t="s">
        <v>1589</v>
      </c>
      <c r="M68" s="1235" t="e">
        <f>N51*0.5%</f>
        <v>#VALUE!</v>
      </c>
      <c r="N68" s="235" t="e">
        <f>IF(M68&gt;0.5,0.5,ROUND(M68,0))</f>
        <v>#VALUE!</v>
      </c>
      <c r="O68" s="2451" t="s">
        <v>1590</v>
      </c>
    </row>
    <row r="69" spans="1:36" ht="12.75">
      <c r="A69" s="53" t="s">
        <v>42</v>
      </c>
      <c r="B69" s="54" t="s">
        <v>1591</v>
      </c>
      <c r="C69" s="2707">
        <f>C65-C68</f>
        <v>0</v>
      </c>
      <c r="D69" s="50" t="s">
        <v>41</v>
      </c>
      <c r="E69" s="52"/>
      <c r="F69" s="2899"/>
      <c r="G69" s="2899"/>
      <c r="H69" s="2894"/>
      <c r="I69" s="905"/>
      <c r="J69" s="2764"/>
      <c r="K69" s="3549"/>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IF(C69&lt;=0,0,ROUND(C69*D70,0))</f>
        <v>0</v>
      </c>
      <c r="D70" s="2169">
        <f>'数据-取费表'!E29</f>
        <v>5.6000000000000001E-2</v>
      </c>
      <c r="E70" s="57"/>
      <c r="F70" s="2899"/>
      <c r="G70" s="2899"/>
      <c r="H70" s="2894"/>
      <c r="I70" s="905"/>
      <c r="J70" s="2764"/>
      <c r="K70" s="3549"/>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2"/>
      <c r="E71" s="1409"/>
      <c r="F71" s="1385"/>
      <c r="G71" s="1385"/>
      <c r="H71" s="1409"/>
      <c r="I71" s="2480"/>
      <c r="J71" s="2764"/>
      <c r="K71" s="3549"/>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6" t="s">
        <v>1596</v>
      </c>
      <c r="B72" s="3537"/>
      <c r="C72" s="3537"/>
      <c r="D72" s="3537"/>
      <c r="E72" s="3537"/>
      <c r="F72" s="3537"/>
      <c r="G72" s="3537"/>
      <c r="H72" s="3537"/>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5" t="s">
        <v>1576</v>
      </c>
      <c r="B73" s="3476"/>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18" t="s">
        <v>1606</v>
      </c>
      <c r="F78" s="3456"/>
      <c r="G78" s="3456"/>
      <c r="H78" s="3470"/>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4"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6.000000000000001E-3</v>
      </c>
      <c r="E80" s="3450" t="s">
        <v>1611</v>
      </c>
      <c r="F80" s="3451"/>
      <c r="G80" s="3451"/>
      <c r="H80" s="3452"/>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09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6" t="s">
        <v>1615</v>
      </c>
      <c r="B85" s="3537"/>
      <c r="C85" s="3537"/>
      <c r="D85" s="3537"/>
      <c r="E85" s="3537"/>
      <c r="F85" s="3537"/>
      <c r="G85" s="3537"/>
      <c r="H85" s="3537"/>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5" t="s">
        <v>1576</v>
      </c>
      <c r="B86" s="3476"/>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3"/>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3"/>
      <c r="G92" s="3511" t="s">
        <v>2494</v>
      </c>
      <c r="H92" s="3538"/>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50" t="s">
        <v>1623</v>
      </c>
      <c r="F93" s="3451"/>
      <c r="G93" s="3451"/>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50" t="s">
        <v>1626</v>
      </c>
      <c r="F94" s="3451"/>
      <c r="G94" s="3451"/>
      <c r="H94" s="3452"/>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6.000000000000001E-3</v>
      </c>
      <c r="E95" s="3450" t="s">
        <v>1611</v>
      </c>
      <c r="F95" s="3451"/>
      <c r="G95" s="3451"/>
      <c r="H95" s="3452"/>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50" t="s">
        <v>1628</v>
      </c>
      <c r="F96" s="3451"/>
      <c r="G96" s="3451"/>
      <c r="H96" s="3452"/>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7" t="s">
        <v>1630</v>
      </c>
      <c r="B101" s="3498"/>
      <c r="C101" s="3498"/>
      <c r="D101" s="3499"/>
      <c r="E101" s="1389"/>
      <c r="F101" s="3533" t="s">
        <v>2536</v>
      </c>
      <c r="G101" s="3534"/>
      <c r="H101" s="3534"/>
      <c r="I101" s="3535"/>
      <c r="J101" s="2799"/>
    </row>
    <row r="102" spans="1:36" ht="15">
      <c r="A102" s="3509" t="s">
        <v>1632</v>
      </c>
      <c r="B102" s="3510"/>
      <c r="C102" s="2722">
        <f>C4</f>
        <v>0</v>
      </c>
      <c r="D102" s="2723">
        <f>D4</f>
        <v>0</v>
      </c>
      <c r="E102" s="1389"/>
      <c r="F102" s="3421" t="s">
        <v>2537</v>
      </c>
      <c r="G102" s="3422"/>
      <c r="H102" s="3427" t="s">
        <v>2538</v>
      </c>
      <c r="I102" s="3420"/>
      <c r="J102" s="2779"/>
    </row>
    <row r="103" spans="1:36" ht="12.75">
      <c r="A103" s="3530" t="s">
        <v>2532</v>
      </c>
      <c r="B103" s="2234" t="str">
        <f>IF(H19="元","总价（元）","总价（万元）")</f>
        <v>总价（万元）</v>
      </c>
      <c r="C103" s="1235" t="e">
        <f ca="1">C19</f>
        <v>#REF!</v>
      </c>
      <c r="D103" s="2726" t="e">
        <f ca="1">D19</f>
        <v>#REF!</v>
      </c>
      <c r="E103" s="1389"/>
      <c r="F103" s="3531"/>
      <c r="G103" s="3532"/>
      <c r="H103" s="3419">
        <f>典型户型修正!B25</f>
        <v>0</v>
      </c>
      <c r="I103" s="3420"/>
      <c r="J103" s="2779"/>
    </row>
    <row r="104" spans="1:36" ht="12.75">
      <c r="A104" s="3530"/>
      <c r="B104" s="2234" t="s">
        <v>2533</v>
      </c>
      <c r="C104" s="2727" t="e">
        <f ca="1">C20</f>
        <v>#REF!</v>
      </c>
      <c r="D104" s="2728" t="e">
        <f ca="1">D20</f>
        <v>#REF!</v>
      </c>
      <c r="E104" s="1389"/>
      <c r="F104" s="3431" t="s">
        <v>2539</v>
      </c>
      <c r="G104" s="3432"/>
      <c r="H104" s="2736" t="str">
        <f>C110</f>
        <v>总价（万元）</v>
      </c>
      <c r="I104" s="2737">
        <f>H125</f>
        <v>0</v>
      </c>
      <c r="J104" s="2779"/>
    </row>
    <row r="105" spans="1:36" ht="12.75">
      <c r="A105" s="3530" t="s">
        <v>2534</v>
      </c>
      <c r="B105" s="2172" t="str">
        <f>B103</f>
        <v>总价（万元）</v>
      </c>
      <c r="C105" s="12" t="e">
        <f ca="1">ROUND(IF('数据-取费表'!B4="总价",G19,IF(H19="元",G20*'数据-取费表'!E5,G20*'数据-取费表'!E5/10000)),0)</f>
        <v>#REF!</v>
      </c>
      <c r="D105" s="2729"/>
      <c r="E105" s="1389"/>
      <c r="F105" s="3431"/>
      <c r="G105" s="3432"/>
      <c r="H105" s="2736" t="s">
        <v>2540</v>
      </c>
      <c r="I105" s="52" t="e">
        <f>I125</f>
        <v>#DIV/0!</v>
      </c>
      <c r="J105" s="2763"/>
    </row>
    <row r="106" spans="1:36" ht="12.75">
      <c r="A106" s="3530"/>
      <c r="B106" s="2234" t="s">
        <v>2533</v>
      </c>
      <c r="C106" s="1409" t="e">
        <f ca="1">ROUND(IF('数据-取费表'!B4="楼面单价",G20,IF(H19="元",G19/'数据-取费表'!E5,G19*10000/'数据-取费表'!E5)),0)</f>
        <v>#REF!</v>
      </c>
      <c r="D106" s="2729"/>
      <c r="E106" s="1389"/>
      <c r="F106" s="3431"/>
      <c r="G106" s="3432"/>
      <c r="H106" s="3491"/>
      <c r="I106" s="3492"/>
      <c r="J106" s="2780"/>
    </row>
    <row r="107" spans="1:36" ht="12.75">
      <c r="A107" s="3524" t="s">
        <v>2535</v>
      </c>
      <c r="B107" s="2730" t="str">
        <f>B103</f>
        <v>总价（万元）</v>
      </c>
      <c r="C107" s="2731">
        <f>H125</f>
        <v>0</v>
      </c>
      <c r="D107" s="2732"/>
      <c r="E107" s="1389"/>
      <c r="F107" s="3495" t="s">
        <v>2541</v>
      </c>
      <c r="G107" s="3496"/>
      <c r="H107" s="2738" t="str">
        <f>C112</f>
        <v>总额（万元）</v>
      </c>
      <c r="I107" s="2737">
        <f>SUMIF(I108:I110,"&lt;9E307")</f>
        <v>0</v>
      </c>
      <c r="J107" s="2779"/>
    </row>
    <row r="108" spans="1:36" ht="15" thickBot="1">
      <c r="A108" s="3490"/>
      <c r="B108" s="2733" t="s">
        <v>2533</v>
      </c>
      <c r="C108" s="2734" t="e">
        <f>I125</f>
        <v>#DIV/0!</v>
      </c>
      <c r="D108" s="2735"/>
      <c r="E108" s="1389"/>
      <c r="F108" s="3433" t="s">
        <v>2542</v>
      </c>
      <c r="G108" s="3434"/>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27" t="s">
        <v>1633</v>
      </c>
      <c r="B109" s="3528"/>
      <c r="C109" s="3528"/>
      <c r="D109" s="3529"/>
      <c r="E109" s="1389"/>
      <c r="F109" s="3433" t="s">
        <v>2543</v>
      </c>
      <c r="G109" s="3434"/>
      <c r="H109" s="2738" t="str">
        <f>C114</f>
        <v>总额（万元）</v>
      </c>
      <c r="I109" s="52">
        <f>C39</f>
        <v>0</v>
      </c>
      <c r="J109" s="2763"/>
    </row>
    <row r="110" spans="1:36" ht="12.75">
      <c r="A110" s="3431" t="s">
        <v>2546</v>
      </c>
      <c r="B110" s="3432"/>
      <c r="C110" s="2736" t="str">
        <f>B103</f>
        <v>总价（万元）</v>
      </c>
      <c r="D110" s="2737">
        <f>H125</f>
        <v>0</v>
      </c>
      <c r="E110" s="1389"/>
      <c r="F110" s="3433" t="s">
        <v>2544</v>
      </c>
      <c r="G110" s="3434"/>
      <c r="H110" s="2738" t="str">
        <f>C115</f>
        <v>总额（万元）</v>
      </c>
      <c r="I110" s="52">
        <f>C40</f>
        <v>0</v>
      </c>
      <c r="J110" s="2763"/>
    </row>
    <row r="111" spans="1:36" ht="12.75">
      <c r="A111" s="3431"/>
      <c r="B111" s="3432"/>
      <c r="C111" s="2736" t="s">
        <v>2547</v>
      </c>
      <c r="D111" s="52" t="e">
        <f>I125</f>
        <v>#DIV/0!</v>
      </c>
      <c r="E111" s="1389"/>
      <c r="F111" s="3431"/>
      <c r="G111" s="3432"/>
      <c r="H111" s="3493"/>
      <c r="I111" s="3494"/>
      <c r="J111" s="2781"/>
    </row>
    <row r="112" spans="1:36" ht="28.5" customHeight="1">
      <c r="A112" s="3438" t="s">
        <v>2541</v>
      </c>
      <c r="B112" s="3439"/>
      <c r="C112" s="2738" t="str">
        <f>IF(H19="元","总额（元）","总额（万元）")</f>
        <v>总额（万元）</v>
      </c>
      <c r="D112" s="2737">
        <f>IF(D38="正常操作",I108+I109+I110,I109+I110)</f>
        <v>0</v>
      </c>
      <c r="E112" s="1389"/>
      <c r="F112" s="3423" t="str">
        <f>IF(项目基本情况!F5="已注销","——","3.房地产抵押价值")</f>
        <v>3.房地产抵押价值</v>
      </c>
      <c r="G112" s="3424"/>
      <c r="H112" s="1409" t="str">
        <f>C116</f>
        <v>总价（万元）</v>
      </c>
      <c r="I112" s="2737">
        <f>IF(F112="——","——",I104-I107)</f>
        <v>0</v>
      </c>
      <c r="J112" s="2779"/>
    </row>
    <row r="113" spans="1:27" ht="12.75">
      <c r="A113" s="3433" t="s">
        <v>2548</v>
      </c>
      <c r="B113" s="3434"/>
      <c r="C113" s="2738" t="str">
        <f>C112</f>
        <v>总额（万元）</v>
      </c>
      <c r="D113" s="52">
        <f>IF(D38="同一抵押权人同一抵押物续贷",C38&amp;"（未扣减，详见特别提示）",C38)</f>
        <v>0</v>
      </c>
      <c r="E113" s="1389"/>
      <c r="F113" s="3522"/>
      <c r="G113" s="3523"/>
      <c r="H113" s="2736" t="s">
        <v>2540</v>
      </c>
      <c r="I113" s="2740" t="e">
        <f>D117</f>
        <v>#DIV/0!</v>
      </c>
      <c r="J113" s="2782"/>
    </row>
    <row r="114" spans="1:27" ht="12.75">
      <c r="A114" s="3433" t="s">
        <v>2549</v>
      </c>
      <c r="B114" s="3434"/>
      <c r="C114" s="2738" t="str">
        <f>C112</f>
        <v>总额（万元）</v>
      </c>
      <c r="D114" s="52">
        <f>C39</f>
        <v>0</v>
      </c>
      <c r="E114" s="1389"/>
      <c r="F114" s="3423" t="str">
        <f>IF(项目基本情况!F5="已注销及未注销","4.抵押担保权已注销时的房地产抵押价值",IF(项目基本情况!F5="已注销","3.抵押担保权已注销时的房地产抵押价值","——"))</f>
        <v>——</v>
      </c>
      <c r="G114" s="3424"/>
      <c r="H114" s="1409" t="str">
        <f>C118</f>
        <v>总价（万元）</v>
      </c>
      <c r="I114" s="2737" t="str">
        <f>IF(F114="——","——",I104-I109-I110)</f>
        <v>——</v>
      </c>
      <c r="J114" s="2779"/>
    </row>
    <row r="115" spans="1:27" ht="12.75">
      <c r="A115" s="3433" t="s">
        <v>2550</v>
      </c>
      <c r="B115" s="3434"/>
      <c r="C115" s="2738" t="str">
        <f>C112</f>
        <v>总额（万元）</v>
      </c>
      <c r="D115" s="52">
        <f>C40</f>
        <v>0</v>
      </c>
      <c r="E115" s="1389"/>
      <c r="F115" s="3522"/>
      <c r="G115" s="3523"/>
      <c r="H115" s="2736" t="s">
        <v>2540</v>
      </c>
      <c r="I115" s="52" t="str">
        <f>D119</f>
        <v>——</v>
      </c>
      <c r="J115" s="2763"/>
    </row>
    <row r="116" spans="1:27" ht="12.75">
      <c r="A116" s="3431" t="str">
        <f>IF(项目基本情况!F5="已注销","——","3.房地产抵押价值")</f>
        <v>3.房地产抵押价值</v>
      </c>
      <c r="B116" s="3432"/>
      <c r="C116" s="2736" t="str">
        <f>B103</f>
        <v>总价（万元）</v>
      </c>
      <c r="D116" s="2737">
        <f>IF(A116="——","——",D110-D112)</f>
        <v>0</v>
      </c>
      <c r="E116" s="1389"/>
      <c r="F116" s="3423" t="str">
        <f>IF(项目基本情况!G5="抵押净值",IF(OR(项目基本情况!F5="已注销",项目基本情况!F5="房地产抵押价值"),"4.抵押净值","5.抵押净值"),"——")</f>
        <v>——</v>
      </c>
      <c r="G116" s="3424"/>
      <c r="H116" s="2736" t="str">
        <f>C120</f>
        <v>总价（万元）</v>
      </c>
      <c r="I116" s="2737" t="str">
        <f>IF(F116="——","——",O61)</f>
        <v>——</v>
      </c>
      <c r="J116" s="2779"/>
    </row>
    <row r="117" spans="1:27" ht="13.5" thickBot="1">
      <c r="A117" s="3431"/>
      <c r="B117" s="3432"/>
      <c r="C117" s="2736" t="s">
        <v>2547</v>
      </c>
      <c r="D117" s="52" t="e">
        <f>ROUND(IF(D116=D110,D111,IF(H19="元",D116/B125,D116*10000/B125)),0)</f>
        <v>#DIV/0!</v>
      </c>
      <c r="E117" s="1389"/>
      <c r="F117" s="3425"/>
      <c r="G117" s="3426"/>
      <c r="H117" s="2741" t="s">
        <v>2540</v>
      </c>
      <c r="I117" s="2725" t="str">
        <f>D121</f>
        <v>——</v>
      </c>
      <c r="J117" s="2763"/>
    </row>
    <row r="118" spans="1:27" ht="15.75">
      <c r="A118" s="3431" t="str">
        <f>IF(项目基本情况!F5="已注销及未注销","4.抵押担保权已注销时的房地产抵押价值",IF(项目基本情况!F5="已注销","3.抵押担保权已注销时的房地产抵押价值","——"))</f>
        <v>——</v>
      </c>
      <c r="B118" s="3432"/>
      <c r="C118" s="2736" t="str">
        <f>B103</f>
        <v>总价（万元）</v>
      </c>
      <c r="D118" s="2737" t="str">
        <f>IF(A118="——","——",D110-D114-D115)</f>
        <v>——</v>
      </c>
      <c r="E118" s="1389"/>
      <c r="F118" s="3517"/>
      <c r="G118" s="3517"/>
      <c r="H118" s="3481"/>
      <c r="I118" s="3481"/>
      <c r="J118" s="2783"/>
      <c r="O118" s="32"/>
      <c r="P118" s="32"/>
    </row>
    <row r="119" spans="1:27" s="1236" customFormat="1" ht="12.75">
      <c r="A119" s="3431"/>
      <c r="B119" s="3432"/>
      <c r="C119" s="2736" t="s">
        <v>2547</v>
      </c>
      <c r="D119" s="52" t="str">
        <f>IF(A118="——","——",IF(H19="元",ROUND(D118/B125,0),ROUND(D118*10000/B125,0)))</f>
        <v>——</v>
      </c>
      <c r="E119" s="1389"/>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1" t="str">
        <f>IF(项目基本情况!G5="抵押净值",IF(OR(项目基本情况!F5="已注销",项目基本情况!F5="房地产抵押价值"),"4.抵押净值","5.抵押净值"),"——")</f>
        <v>——</v>
      </c>
      <c r="B120" s="3432"/>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6"/>
      <c r="B121" s="3437"/>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2" t="s">
        <v>1672</v>
      </c>
      <c r="B122" s="3483"/>
      <c r="C122" s="3483"/>
      <c r="D122" s="3483"/>
      <c r="E122" s="3483"/>
      <c r="F122" s="3483"/>
      <c r="G122" s="3483"/>
      <c r="H122" s="3483"/>
      <c r="I122" s="3483"/>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6" t="s">
        <v>2551</v>
      </c>
      <c r="B123" s="3442" t="s">
        <v>2552</v>
      </c>
      <c r="C123" s="3442" t="s">
        <v>2558</v>
      </c>
      <c r="D123" s="3504" t="s">
        <v>2553</v>
      </c>
      <c r="E123" s="3505"/>
      <c r="F123" s="3417" t="s">
        <v>2559</v>
      </c>
      <c r="G123" s="3417"/>
      <c r="H123" s="3417" t="s">
        <v>2554</v>
      </c>
      <c r="I123" s="3503"/>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6"/>
      <c r="B124" s="3443"/>
      <c r="C124" s="3443"/>
      <c r="D124" s="2019" t="s">
        <v>2555</v>
      </c>
      <c r="E124" s="2019" t="s">
        <v>2560</v>
      </c>
      <c r="F124" s="2019" t="s">
        <v>2555</v>
      </c>
      <c r="G124" s="2019" t="s">
        <v>2556</v>
      </c>
      <c r="H124" s="2019"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9" t="str">
        <f>项目基本情况!I1</f>
        <v>北京市房地产</v>
      </c>
      <c r="B125" s="2019">
        <f>典型户型修正!B25</f>
        <v>0</v>
      </c>
      <c r="C125" s="1384"/>
      <c r="D125" s="2019">
        <f>C36</f>
        <v>0</v>
      </c>
      <c r="E125" s="2019" t="e">
        <f>ROUND(IF(H19="元",D125/B125,D125*10000/B125),0)</f>
        <v>#DIV/0!</v>
      </c>
      <c r="F125" s="2019">
        <f>C37</f>
        <v>0</v>
      </c>
      <c r="G125" s="2019" t="e">
        <f>ROUND(IF(H19="元",F125/B125,F125*10000/B125),0)</f>
        <v>#DIV/0!</v>
      </c>
      <c r="H125" s="2019">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6" t="s">
        <v>2557</v>
      </c>
      <c r="B126" s="3417"/>
      <c r="C126" s="3417"/>
      <c r="D126" s="3444" t="str">
        <f>IF(H19="元",NUMBERSTRING(INT(D125),2)&amp;"元整",NUMBERSTRING(INT(D125*10000),2)&amp;"元整")</f>
        <v>零元整</v>
      </c>
      <c r="E126" s="3487"/>
      <c r="F126" s="3444" t="str">
        <f>IF(H19="元",NUMBERSTRING(INT(F125),2)&amp;"元整",NUMBERSTRING(INT(F125*10000),2)&amp;"元整")</f>
        <v>零元整</v>
      </c>
      <c r="G126" s="3487"/>
      <c r="H126" s="3444" t="str">
        <f>IF(H19="元",NUMBERSTRING(INT(H125),2)&amp;"元整",NUMBERSTRING(INT(H125*10000),2)&amp;"元整")</f>
        <v>零元整</v>
      </c>
      <c r="I126" s="3445"/>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1" t="str">
        <f>IF(项目基本情况!D5="房地产市场价值","——",MID(A112,3,LEN(A112)-2))</f>
        <v>估价师所知悉的法定优先受偿款</v>
      </c>
      <c r="B127" s="3427"/>
      <c r="C127" s="3422"/>
      <c r="D127" s="3419">
        <f>I107</f>
        <v>0</v>
      </c>
      <c r="E127" s="3427"/>
      <c r="F127" s="3427"/>
      <c r="G127" s="3427"/>
      <c r="H127" s="3427"/>
      <c r="I127" s="3420"/>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8" t="s">
        <v>2557</v>
      </c>
      <c r="B128" s="3456"/>
      <c r="C128" s="3457"/>
      <c r="D128" s="3428">
        <f>H111</f>
        <v>0</v>
      </c>
      <c r="E128" s="3429"/>
      <c r="F128" s="3429"/>
      <c r="G128" s="3429"/>
      <c r="H128" s="3429"/>
      <c r="I128" s="3430"/>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1" t="str">
        <f>IF(项目基本情况!D5="房地产市场价值","——",MID(A116,3,LEN(A116)-2))</f>
        <v>房地产抵押价值</v>
      </c>
      <c r="B129" s="3432"/>
      <c r="C129" s="3432"/>
      <c r="D129" s="3419">
        <f>I112</f>
        <v>0</v>
      </c>
      <c r="E129" s="3427"/>
      <c r="F129" s="3427"/>
      <c r="G129" s="3427"/>
      <c r="H129" s="3427"/>
      <c r="I129" s="3420"/>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6" t="s">
        <v>2557</v>
      </c>
      <c r="B130" s="3417"/>
      <c r="C130" s="3417"/>
      <c r="D130" s="3428" t="e">
        <f>I113</f>
        <v>#DIV/0!</v>
      </c>
      <c r="E130" s="3429"/>
      <c r="F130" s="3429"/>
      <c r="G130" s="3429"/>
      <c r="H130" s="3429"/>
      <c r="I130" s="3430"/>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1" t="str">
        <f>IF(项目基本情况!D5="房地产市场价值","——",MID(A118,3,LEN(A118)-2))</f>
        <v/>
      </c>
      <c r="B131" s="3432"/>
      <c r="C131" s="3432"/>
      <c r="D131" s="3464" t="str">
        <f>I114</f>
        <v>——</v>
      </c>
      <c r="E131" s="3465"/>
      <c r="F131" s="3465"/>
      <c r="G131" s="3465"/>
      <c r="H131" s="3465"/>
      <c r="I131" s="3516"/>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6" t="s">
        <v>2557</v>
      </c>
      <c r="B132" s="3417"/>
      <c r="C132" s="3418"/>
      <c r="D132" s="3480" t="str">
        <f>I115</f>
        <v>——</v>
      </c>
      <c r="E132" s="3480"/>
      <c r="F132" s="3480"/>
      <c r="G132" s="3480"/>
      <c r="H132" s="3480"/>
      <c r="I132" s="3480"/>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1" t="str">
        <f>IF(项目基本情况!D5="房地产市场价值","——",MID(F116,3,LEN(F116)-2))</f>
        <v/>
      </c>
      <c r="B133" s="3432"/>
      <c r="C133" s="3419"/>
      <c r="D133" s="3435" t="str">
        <f>I116</f>
        <v>——</v>
      </c>
      <c r="E133" s="3435"/>
      <c r="F133" s="3435"/>
      <c r="G133" s="3435"/>
      <c r="H133" s="3435"/>
      <c r="I133" s="3435"/>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0" t="s">
        <v>2557</v>
      </c>
      <c r="B134" s="3441"/>
      <c r="C134" s="3441"/>
      <c r="D134" s="3446">
        <f>H118</f>
        <v>0</v>
      </c>
      <c r="E134" s="3447"/>
      <c r="F134" s="3447"/>
      <c r="G134" s="3447"/>
      <c r="H134" s="3447"/>
      <c r="I134" s="3448"/>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4" t="str">
        <f>IF(B33="总价","（以上估价结果中楼面单价为总价除以建筑面积得出）","（以上估价结果中总价为楼面单价乘以建筑面积得出）")</f>
        <v>（以上估价结果中总价为楼面单价乘以建筑面积得出）</v>
      </c>
      <c r="B136" s="3414"/>
      <c r="C136" s="3414"/>
      <c r="D136" s="3414"/>
      <c r="E136" s="3414"/>
      <c r="F136" s="3414"/>
      <c r="G136" s="3414"/>
      <c r="H136" s="3414"/>
      <c r="I136" s="3414"/>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24024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14276</v>
      </c>
      <c r="D10" s="1101">
        <f>IF('数据-取费表'!B10&lt;&gt;"住宅",IF(B1="仅计算典型户型",'数据-取费表'!E5,'数据-取费表'!B5),0)</f>
        <v>71.38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14276</v>
      </c>
      <c r="D19" s="1104">
        <f>IF(B1="仅计算典型户型",'数据-取费表'!E5,'数据-取费表'!B5)</f>
        <v>71.38</v>
      </c>
      <c r="E19" s="111">
        <f>'数据-取费表'!E15</f>
        <v>200</v>
      </c>
      <c r="F19" s="112"/>
      <c r="G19" s="1446"/>
    </row>
    <row r="20" spans="1:123" s="91" customFormat="1" ht="13.5" customHeight="1">
      <c r="A20" s="120" t="s">
        <v>1702</v>
      </c>
      <c r="B20" s="89" t="s">
        <v>1703</v>
      </c>
      <c r="C20" s="99">
        <f>ROUND((C5+C19)*F20,0)</f>
        <v>20896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89382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1209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867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159851</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159851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1424753</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275348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249830</v>
      </c>
      <c r="D34" s="1096"/>
      <c r="E34" s="115"/>
      <c r="F34" s="1107" t="str">
        <f>IF('数据-取费表'!B26=0,"",'数据-取费表'!E20)</f>
        <v/>
      </c>
      <c r="G34" s="95"/>
    </row>
    <row r="35" spans="1:123" ht="13.5" customHeight="1">
      <c r="A35" s="92" t="s">
        <v>1685</v>
      </c>
      <c r="B35" s="93" t="s">
        <v>1734</v>
      </c>
      <c r="C35" s="115">
        <f>ROUND(C34*F35,0)</f>
        <v>7495</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14276</v>
      </c>
      <c r="D37" s="1096">
        <f>IF(B1="仅计算典型户型",'数据-取费表'!E5,'数据-取费表'!B5)</f>
        <v>71.38</v>
      </c>
      <c r="E37" s="115">
        <f>'数据-取费表'!E23</f>
        <v>200</v>
      </c>
      <c r="F37" s="1108"/>
      <c r="G37" s="124" t="s">
        <v>1739</v>
      </c>
    </row>
    <row r="38" spans="1:123" ht="13.5" customHeight="1">
      <c r="A38" s="92" t="s">
        <v>1740</v>
      </c>
      <c r="B38" s="93" t="s">
        <v>1741</v>
      </c>
      <c r="C38" s="115">
        <f>ROUND(C34*F38,0)</f>
        <v>3747</v>
      </c>
      <c r="D38" s="115"/>
      <c r="E38" s="115"/>
      <c r="F38" s="1108">
        <f>'数据-取费表'!E24</f>
        <v>1.4999999999999999E-2</v>
      </c>
      <c r="G38" s="95" t="s">
        <v>1735</v>
      </c>
    </row>
    <row r="39" spans="1:123" s="91" customFormat="1" ht="13.5" customHeight="1">
      <c r="A39" s="120" t="s">
        <v>1700</v>
      </c>
      <c r="B39" s="89" t="s">
        <v>1703</v>
      </c>
      <c r="C39" s="99">
        <f>ROUND(C33*F20,0)</f>
        <v>5507</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11656</v>
      </c>
      <c r="D41" s="101">
        <f ca="1">C44</f>
        <v>8.0000000000000004E-4</v>
      </c>
      <c r="E41" s="102" t="s">
        <v>1743</v>
      </c>
      <c r="F41" s="2805">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11427</v>
      </c>
      <c r="D42" s="104"/>
      <c r="E42" s="104"/>
      <c r="F42" s="105"/>
      <c r="G42" s="3553" t="s">
        <v>1745</v>
      </c>
    </row>
    <row r="43" spans="1:123" ht="13.5" customHeight="1">
      <c r="A43" s="92" t="s">
        <v>1685</v>
      </c>
      <c r="B43" s="93" t="s">
        <v>1714</v>
      </c>
      <c r="C43" s="104">
        <f ca="1">ROUND(IF('数据-取费表'!B24&lt;=1,C39*F22*'数据-取费表'!B23/2,C39*(POWER((1+F22),'数据-取费表'!B23/2)-1)),0)</f>
        <v>229</v>
      </c>
      <c r="D43" s="104"/>
      <c r="E43" s="104"/>
      <c r="F43" s="105"/>
      <c r="G43" s="3554"/>
    </row>
    <row r="44" spans="1:123" ht="13.5" customHeight="1">
      <c r="A44" s="92" t="s">
        <v>1687</v>
      </c>
      <c r="B44" s="93" t="s">
        <v>1716</v>
      </c>
      <c r="C44" s="104">
        <f ca="1">ROUND(IF('数据-取费表'!B24&lt;=1,C40*F22*'数据-取费表'!B23/2,C40*(POWER((1+F22),'数据-取费表'!B23/2)-1)),4)</f>
        <v>8.0000000000000004E-4</v>
      </c>
      <c r="D44" s="104"/>
      <c r="E44" s="104"/>
      <c r="F44" s="105"/>
      <c r="G44" s="3555"/>
    </row>
    <row r="45" spans="1:123" s="91" customFormat="1" ht="13.5" customHeight="1">
      <c r="A45" s="120" t="s">
        <v>1709</v>
      </c>
      <c r="B45" s="110" t="s">
        <v>1721</v>
      </c>
      <c r="C45" s="111">
        <f>C46</f>
        <v>42128</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42128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362595</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290076</v>
      </c>
      <c r="D51" s="99"/>
      <c r="E51" s="99"/>
      <c r="F51" s="126"/>
      <c r="G51" s="100" t="s">
        <v>1759</v>
      </c>
    </row>
    <row r="52" spans="1:123" s="88" customFormat="1" ht="16.5" thickBot="1">
      <c r="A52" s="127" t="s">
        <v>1760</v>
      </c>
      <c r="B52" s="128"/>
      <c r="C52" s="129">
        <f ca="1">C31+C51</f>
        <v>1714829</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0.16900000000000001</v>
      </c>
    </row>
    <row r="57" spans="1:123">
      <c r="B57" s="135" t="s">
        <v>1763</v>
      </c>
      <c r="C57" s="137">
        <f ca="1">1-C56</f>
        <v>0.83099999999999996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132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18529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65737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65655</v>
      </c>
      <c r="D6" s="36" t="s">
        <v>2461</v>
      </c>
      <c r="E6" s="235" t="s">
        <v>1776</v>
      </c>
      <c r="F6" s="236">
        <f>'数据-取费表'!B30</f>
        <v>2.8</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71.38</v>
      </c>
      <c r="G7" s="909"/>
      <c r="H7" s="237"/>
      <c r="I7" s="238"/>
      <c r="J7" s="239"/>
      <c r="K7" s="240"/>
      <c r="L7" s="235" t="s">
        <v>1777</v>
      </c>
      <c r="M7" s="236">
        <f>IF('数据-取费表'!B42="",IF(D1="仅计算典型户型",'数据-取费表'!E5,'数据-取费表'!B5),'数据-取费表'!B42)</f>
        <v>71.38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290076</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249830</v>
      </c>
      <c r="D14" s="1256" t="s">
        <v>1795</v>
      </c>
      <c r="E14" s="1257"/>
      <c r="F14" s="757"/>
      <c r="G14" s="910"/>
      <c r="H14" s="253" t="s">
        <v>1774</v>
      </c>
      <c r="I14" s="235" t="s">
        <v>1796</v>
      </c>
      <c r="J14" s="13">
        <f ca="1">C29</f>
        <v>362595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7495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3626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14276</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3747</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275348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5507</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3626</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11656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-3626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42128</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362595</v>
      </c>
      <c r="D29" s="1034"/>
      <c r="E29" s="1032"/>
      <c r="F29" s="1035"/>
      <c r="G29" s="652"/>
      <c r="H29" s="271" t="s">
        <v>24</v>
      </c>
      <c r="I29" s="272" t="s">
        <v>1869</v>
      </c>
      <c r="J29" s="273">
        <f ca="1">ROUND(J26/(1+F40)^F41,0)</f>
        <v>0</v>
      </c>
      <c r="K29" s="274" t="s">
        <v>1870</v>
      </c>
      <c r="L29" s="275"/>
      <c r="M29" s="276">
        <f>IF(D1="仅计算典型户型",'数据-取费表'!E5,'数据-取费表'!B5)</f>
        <v>71.38</v>
      </c>
    </row>
    <row r="30" spans="1:37" ht="18" customHeight="1" thickTop="1">
      <c r="A30" s="1021" t="s">
        <v>14</v>
      </c>
      <c r="B30" s="1022" t="s">
        <v>1871</v>
      </c>
      <c r="C30" s="243">
        <f ca="1">ROUND(C31+C36+C37+C38,0)</f>
        <v>8950</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4377</v>
      </c>
      <c r="D31" s="1256" t="s">
        <v>1873</v>
      </c>
      <c r="E31" s="1259"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23206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3626</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290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657</v>
      </c>
      <c r="D38" s="1034" t="s">
        <v>1846</v>
      </c>
      <c r="E38" s="1032" t="s">
        <v>1842</v>
      </c>
      <c r="F38" s="1027">
        <f>'数据-取费表'!B47</f>
        <v>0.01</v>
      </c>
      <c r="G38" s="652"/>
      <c r="H38" s="901"/>
      <c r="I38" s="280" t="s">
        <v>1884</v>
      </c>
      <c r="J38" s="136">
        <f ca="1">ROUND(J34/C39,3)</f>
        <v>0.40899999999999997</v>
      </c>
      <c r="K38" s="906"/>
      <c r="L38" s="901"/>
      <c r="M38" s="901"/>
    </row>
    <row r="39" spans="1:18" ht="18" customHeight="1" thickTop="1">
      <c r="A39" s="1021" t="s">
        <v>22</v>
      </c>
      <c r="B39" s="1036" t="s">
        <v>1885</v>
      </c>
      <c r="C39" s="243">
        <f ca="1">C5-C30</f>
        <v>56787</v>
      </c>
      <c r="D39" s="1037" t="s">
        <v>1886</v>
      </c>
      <c r="E39" s="1038"/>
      <c r="F39" s="1039"/>
      <c r="G39" s="652"/>
      <c r="H39" s="901"/>
      <c r="I39" s="280" t="s">
        <v>1887</v>
      </c>
      <c r="J39" s="136">
        <f ca="1">1-J38</f>
        <v>0.59099999999999997</v>
      </c>
      <c r="K39" s="906"/>
      <c r="L39" s="901"/>
      <c r="M39" s="901"/>
    </row>
    <row r="40" spans="1:18" s="652" customFormat="1" ht="18" customHeight="1">
      <c r="A40" s="232" t="s">
        <v>23</v>
      </c>
      <c r="B40" s="233" t="s">
        <v>1888</v>
      </c>
      <c r="C40" s="234">
        <f ca="1">ROUND(C39*(1-((1+F42)/(1+F40))^F41)/(F40-F42),0)</f>
        <v>1313491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36</v>
      </c>
      <c r="H41" s="908"/>
      <c r="I41" s="135" t="s">
        <v>1762</v>
      </c>
      <c r="J41" s="136">
        <f ca="1">ROUND(C13/C40,3)</f>
        <v>0.221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0.77900000000000003</v>
      </c>
      <c r="K42" s="905"/>
      <c r="L42" s="908"/>
      <c r="M42" s="908"/>
      <c r="Q42" s="656"/>
    </row>
    <row r="43" spans="1:18" s="652" customFormat="1" ht="18" customHeight="1" thickBot="1">
      <c r="A43" s="271" t="s">
        <v>24</v>
      </c>
      <c r="B43" s="272" t="s">
        <v>1891</v>
      </c>
      <c r="C43" s="273">
        <f ca="1">ROUND(C40/F43,0)</f>
        <v>18401</v>
      </c>
      <c r="D43" s="274" t="s">
        <v>1892</v>
      </c>
      <c r="E43" s="275" t="s">
        <v>1893</v>
      </c>
      <c r="F43" s="276">
        <f>IF(D1="仅计算典型户型",'数据-取费表'!E5,'数据-取费表'!B5)</f>
        <v>71.38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1313491</v>
      </c>
      <c r="R45" s="1008" t="s">
        <v>1900</v>
      </c>
    </row>
    <row r="46" spans="1:18" s="652" customFormat="1" ht="18" customHeight="1" thickBot="1">
      <c r="A46" s="649"/>
      <c r="D46" s="649"/>
      <c r="E46" s="649"/>
      <c r="F46" s="649"/>
      <c r="K46" s="653"/>
      <c r="O46" s="1005" t="s">
        <v>768</v>
      </c>
      <c r="P46" s="1006" t="s">
        <v>1901</v>
      </c>
      <c r="Q46" s="1007">
        <f ca="1">J61</f>
        <v>9083</v>
      </c>
      <c r="R46" s="1008" t="s">
        <v>1902</v>
      </c>
    </row>
    <row r="47" spans="1:18" s="652" customFormat="1" ht="21.75" thickBot="1">
      <c r="A47" s="1455" t="s">
        <v>1903</v>
      </c>
      <c r="C47" s="950">
        <f ca="1">IF(C2="元",C69-C40,ROUND((C69-C40)/10000,0))</f>
        <v>-137</v>
      </c>
      <c r="D47" s="1456" t="str">
        <f>C2</f>
        <v>万元</v>
      </c>
      <c r="E47" s="649"/>
      <c r="F47" s="649"/>
      <c r="I47" s="1457" t="s">
        <v>1904</v>
      </c>
      <c r="J47" s="981"/>
      <c r="K47" s="982"/>
      <c r="L47" s="995">
        <f ca="1">IF(M48="住宅",0,IF(L49&gt;J52,L61,J61))</f>
        <v>9083</v>
      </c>
      <c r="O47" s="1009" t="s">
        <v>769</v>
      </c>
      <c r="P47" s="1006" t="s">
        <v>1905</v>
      </c>
      <c r="Q47" s="1007">
        <f ca="1">C29</f>
        <v>362595</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3043</v>
      </c>
      <c r="K49" s="1463" t="s">
        <v>1916</v>
      </c>
      <c r="L49" s="821">
        <f>'数据-取费表'!B13</f>
        <v>36</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2010</v>
      </c>
      <c r="K50" s="1465" t="s">
        <v>1921</v>
      </c>
      <c r="L50" s="984"/>
      <c r="O50" s="1009" t="s">
        <v>772</v>
      </c>
      <c r="P50" s="1006" t="s">
        <v>1922</v>
      </c>
      <c r="Q50" s="1007">
        <f>J54</f>
        <v>36</v>
      </c>
      <c r="R50" s="1008" t="s">
        <v>1923</v>
      </c>
    </row>
    <row r="51" spans="1:18" s="652" customFormat="1" ht="15.75" thickBot="1">
      <c r="A51" s="237"/>
      <c r="B51" s="238"/>
      <c r="C51" s="239"/>
      <c r="D51" s="240"/>
      <c r="E51" s="255" t="s">
        <v>1777</v>
      </c>
      <c r="F51" s="943">
        <f>F7</f>
        <v>71.38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132</v>
      </c>
      <c r="R51" s="1008" t="s">
        <v>774</v>
      </c>
    </row>
    <row r="52" spans="1:18" s="652" customFormat="1" ht="16.5" thickBot="1">
      <c r="A52" s="237"/>
      <c r="B52" s="238"/>
      <c r="C52" s="239"/>
      <c r="D52" s="240"/>
      <c r="E52" s="235" t="s">
        <v>1779</v>
      </c>
      <c r="F52" s="236">
        <f>F8</f>
        <v>365</v>
      </c>
      <c r="I52" s="1466" t="s">
        <v>1926</v>
      </c>
      <c r="J52" s="986">
        <f>IF(J50="",J51,J50+J51-YEAR('数据-取费表'!B2))</f>
        <v>48</v>
      </c>
      <c r="K52" s="1467" t="s">
        <v>1927</v>
      </c>
      <c r="L52" s="987">
        <f ca="1">ROUND(-PV('数据-取费表'!B15,J52,(C40-C13*J35)),0)</f>
        <v>23324684</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36</v>
      </c>
      <c r="K54" s="3556" t="s">
        <v>2460</v>
      </c>
      <c r="L54" s="3557"/>
      <c r="O54" s="1005" t="s">
        <v>767</v>
      </c>
      <c r="P54" s="1006" t="s">
        <v>1899</v>
      </c>
      <c r="Q54" s="1007">
        <f ca="1">C40+J29</f>
        <v>1313491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290076</v>
      </c>
      <c r="D57" s="941"/>
      <c r="E57" s="942"/>
      <c r="F57" s="949"/>
      <c r="I57" s="1475" t="s">
        <v>1936</v>
      </c>
      <c r="J57" s="993" t="s">
        <v>3040</v>
      </c>
      <c r="K57" s="1461" t="s">
        <v>1937</v>
      </c>
      <c r="L57" s="821" t="str">
        <f>IF(L49&lt;J52,"——",L49-J52)</f>
        <v>——</v>
      </c>
      <c r="O57" s="1009" t="s">
        <v>770</v>
      </c>
      <c r="P57" s="1006" t="s">
        <v>1938</v>
      </c>
      <c r="Q57" s="1010">
        <f>L53</f>
        <v>0</v>
      </c>
      <c r="R57" s="1008"/>
    </row>
    <row r="58" spans="1:18" s="652" customFormat="1" ht="29.25" thickBot="1">
      <c r="A58" s="948"/>
      <c r="B58" s="235" t="s">
        <v>1868</v>
      </c>
      <c r="C58" s="104">
        <f ca="1">C29</f>
        <v>362595</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3916</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7.0000000000000007E-2</v>
      </c>
      <c r="I60" s="1476" t="s">
        <v>1946</v>
      </c>
      <c r="J60" s="992">
        <f ca="1">IF(OR(M48="住宅",J52&lt;L49,J57="是"),"——",ROUND(C29*J59,0))</f>
        <v>145038</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131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9083</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1313491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3626</v>
      </c>
      <c r="D65" s="1259" t="s">
        <v>1881</v>
      </c>
      <c r="E65" s="235" t="s">
        <v>1825</v>
      </c>
      <c r="F65" s="265">
        <f t="shared" si="0"/>
        <v>0.01</v>
      </c>
      <c r="I65" s="1479" t="s">
        <v>1961</v>
      </c>
      <c r="J65" s="1251">
        <v>50</v>
      </c>
      <c r="K65" s="1251">
        <v>35</v>
      </c>
      <c r="L65" s="1251">
        <v>60</v>
      </c>
      <c r="M65" s="1250">
        <v>0</v>
      </c>
      <c r="O65" s="1009" t="s">
        <v>769</v>
      </c>
      <c r="P65" s="1006" t="s">
        <v>1935</v>
      </c>
      <c r="Q65" s="1011">
        <f ca="1">L52</f>
        <v>23324684</v>
      </c>
      <c r="R65" s="1012" t="s">
        <v>1962</v>
      </c>
    </row>
    <row r="66" spans="1:18" s="652" customFormat="1" ht="20.25" thickBot="1">
      <c r="A66" s="253" t="s">
        <v>20</v>
      </c>
      <c r="B66" s="235" t="s">
        <v>1840</v>
      </c>
      <c r="C66" s="13">
        <f ca="1">ROUND(C57*F66,0)</f>
        <v>290</v>
      </c>
      <c r="D66" s="1259" t="s">
        <v>1841</v>
      </c>
      <c r="E66" s="235" t="s">
        <v>1842</v>
      </c>
      <c r="F66" s="266">
        <f t="shared" si="0"/>
        <v>1E-3</v>
      </c>
      <c r="I66" s="1479" t="s">
        <v>1963</v>
      </c>
      <c r="J66" s="1251">
        <v>40</v>
      </c>
      <c r="K66" s="1251">
        <v>30</v>
      </c>
      <c r="L66" s="1251">
        <v>50</v>
      </c>
      <c r="M66" s="1249">
        <v>0.02</v>
      </c>
      <c r="O66" s="1009" t="s">
        <v>770</v>
      </c>
      <c r="P66" s="1013" t="s">
        <v>1964</v>
      </c>
      <c r="Q66" s="1007">
        <f ca="1">ROUND(Q67-Q68*Q69,0)</f>
        <v>33581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56787</v>
      </c>
      <c r="R67" s="1008" t="s">
        <v>1900</v>
      </c>
    </row>
    <row r="68" spans="1:18" ht="15.75" thickBot="1">
      <c r="A68" s="248" t="s">
        <v>22</v>
      </c>
      <c r="B68" s="41" t="s">
        <v>1850</v>
      </c>
      <c r="C68" s="250">
        <f ca="1">C49-C59</f>
        <v>-3916</v>
      </c>
      <c r="D68" s="1256" t="s">
        <v>1851</v>
      </c>
      <c r="E68" s="1258"/>
      <c r="F68" s="268"/>
      <c r="H68" s="652"/>
      <c r="I68" s="652"/>
      <c r="J68" s="652"/>
      <c r="K68" s="652"/>
      <c r="L68" s="652"/>
      <c r="M68" s="652"/>
      <c r="O68" s="1009" t="s">
        <v>776</v>
      </c>
      <c r="P68" s="1013" t="s">
        <v>1966</v>
      </c>
      <c r="Q68" s="1007">
        <f ca="1">C13</f>
        <v>290076</v>
      </c>
      <c r="R68" s="1008" t="s">
        <v>1900</v>
      </c>
    </row>
    <row r="69" spans="1:18" ht="15.75" thickBot="1">
      <c r="A69" s="232" t="s">
        <v>23</v>
      </c>
      <c r="B69" s="233" t="s">
        <v>1888</v>
      </c>
      <c r="C69" s="234">
        <f ca="1">ROUND(C68*(1-((1+F71)/(1+F69))^F70)/(F69-F71),0)</f>
        <v>-60839</v>
      </c>
      <c r="D69" s="261" t="s">
        <v>1856</v>
      </c>
      <c r="E69" s="235" t="s">
        <v>1857</v>
      </c>
      <c r="F69" s="245">
        <f>F40</f>
        <v>5.5E-2</v>
      </c>
      <c r="H69" s="652"/>
      <c r="I69" s="652"/>
      <c r="J69" s="652"/>
      <c r="K69" s="652"/>
      <c r="L69" s="652"/>
      <c r="M69" s="652"/>
      <c r="O69" s="1009" t="s">
        <v>777</v>
      </c>
      <c r="P69" s="1013" t="s">
        <v>1967</v>
      </c>
      <c r="Q69" s="1010">
        <f>J35</f>
        <v>0.08</v>
      </c>
      <c r="R69" s="1008"/>
    </row>
    <row r="70" spans="1:18" ht="15.75" thickBot="1">
      <c r="A70" s="237"/>
      <c r="B70" s="238"/>
      <c r="C70" s="239"/>
      <c r="D70" s="269" t="s">
        <v>1890</v>
      </c>
      <c r="E70" s="235" t="s">
        <v>1862</v>
      </c>
      <c r="F70" s="270">
        <f>F41</f>
        <v>36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-852</v>
      </c>
      <c r="D72" s="274" t="s">
        <v>1892</v>
      </c>
      <c r="E72" s="275" t="s">
        <v>1893</v>
      </c>
      <c r="F72" s="276">
        <f>F43</f>
        <v>71.38</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131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558" t="s">
        <v>2653</v>
      </c>
      <c r="K2" s="3559"/>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560" t="s">
        <v>2663</v>
      </c>
      <c r="K3" s="3561"/>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560" t="s">
        <v>2665</v>
      </c>
      <c r="K4" s="3561"/>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562" t="s">
        <v>2669</v>
      </c>
      <c r="B6" s="3563"/>
      <c r="C6" s="3564"/>
      <c r="D6" s="3153"/>
      <c r="E6" s="3097"/>
      <c r="F6" s="3098"/>
      <c r="G6" s="3198"/>
      <c r="H6" s="3184"/>
      <c r="I6" s="3185"/>
      <c r="J6" s="3565">
        <v>1</v>
      </c>
      <c r="K6" s="3566"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565"/>
      <c r="K7" s="3567"/>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569" t="s">
        <v>2682</v>
      </c>
      <c r="C8" s="3570"/>
      <c r="D8" s="3107" t="s">
        <v>2683</v>
      </c>
      <c r="E8" s="3108" t="s">
        <v>2684</v>
      </c>
      <c r="F8" s="3091" t="s">
        <v>2685</v>
      </c>
      <c r="G8" s="3261" t="s">
        <v>2793</v>
      </c>
      <c r="H8" s="3184"/>
      <c r="I8" s="3185"/>
      <c r="J8" s="3565"/>
      <c r="K8" s="3567"/>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569" t="s">
        <v>2687</v>
      </c>
      <c r="C9" s="3570"/>
      <c r="D9" s="3107">
        <f>ROUND(D6*E9,0)</f>
        <v>0</v>
      </c>
      <c r="E9" s="3154"/>
      <c r="F9" s="3109" t="s">
        <v>2688</v>
      </c>
      <c r="G9" s="3207" t="s">
        <v>2791</v>
      </c>
      <c r="H9" s="3184"/>
      <c r="I9" s="3185"/>
      <c r="J9" s="3565"/>
      <c r="K9" s="3567"/>
      <c r="L9" s="3202" t="s">
        <v>2781</v>
      </c>
      <c r="M9" s="3203"/>
      <c r="N9" s="3203"/>
      <c r="O9" s="3204"/>
      <c r="P9" s="3204"/>
      <c r="Q9" s="3205">
        <v>365</v>
      </c>
      <c r="R9" s="3206">
        <f t="shared" si="0"/>
        <v>0</v>
      </c>
      <c r="S9" s="3182"/>
      <c r="T9" s="3182"/>
      <c r="U9" s="3182"/>
      <c r="V9" s="3185"/>
      <c r="W9" s="3184"/>
    </row>
    <row r="10" spans="1:23" s="3090" customFormat="1" ht="13.15" customHeight="1">
      <c r="A10" s="3106">
        <v>2</v>
      </c>
      <c r="B10" s="3569" t="s">
        <v>2689</v>
      </c>
      <c r="C10" s="3570"/>
      <c r="D10" s="3107">
        <f>ROUND(D6*E10,0)</f>
        <v>0</v>
      </c>
      <c r="E10" s="3154"/>
      <c r="F10" s="3109" t="s">
        <v>2690</v>
      </c>
      <c r="G10" s="3207" t="s">
        <v>2792</v>
      </c>
      <c r="H10" s="3184"/>
      <c r="I10" s="3185"/>
      <c r="J10" s="3565"/>
      <c r="K10" s="3567"/>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569" t="s">
        <v>2691</v>
      </c>
      <c r="C11" s="3570"/>
      <c r="D11" s="3107">
        <f>D12+D14+D15+D16</f>
        <v>0</v>
      </c>
      <c r="E11" s="3110" t="e">
        <f>D11/D6</f>
        <v>#DIV/0!</v>
      </c>
      <c r="F11" s="3091"/>
      <c r="G11" s="3207"/>
      <c r="H11" s="3184"/>
      <c r="I11" s="3185"/>
      <c r="J11" s="3565"/>
      <c r="K11" s="3567"/>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571" t="s">
        <v>2693</v>
      </c>
      <c r="C12" s="3572"/>
      <c r="D12" s="3112">
        <f>ROUND(D13*1.2%*(1-30%),0)</f>
        <v>0</v>
      </c>
      <c r="E12" s="3113">
        <v>1.2E-2</v>
      </c>
      <c r="F12" s="3091" t="s">
        <v>2694</v>
      </c>
      <c r="G12" s="3207"/>
      <c r="H12" s="3184"/>
      <c r="I12" s="3185"/>
      <c r="J12" s="3565"/>
      <c r="K12" s="3567"/>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565"/>
      <c r="K13" s="3567"/>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571" t="s">
        <v>2697</v>
      </c>
      <c r="C14" s="3572"/>
      <c r="D14" s="3112">
        <f>ROUND(E14*B5/10000,0)</f>
        <v>0</v>
      </c>
      <c r="E14" s="3156"/>
      <c r="F14" s="3091" t="s">
        <v>2698</v>
      </c>
      <c r="G14" s="3207"/>
      <c r="H14" s="3184"/>
      <c r="I14" s="3185"/>
      <c r="J14" s="3565"/>
      <c r="K14" s="3568"/>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571" t="s">
        <v>2701</v>
      </c>
      <c r="C15" s="3572"/>
      <c r="D15" s="3112">
        <f>ROUND(D6*E15,0)</f>
        <v>0</v>
      </c>
      <c r="E15" s="3113">
        <v>5.5E-2</v>
      </c>
      <c r="F15" s="3091" t="s">
        <v>2702</v>
      </c>
      <c r="G15" s="3207"/>
      <c r="H15" s="3184"/>
      <c r="I15" s="3185"/>
      <c r="J15" s="3565">
        <v>2</v>
      </c>
      <c r="K15" s="3566"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571" t="s">
        <v>2712</v>
      </c>
      <c r="C16" s="3572"/>
      <c r="D16" s="3157">
        <f>D6*E16</f>
        <v>0</v>
      </c>
      <c r="E16" s="3158"/>
      <c r="F16" s="3109" t="s">
        <v>2713</v>
      </c>
      <c r="G16" s="3207"/>
      <c r="H16" s="3184"/>
      <c r="I16" s="3185"/>
      <c r="J16" s="3565"/>
      <c r="K16" s="3567"/>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3" t="s">
        <v>2714</v>
      </c>
      <c r="C17" s="3574"/>
      <c r="D17" s="3118">
        <f>ROUND(D6*E17,0)</f>
        <v>0</v>
      </c>
      <c r="E17" s="3159"/>
      <c r="F17" s="3119" t="s">
        <v>2715</v>
      </c>
      <c r="G17" s="3260">
        <v>0.1</v>
      </c>
      <c r="H17" s="3184"/>
      <c r="I17" s="3185"/>
      <c r="J17" s="3565"/>
      <c r="K17" s="3567"/>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565"/>
      <c r="K18" s="3567"/>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565"/>
      <c r="K19" s="3568"/>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65">
        <v>3</v>
      </c>
      <c r="K20" s="3566"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565"/>
      <c r="K21" s="3567"/>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565"/>
      <c r="K22" s="3567"/>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565"/>
      <c r="K23" s="3567"/>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565"/>
      <c r="K24" s="3568"/>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575">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576"/>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558" t="s">
        <v>2751</v>
      </c>
      <c r="K32" s="3559"/>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560" t="s">
        <v>2755</v>
      </c>
      <c r="K33" s="3561"/>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560" t="s">
        <v>2757</v>
      </c>
      <c r="K34" s="3561"/>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565">
        <v>1</v>
      </c>
      <c r="K36" s="3566"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565"/>
      <c r="K37" s="3567"/>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65"/>
      <c r="K38" s="3567"/>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565"/>
      <c r="K39" s="3567"/>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565"/>
      <c r="K40" s="3568"/>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75">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576"/>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0" t="s">
        <v>1973</v>
      </c>
      <c r="D4" s="3581"/>
      <c r="E4" s="3581"/>
      <c r="F4" s="3581"/>
      <c r="G4" s="3581"/>
      <c r="H4" s="3581"/>
      <c r="I4" s="3581"/>
      <c r="J4" s="3581"/>
      <c r="K4" s="3581"/>
      <c r="L4" s="3581"/>
      <c r="M4" s="3581"/>
      <c r="N4" s="3581"/>
      <c r="O4" s="3581"/>
      <c r="P4" s="3581"/>
      <c r="Q4" s="3581"/>
      <c r="R4" s="3581"/>
      <c r="S4" s="358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2" t="s">
        <v>1989</v>
      </c>
      <c r="V24" s="2905"/>
      <c r="W24" s="2906" t="s">
        <v>1990</v>
      </c>
      <c r="X24" s="2172" t="s">
        <v>1991</v>
      </c>
      <c r="Y24" s="2905"/>
      <c r="Z24" s="2907" t="s">
        <v>1990</v>
      </c>
    </row>
    <row r="25" spans="1:45">
      <c r="A25" s="250" t="s">
        <v>1992</v>
      </c>
      <c r="B25" s="13">
        <f>SUM(B27:B10000)</f>
        <v>0</v>
      </c>
      <c r="C25" s="3577" t="s">
        <v>45</v>
      </c>
      <c r="D25" s="3578"/>
      <c r="E25" s="3578"/>
      <c r="F25" s="3578"/>
      <c r="G25" s="3578"/>
      <c r="H25" s="3578"/>
      <c r="I25" s="3578"/>
      <c r="J25" s="3578"/>
      <c r="K25" s="3578"/>
      <c r="L25" s="3578"/>
      <c r="M25" s="3578"/>
      <c r="N25" s="3578"/>
      <c r="O25" s="3578"/>
      <c r="P25" s="3578"/>
      <c r="Q25" s="3579"/>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I3" sqref="I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207</v>
      </c>
      <c r="C2" s="1579" t="str">
        <f>'数据-取费表'!B3</f>
        <v>万元</v>
      </c>
      <c r="D2" s="1580" t="s">
        <v>1001</v>
      </c>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29000</v>
      </c>
      <c r="C3" s="1588" t="s">
        <v>2005</v>
      </c>
      <c r="D3" s="1588">
        <f>IF(C1="仅计算典型户型",'数据-取费表'!E5,'数据-取费表'!B5)</f>
        <v>71.38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616" t="s">
        <v>2007</v>
      </c>
      <c r="D4" s="3617"/>
      <c r="E4" s="3618" t="s">
        <v>2008</v>
      </c>
      <c r="F4" s="3619"/>
      <c r="G4" s="3616" t="s">
        <v>2009</v>
      </c>
      <c r="H4" s="3617"/>
      <c r="I4" s="3616" t="s">
        <v>2010</v>
      </c>
      <c r="J4" s="3617"/>
      <c r="K4" s="1593" t="s">
        <v>2011</v>
      </c>
      <c r="L4" s="2914"/>
      <c r="M4" s="2915"/>
      <c r="N4" s="2915"/>
      <c r="O4" s="2915"/>
      <c r="P4" s="3620" t="s">
        <v>2012</v>
      </c>
      <c r="Q4" s="3621"/>
      <c r="R4" s="3605" t="s">
        <v>2008</v>
      </c>
      <c r="S4" s="3606"/>
      <c r="T4" s="3605" t="s">
        <v>2009</v>
      </c>
      <c r="U4" s="3606"/>
      <c r="V4" s="3626" t="s">
        <v>2010</v>
      </c>
      <c r="W4" s="3626"/>
      <c r="X4" s="1594"/>
      <c r="Y4" s="3605" t="s">
        <v>2012</v>
      </c>
      <c r="Z4" s="3606"/>
      <c r="AA4" s="3613" t="s">
        <v>2008</v>
      </c>
      <c r="AB4" s="3613" t="s">
        <v>2009</v>
      </c>
      <c r="AC4" s="3613" t="s">
        <v>2010</v>
      </c>
    </row>
    <row r="5" spans="1:29" ht="15">
      <c r="A5" s="1596"/>
      <c r="B5" s="1597"/>
      <c r="C5" s="3601" t="s">
        <v>2013</v>
      </c>
      <c r="D5" s="3602"/>
      <c r="E5" s="3627" t="s">
        <v>2014</v>
      </c>
      <c r="F5" s="3628"/>
      <c r="G5" s="3601" t="s">
        <v>2015</v>
      </c>
      <c r="H5" s="3602"/>
      <c r="I5" s="3601" t="s">
        <v>2016</v>
      </c>
      <c r="J5" s="3602"/>
      <c r="K5" s="1598"/>
      <c r="L5" s="2914"/>
      <c r="M5" s="2915"/>
      <c r="N5" s="2915"/>
      <c r="O5" s="2915"/>
      <c r="P5" s="3622"/>
      <c r="Q5" s="3623"/>
      <c r="R5" s="3607"/>
      <c r="S5" s="3608"/>
      <c r="T5" s="3607"/>
      <c r="U5" s="3608"/>
      <c r="V5" s="3626"/>
      <c r="W5" s="3626"/>
      <c r="X5" s="1594"/>
      <c r="Y5" s="3607"/>
      <c r="Z5" s="3608"/>
      <c r="AA5" s="3614"/>
      <c r="AB5" s="3614"/>
      <c r="AC5" s="3614"/>
    </row>
    <row r="6" spans="1:29" ht="15.75" thickBot="1">
      <c r="A6" s="1599"/>
      <c r="B6" s="1600"/>
      <c r="C6" s="3599" t="s">
        <v>2017</v>
      </c>
      <c r="D6" s="3600"/>
      <c r="E6" s="3629" t="s">
        <v>2017</v>
      </c>
      <c r="F6" s="3630"/>
      <c r="G6" s="3599" t="s">
        <v>2017</v>
      </c>
      <c r="H6" s="3600"/>
      <c r="I6" s="3599" t="s">
        <v>2017</v>
      </c>
      <c r="J6" s="3600"/>
      <c r="K6" s="1598" t="s">
        <v>2018</v>
      </c>
      <c r="L6" s="2914"/>
      <c r="M6" s="2915"/>
      <c r="N6" s="2915"/>
      <c r="O6" s="2915"/>
      <c r="P6" s="3624"/>
      <c r="Q6" s="3625"/>
      <c r="R6" s="3607"/>
      <c r="S6" s="3608"/>
      <c r="T6" s="3609"/>
      <c r="U6" s="3610"/>
      <c r="V6" s="3626"/>
      <c r="W6" s="3626"/>
      <c r="X6" s="1594"/>
      <c r="Y6" s="3609"/>
      <c r="Z6" s="3610"/>
      <c r="AA6" s="3615"/>
      <c r="AB6" s="3615"/>
      <c r="AC6" s="3615"/>
    </row>
    <row r="7" spans="1:29" s="1613" customFormat="1" ht="15.75" thickBot="1">
      <c r="A7" s="1601" t="s">
        <v>2019</v>
      </c>
      <c r="B7" s="1602"/>
      <c r="C7" s="1603">
        <f>'数据-取费表'!B2</f>
        <v>44817</v>
      </c>
      <c r="D7" s="1604">
        <v>100</v>
      </c>
      <c r="E7" s="1605">
        <f>C7</f>
        <v>44817</v>
      </c>
      <c r="F7" s="1606">
        <f>SUMIF(58:58,YEAR(E7)&amp;"-"&amp;MONTH(E7),59:59)</f>
        <v>100</v>
      </c>
      <c r="G7" s="1605">
        <f>C7</f>
        <v>44817</v>
      </c>
      <c r="H7" s="1604">
        <f>SUMIF(58:58,YEAR(G7)&amp;"-"&amp;MONTH(G7),59:59)</f>
        <v>100</v>
      </c>
      <c r="I7" s="1605">
        <f>C7</f>
        <v>44817</v>
      </c>
      <c r="J7" s="1604">
        <f>SUMIF(58:58,YEAR(I7)&amp;"-"&amp;MONTH(I7),59:59)</f>
        <v>100</v>
      </c>
      <c r="K7" s="1607"/>
      <c r="L7" s="2914"/>
      <c r="M7" s="2887"/>
      <c r="N7" s="2887"/>
      <c r="O7" s="2887"/>
      <c r="P7" s="3603" t="s">
        <v>2020</v>
      </c>
      <c r="Q7" s="3611"/>
      <c r="R7" s="1609" t="s">
        <v>34</v>
      </c>
      <c r="S7" s="1610">
        <f t="shared" ref="S7:S15" si="0">F7</f>
        <v>100</v>
      </c>
      <c r="T7" s="1609" t="s">
        <v>34</v>
      </c>
      <c r="U7" s="1610">
        <f t="shared" ref="U7:U15" si="1">H7</f>
        <v>100</v>
      </c>
      <c r="V7" s="1609" t="s">
        <v>34</v>
      </c>
      <c r="W7" s="1610">
        <f t="shared" ref="W7:W15" si="2">J7</f>
        <v>100</v>
      </c>
      <c r="X7" s="1611"/>
      <c r="Y7" s="3603" t="s">
        <v>2020</v>
      </c>
      <c r="Z7" s="3604"/>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4"/>
      <c r="M8" s="2887"/>
      <c r="N8" s="2887"/>
      <c r="O8" s="2887"/>
      <c r="P8" s="3603" t="s">
        <v>2023</v>
      </c>
      <c r="Q8" s="3604"/>
      <c r="R8" s="1609" t="s">
        <v>34</v>
      </c>
      <c r="S8" s="1610">
        <f t="shared" si="0"/>
        <v>100</v>
      </c>
      <c r="T8" s="1609" t="s">
        <v>34</v>
      </c>
      <c r="U8" s="1610">
        <f t="shared" si="1"/>
        <v>100</v>
      </c>
      <c r="V8" s="1609" t="s">
        <v>34</v>
      </c>
      <c r="W8" s="1610">
        <f t="shared" si="2"/>
        <v>100</v>
      </c>
      <c r="X8" s="1611"/>
      <c r="Y8" s="3603" t="s">
        <v>2023</v>
      </c>
      <c r="Z8" s="3604"/>
      <c r="AA8" s="1612">
        <f t="shared" ref="AA8:AA46" si="3">D8/F8</f>
        <v>1</v>
      </c>
      <c r="AB8" s="1612">
        <f t="shared" ref="AB8:AB46" si="4">D8/H8</f>
        <v>1</v>
      </c>
      <c r="AC8" s="1612">
        <f t="shared" ref="AC8:AC46" si="5">D8/J8</f>
        <v>1</v>
      </c>
    </row>
    <row r="9" spans="1:29" s="1613" customFormat="1">
      <c r="A9" s="1564" t="s">
        <v>2024</v>
      </c>
      <c r="B9" s="1615" t="s">
        <v>2025</v>
      </c>
      <c r="C9" s="1616"/>
      <c r="D9" s="1617">
        <v>100</v>
      </c>
      <c r="E9" s="1618"/>
      <c r="F9" s="1619">
        <f>SUMIF(63:63,E9,64:64)-SUMIF(63:63,C9,64:64)+100</f>
        <v>100</v>
      </c>
      <c r="G9" s="1620"/>
      <c r="H9" s="1617">
        <f>SUMIF(63:63,G9,64:64)-SUMIF(63:63,C9,64:64)+100</f>
        <v>100</v>
      </c>
      <c r="I9" s="1620"/>
      <c r="J9" s="1617">
        <f>SUMIF(63:63,I9,64:64)-SUMIF(63:63,C9,64:64)+100</f>
        <v>100</v>
      </c>
      <c r="K9" s="1607"/>
      <c r="L9" s="2914"/>
      <c r="M9" s="2887"/>
      <c r="N9" s="2887"/>
      <c r="O9" s="2887"/>
      <c r="P9" s="3612" t="s">
        <v>2026</v>
      </c>
      <c r="Q9" s="1563" t="str">
        <f t="shared" ref="Q9:Q15" si="6">B9</f>
        <v>用途</v>
      </c>
      <c r="R9" s="1609" t="s">
        <v>25</v>
      </c>
      <c r="S9" s="1610">
        <f t="shared" si="0"/>
        <v>100</v>
      </c>
      <c r="T9" s="1609" t="s">
        <v>25</v>
      </c>
      <c r="U9" s="1610">
        <f t="shared" si="1"/>
        <v>100</v>
      </c>
      <c r="V9" s="1609" t="s">
        <v>25</v>
      </c>
      <c r="W9" s="1610">
        <f t="shared" si="2"/>
        <v>100</v>
      </c>
      <c r="X9" s="1611"/>
      <c r="Y9" s="3449"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12"/>
      <c r="Q10" s="1563" t="str">
        <f t="shared" si="6"/>
        <v>土地使用年限（年）</v>
      </c>
      <c r="R10" s="1609" t="s">
        <v>25</v>
      </c>
      <c r="S10" s="1610">
        <f t="shared" si="0"/>
        <v>100</v>
      </c>
      <c r="T10" s="1609" t="s">
        <v>25</v>
      </c>
      <c r="U10" s="1610">
        <f t="shared" si="1"/>
        <v>100</v>
      </c>
      <c r="V10" s="1609" t="s">
        <v>25</v>
      </c>
      <c r="W10" s="1610">
        <f t="shared" si="2"/>
        <v>100</v>
      </c>
      <c r="X10" s="1611"/>
      <c r="Y10" s="3449"/>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8"/>
      <c r="M11" s="2915"/>
      <c r="N11" s="2915"/>
      <c r="O11" s="2915"/>
      <c r="P11" s="3612"/>
      <c r="Q11" s="1563" t="str">
        <f t="shared" si="6"/>
        <v>容积率</v>
      </c>
      <c r="R11" s="1609" t="s">
        <v>28</v>
      </c>
      <c r="S11" s="1610">
        <f t="shared" si="0"/>
        <v>100</v>
      </c>
      <c r="T11" s="1609" t="s">
        <v>28</v>
      </c>
      <c r="U11" s="1610">
        <f t="shared" si="1"/>
        <v>100</v>
      </c>
      <c r="V11" s="1609" t="s">
        <v>28</v>
      </c>
      <c r="W11" s="1610">
        <f t="shared" si="2"/>
        <v>100</v>
      </c>
      <c r="X11" s="1611"/>
      <c r="Y11" s="3449"/>
      <c r="Z11" s="1621" t="str">
        <f t="shared" si="7"/>
        <v>容积率</v>
      </c>
      <c r="AA11" s="1612">
        <f t="shared" si="3"/>
        <v>1</v>
      </c>
      <c r="AB11" s="1612">
        <f t="shared" si="4"/>
        <v>1</v>
      </c>
      <c r="AC11" s="1612">
        <f t="shared" si="5"/>
        <v>1</v>
      </c>
    </row>
    <row r="12" spans="1:29" s="1613"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12"/>
      <c r="Q12" s="1563">
        <f t="shared" si="6"/>
        <v>111</v>
      </c>
      <c r="R12" s="1609" t="s">
        <v>28</v>
      </c>
      <c r="S12" s="1610">
        <f t="shared" si="0"/>
        <v>100</v>
      </c>
      <c r="T12" s="1609" t="s">
        <v>28</v>
      </c>
      <c r="U12" s="1610">
        <f t="shared" si="1"/>
        <v>100</v>
      </c>
      <c r="V12" s="1609" t="s">
        <v>28</v>
      </c>
      <c r="W12" s="1610">
        <f t="shared" si="2"/>
        <v>100</v>
      </c>
      <c r="X12" s="1611"/>
      <c r="Y12" s="3449"/>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12"/>
      <c r="Q13" s="1563">
        <f t="shared" si="6"/>
        <v>111</v>
      </c>
      <c r="R13" s="1609" t="s">
        <v>28</v>
      </c>
      <c r="S13" s="1610">
        <f t="shared" si="0"/>
        <v>100</v>
      </c>
      <c r="T13" s="1609" t="s">
        <v>28</v>
      </c>
      <c r="U13" s="1610">
        <f t="shared" si="1"/>
        <v>100</v>
      </c>
      <c r="V13" s="1609" t="s">
        <v>28</v>
      </c>
      <c r="W13" s="1610">
        <f t="shared" si="2"/>
        <v>100</v>
      </c>
      <c r="X13" s="1611"/>
      <c r="Y13" s="3449"/>
      <c r="Z13" s="1621">
        <f t="shared" si="7"/>
        <v>111</v>
      </c>
      <c r="AA13" s="1612">
        <f t="shared" si="3"/>
        <v>1</v>
      </c>
      <c r="AB13" s="1612">
        <f t="shared" si="4"/>
        <v>1</v>
      </c>
      <c r="AC13" s="1612">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12"/>
      <c r="Q14" s="1563">
        <f t="shared" si="6"/>
        <v>111</v>
      </c>
      <c r="R14" s="1609" t="s">
        <v>28</v>
      </c>
      <c r="S14" s="1610">
        <f t="shared" si="0"/>
        <v>100</v>
      </c>
      <c r="T14" s="1609" t="s">
        <v>28</v>
      </c>
      <c r="U14" s="1610">
        <f t="shared" si="1"/>
        <v>100</v>
      </c>
      <c r="V14" s="1609" t="s">
        <v>28</v>
      </c>
      <c r="W14" s="1610">
        <f t="shared" si="2"/>
        <v>100</v>
      </c>
      <c r="X14" s="1611"/>
      <c r="Y14" s="3449"/>
      <c r="Z14" s="1621">
        <f t="shared" si="7"/>
        <v>111</v>
      </c>
      <c r="AA14" s="1612">
        <f t="shared" si="3"/>
        <v>1</v>
      </c>
      <c r="AB14" s="1612">
        <f t="shared" si="4"/>
        <v>1</v>
      </c>
      <c r="AC14" s="1612">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0" t="s">
        <v>2031</v>
      </c>
      <c r="Q15" s="1544" t="str">
        <f t="shared" si="6"/>
        <v>居住社区成熟度</v>
      </c>
      <c r="R15" s="1653" t="s">
        <v>28</v>
      </c>
      <c r="S15" s="1654">
        <f t="shared" si="0"/>
        <v>100</v>
      </c>
      <c r="T15" s="1653" t="s">
        <v>28</v>
      </c>
      <c r="U15" s="1654">
        <f t="shared" si="1"/>
        <v>100</v>
      </c>
      <c r="V15" s="1653" t="s">
        <v>28</v>
      </c>
      <c r="W15" s="1654">
        <f t="shared" si="2"/>
        <v>100</v>
      </c>
      <c r="X15" s="1594"/>
      <c r="Y15" s="3592" t="s">
        <v>2031</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1"/>
      <c r="Q16" s="1544"/>
      <c r="R16" s="1653"/>
      <c r="S16" s="1654"/>
      <c r="T16" s="1653"/>
      <c r="U16" s="1654"/>
      <c r="V16" s="1653"/>
      <c r="W16" s="1654"/>
      <c r="X16" s="1594"/>
      <c r="Y16" s="3593"/>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1"/>
      <c r="Q17" s="1544" t="str">
        <f>B17</f>
        <v>交通便捷度</v>
      </c>
      <c r="R17" s="1653" t="s">
        <v>28</v>
      </c>
      <c r="S17" s="1654">
        <f>F17</f>
        <v>100</v>
      </c>
      <c r="T17" s="1653" t="s">
        <v>28</v>
      </c>
      <c r="U17" s="1654">
        <f>H17</f>
        <v>100</v>
      </c>
      <c r="V17" s="1653" t="s">
        <v>28</v>
      </c>
      <c r="W17" s="1654">
        <f>J17</f>
        <v>100</v>
      </c>
      <c r="X17" s="1594"/>
      <c r="Y17" s="3593"/>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1"/>
      <c r="Q18" s="1544"/>
      <c r="R18" s="1653"/>
      <c r="S18" s="1654"/>
      <c r="T18" s="1653"/>
      <c r="U18" s="1654"/>
      <c r="V18" s="1653"/>
      <c r="W18" s="1654"/>
      <c r="X18" s="1594"/>
      <c r="Y18" s="3593"/>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1"/>
      <c r="Q19" s="1544" t="str">
        <f>B19</f>
        <v>公共配套设施</v>
      </c>
      <c r="R19" s="1653" t="s">
        <v>28</v>
      </c>
      <c r="S19" s="1654">
        <f>F19</f>
        <v>100</v>
      </c>
      <c r="T19" s="1653" t="s">
        <v>28</v>
      </c>
      <c r="U19" s="1654">
        <f>H19</f>
        <v>100</v>
      </c>
      <c r="V19" s="1653" t="s">
        <v>28</v>
      </c>
      <c r="W19" s="1654">
        <f>J19</f>
        <v>100</v>
      </c>
      <c r="X19" s="1594"/>
      <c r="Y19" s="3593"/>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1"/>
      <c r="Q20" s="1544"/>
      <c r="R20" s="1653"/>
      <c r="S20" s="1654"/>
      <c r="T20" s="1653"/>
      <c r="U20" s="1654"/>
      <c r="V20" s="1653"/>
      <c r="W20" s="1654"/>
      <c r="X20" s="1594"/>
      <c r="Y20" s="3593"/>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1"/>
      <c r="Q21" s="1544" t="str">
        <f>B21</f>
        <v>基础设施水平</v>
      </c>
      <c r="R21" s="1653" t="s">
        <v>28</v>
      </c>
      <c r="S21" s="1654">
        <f>F21</f>
        <v>100</v>
      </c>
      <c r="T21" s="1653" t="s">
        <v>28</v>
      </c>
      <c r="U21" s="1654">
        <f>H21</f>
        <v>100</v>
      </c>
      <c r="V21" s="1653" t="s">
        <v>28</v>
      </c>
      <c r="W21" s="1654">
        <f>J21</f>
        <v>100</v>
      </c>
      <c r="X21" s="1594"/>
      <c r="Y21" s="3593"/>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1"/>
      <c r="Q22" s="1544"/>
      <c r="R22" s="1653"/>
      <c r="S22" s="1654"/>
      <c r="T22" s="1653"/>
      <c r="U22" s="1654"/>
      <c r="V22" s="1653"/>
      <c r="W22" s="1654"/>
      <c r="X22" s="1594"/>
      <c r="Y22" s="3593"/>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1"/>
      <c r="Q23" s="1544" t="str">
        <f>B23</f>
        <v>自然及人文环境</v>
      </c>
      <c r="R23" s="1653" t="s">
        <v>28</v>
      </c>
      <c r="S23" s="1654">
        <f>F23</f>
        <v>100</v>
      </c>
      <c r="T23" s="1653" t="s">
        <v>28</v>
      </c>
      <c r="U23" s="1654">
        <f>H23</f>
        <v>100</v>
      </c>
      <c r="V23" s="1653" t="s">
        <v>28</v>
      </c>
      <c r="W23" s="1654">
        <f>J23</f>
        <v>100</v>
      </c>
      <c r="X23" s="1594"/>
      <c r="Y23" s="3593"/>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1"/>
      <c r="Q24" s="1544"/>
      <c r="R24" s="1653"/>
      <c r="S24" s="1654"/>
      <c r="T24" s="1653"/>
      <c r="U24" s="1654"/>
      <c r="V24" s="1653"/>
      <c r="W24" s="1654"/>
      <c r="X24" s="1594"/>
      <c r="Y24" s="3593"/>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1"/>
      <c r="Q25" s="1544" t="str">
        <f t="shared" ref="Q25:Q46" si="11">B25</f>
        <v>楼层-1</v>
      </c>
      <c r="R25" s="1653" t="s">
        <v>28</v>
      </c>
      <c r="S25" s="1654">
        <f>F25</f>
        <v>100</v>
      </c>
      <c r="T25" s="1653" t="s">
        <v>28</v>
      </c>
      <c r="U25" s="1654">
        <f>H25</f>
        <v>100</v>
      </c>
      <c r="V25" s="1653" t="s">
        <v>28</v>
      </c>
      <c r="W25" s="1654">
        <f>J25</f>
        <v>100</v>
      </c>
      <c r="X25" s="1594"/>
      <c r="Y25" s="3593"/>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1"/>
      <c r="Q26" s="1544" t="str">
        <f t="shared" si="11"/>
        <v>朝向</v>
      </c>
      <c r="R26" s="1653" t="s">
        <v>28</v>
      </c>
      <c r="S26" s="1654">
        <f>F26</f>
        <v>100</v>
      </c>
      <c r="T26" s="1653" t="s">
        <v>28</v>
      </c>
      <c r="U26" s="1654">
        <f>H26</f>
        <v>100</v>
      </c>
      <c r="V26" s="1653" t="s">
        <v>28</v>
      </c>
      <c r="W26" s="1654">
        <f>J26</f>
        <v>100</v>
      </c>
      <c r="X26" s="1594"/>
      <c r="Y26" s="3593"/>
      <c r="Z26" s="1655" t="str">
        <f>Q26</f>
        <v>朝向</v>
      </c>
      <c r="AA26" s="1656">
        <f t="shared" si="3"/>
        <v>1</v>
      </c>
      <c r="AB26" s="1656">
        <f t="shared" si="4"/>
        <v>1</v>
      </c>
      <c r="AC26" s="1656">
        <f t="shared" si="5"/>
        <v>1</v>
      </c>
    </row>
    <row r="27" spans="1:29" s="1613"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1"/>
      <c r="Q27" s="1563" t="str">
        <f t="shared" si="11"/>
        <v>道路级别</v>
      </c>
      <c r="R27" s="1609" t="s">
        <v>28</v>
      </c>
      <c r="S27" s="1610">
        <f>F27</f>
        <v>100</v>
      </c>
      <c r="T27" s="1609" t="s">
        <v>28</v>
      </c>
      <c r="U27" s="1610">
        <f>H27</f>
        <v>100</v>
      </c>
      <c r="V27" s="1609" t="s">
        <v>28</v>
      </c>
      <c r="W27" s="1610">
        <f>J27</f>
        <v>100</v>
      </c>
      <c r="X27" s="1611"/>
      <c r="Y27" s="3593"/>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1"/>
      <c r="Q28" s="1544">
        <f t="shared" si="11"/>
        <v>111</v>
      </c>
      <c r="R28" s="1653" t="s">
        <v>28</v>
      </c>
      <c r="S28" s="1654">
        <f t="shared" ref="S28:S46" si="12">F28</f>
        <v>100</v>
      </c>
      <c r="T28" s="1653" t="s">
        <v>28</v>
      </c>
      <c r="U28" s="1654">
        <f t="shared" ref="U28:U46" si="13">H28</f>
        <v>100</v>
      </c>
      <c r="V28" s="1653" t="s">
        <v>28</v>
      </c>
      <c r="W28" s="1654">
        <f t="shared" ref="W28:W46" si="14">J28</f>
        <v>100</v>
      </c>
      <c r="X28" s="1594"/>
      <c r="Y28" s="3593"/>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1"/>
      <c r="Q29" s="1544">
        <f t="shared" si="11"/>
        <v>111</v>
      </c>
      <c r="R29" s="1653" t="s">
        <v>28</v>
      </c>
      <c r="S29" s="1654">
        <f t="shared" si="12"/>
        <v>100</v>
      </c>
      <c r="T29" s="1653" t="s">
        <v>28</v>
      </c>
      <c r="U29" s="1654">
        <f t="shared" si="13"/>
        <v>100</v>
      </c>
      <c r="V29" s="1653" t="s">
        <v>28</v>
      </c>
      <c r="W29" s="1654">
        <f t="shared" si="14"/>
        <v>100</v>
      </c>
      <c r="X29" s="1594"/>
      <c r="Y29" s="3593"/>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1"/>
      <c r="Q30" s="1544">
        <f t="shared" si="11"/>
        <v>111</v>
      </c>
      <c r="R30" s="1653" t="s">
        <v>28</v>
      </c>
      <c r="S30" s="1654">
        <f t="shared" si="12"/>
        <v>100</v>
      </c>
      <c r="T30" s="1653" t="s">
        <v>28</v>
      </c>
      <c r="U30" s="1654">
        <f t="shared" si="13"/>
        <v>100</v>
      </c>
      <c r="V30" s="1653" t="s">
        <v>28</v>
      </c>
      <c r="W30" s="1654">
        <f t="shared" si="14"/>
        <v>100</v>
      </c>
      <c r="X30" s="1594"/>
      <c r="Y30" s="3593"/>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1"/>
      <c r="Q31" s="1544">
        <f t="shared" si="11"/>
        <v>111</v>
      </c>
      <c r="R31" s="1653" t="s">
        <v>28</v>
      </c>
      <c r="S31" s="1654">
        <f t="shared" si="12"/>
        <v>100</v>
      </c>
      <c r="T31" s="1653" t="s">
        <v>28</v>
      </c>
      <c r="U31" s="1654">
        <f t="shared" si="13"/>
        <v>100</v>
      </c>
      <c r="V31" s="1653" t="s">
        <v>28</v>
      </c>
      <c r="W31" s="1654">
        <f t="shared" si="14"/>
        <v>100</v>
      </c>
      <c r="X31" s="1594"/>
      <c r="Y31" s="3593"/>
      <c r="Z31" s="1655">
        <f t="shared" si="15"/>
        <v>111</v>
      </c>
      <c r="AA31" s="1656">
        <f t="shared" si="3"/>
        <v>1</v>
      </c>
      <c r="AB31" s="1656">
        <f t="shared" si="4"/>
        <v>1</v>
      </c>
      <c r="AC31" s="1656">
        <f t="shared" si="5"/>
        <v>1</v>
      </c>
    </row>
    <row r="32" spans="1:29" ht="15">
      <c r="A32" s="1645" t="s">
        <v>2035</v>
      </c>
      <c r="B32" s="1615" t="s">
        <v>2036</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594" t="s">
        <v>2037</v>
      </c>
      <c r="Q32" s="1544" t="str">
        <f t="shared" si="11"/>
        <v>建筑类型</v>
      </c>
      <c r="R32" s="1653" t="s">
        <v>28</v>
      </c>
      <c r="S32" s="1654">
        <f t="shared" si="12"/>
        <v>100</v>
      </c>
      <c r="T32" s="1653" t="s">
        <v>28</v>
      </c>
      <c r="U32" s="1654">
        <f t="shared" si="13"/>
        <v>100</v>
      </c>
      <c r="V32" s="1653" t="s">
        <v>28</v>
      </c>
      <c r="W32" s="1654">
        <f t="shared" si="14"/>
        <v>100</v>
      </c>
      <c r="X32" s="1594"/>
      <c r="Y32" s="3597" t="s">
        <v>2037</v>
      </c>
      <c r="Z32" s="1655" t="str">
        <f t="shared" si="15"/>
        <v>建筑类型</v>
      </c>
      <c r="AA32" s="1656">
        <f t="shared" si="3"/>
        <v>1</v>
      </c>
      <c r="AB32" s="1656">
        <f t="shared" si="4"/>
        <v>1</v>
      </c>
      <c r="AC32" s="1656">
        <f t="shared" si="5"/>
        <v>1</v>
      </c>
    </row>
    <row r="33" spans="1:29" s="1699" customFormat="1" ht="15">
      <c r="A33" s="1692"/>
      <c r="B33" s="1623" t="s">
        <v>2038</v>
      </c>
      <c r="C33" s="1693"/>
      <c r="D33" s="1625">
        <v>100</v>
      </c>
      <c r="E33" s="1632"/>
      <c r="F33" s="1627">
        <f>LOOKUP(E33,103:103,104:104)-LOOKUP(C33,103:103,104:104)+100</f>
        <v>100</v>
      </c>
      <c r="G33" s="1631"/>
      <c r="H33" s="1625">
        <f>LOOKUP(G33,103:103,104:104)-LOOKUP(C33,103:103,104:104)+100</f>
        <v>100</v>
      </c>
      <c r="I33" s="1632"/>
      <c r="J33" s="1625">
        <f>LOOKUP(I33,103:103,104:104)-LOOKUP(C33,103:103,104:104)+100</f>
        <v>100</v>
      </c>
      <c r="K33" s="1637"/>
      <c r="L33" s="2918"/>
      <c r="M33" s="1987"/>
      <c r="N33" s="1987"/>
      <c r="O33" s="1987"/>
      <c r="P33" s="3595"/>
      <c r="Q33" s="1694" t="str">
        <f t="shared" si="11"/>
        <v>项目建筑规模</v>
      </c>
      <c r="R33" s="1695" t="s">
        <v>28</v>
      </c>
      <c r="S33" s="1696">
        <f t="shared" si="12"/>
        <v>100</v>
      </c>
      <c r="T33" s="1695" t="s">
        <v>28</v>
      </c>
      <c r="U33" s="1696">
        <f t="shared" si="13"/>
        <v>100</v>
      </c>
      <c r="V33" s="1695" t="s">
        <v>28</v>
      </c>
      <c r="W33" s="1696">
        <f t="shared" si="14"/>
        <v>100</v>
      </c>
      <c r="X33" s="1697"/>
      <c r="Y33" s="3597"/>
      <c r="Z33" s="1698" t="str">
        <f t="shared" si="15"/>
        <v>项目建筑规模</v>
      </c>
      <c r="AA33" s="1656">
        <f t="shared" si="3"/>
        <v>1</v>
      </c>
      <c r="AB33" s="1656">
        <f t="shared" si="4"/>
        <v>1</v>
      </c>
      <c r="AC33" s="1656">
        <f t="shared" si="5"/>
        <v>1</v>
      </c>
    </row>
    <row r="34" spans="1:29" ht="15">
      <c r="A34" s="1700"/>
      <c r="B34" s="1623" t="s">
        <v>2039</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595"/>
      <c r="Q34" s="1544" t="str">
        <f t="shared" si="11"/>
        <v>建筑结构</v>
      </c>
      <c r="R34" s="1653" t="s">
        <v>28</v>
      </c>
      <c r="S34" s="1654">
        <f t="shared" si="12"/>
        <v>100</v>
      </c>
      <c r="T34" s="1653" t="s">
        <v>28</v>
      </c>
      <c r="U34" s="1654">
        <f t="shared" si="13"/>
        <v>100</v>
      </c>
      <c r="V34" s="1653" t="s">
        <v>28</v>
      </c>
      <c r="W34" s="1654">
        <f t="shared" si="14"/>
        <v>100</v>
      </c>
      <c r="X34" s="1594"/>
      <c r="Y34" s="3597"/>
      <c r="Z34" s="1655" t="str">
        <f t="shared" si="15"/>
        <v>建筑结构</v>
      </c>
      <c r="AA34" s="1656">
        <f t="shared" si="3"/>
        <v>1</v>
      </c>
      <c r="AB34" s="1656">
        <f t="shared" si="4"/>
        <v>1</v>
      </c>
      <c r="AC34" s="1656">
        <f t="shared" si="5"/>
        <v>1</v>
      </c>
    </row>
    <row r="35" spans="1:29" ht="15">
      <c r="A35" s="1700"/>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595"/>
      <c r="Q35" s="1544" t="str">
        <f t="shared" si="11"/>
        <v>建筑品质</v>
      </c>
      <c r="R35" s="1653" t="s">
        <v>28</v>
      </c>
      <c r="S35" s="1654">
        <f t="shared" si="12"/>
        <v>100</v>
      </c>
      <c r="T35" s="1653" t="s">
        <v>28</v>
      </c>
      <c r="U35" s="1654">
        <f t="shared" si="13"/>
        <v>100</v>
      </c>
      <c r="V35" s="1653" t="s">
        <v>28</v>
      </c>
      <c r="W35" s="1654">
        <f t="shared" si="14"/>
        <v>100</v>
      </c>
      <c r="X35" s="1594"/>
      <c r="Y35" s="3597"/>
      <c r="Z35" s="1655" t="str">
        <f t="shared" si="15"/>
        <v>建筑品质</v>
      </c>
      <c r="AA35" s="1656">
        <f t="shared" si="3"/>
        <v>1</v>
      </c>
      <c r="AB35" s="1656">
        <f t="shared" si="4"/>
        <v>1</v>
      </c>
      <c r="AC35" s="1656">
        <f t="shared" si="5"/>
        <v>1</v>
      </c>
    </row>
    <row r="36" spans="1:29" ht="15">
      <c r="A36" s="1700"/>
      <c r="B36" s="1623" t="s">
        <v>2041</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595"/>
      <c r="Q36" s="1544" t="str">
        <f t="shared" si="11"/>
        <v>公共部分装修</v>
      </c>
      <c r="R36" s="1653" t="s">
        <v>28</v>
      </c>
      <c r="S36" s="1654">
        <f t="shared" si="12"/>
        <v>100</v>
      </c>
      <c r="T36" s="1653" t="s">
        <v>28</v>
      </c>
      <c r="U36" s="1654">
        <f t="shared" si="13"/>
        <v>100</v>
      </c>
      <c r="V36" s="1653" t="s">
        <v>28</v>
      </c>
      <c r="W36" s="1654">
        <f t="shared" si="14"/>
        <v>100</v>
      </c>
      <c r="X36" s="1594"/>
      <c r="Y36" s="3597"/>
      <c r="Z36" s="1655" t="str">
        <f t="shared" si="15"/>
        <v>公共部分装修</v>
      </c>
      <c r="AA36" s="1656">
        <f t="shared" si="3"/>
        <v>1</v>
      </c>
      <c r="AB36" s="1656">
        <f t="shared" si="4"/>
        <v>1</v>
      </c>
      <c r="AC36" s="1656">
        <f t="shared" si="5"/>
        <v>1</v>
      </c>
    </row>
    <row r="37" spans="1:29" s="1613" customFormat="1" ht="15">
      <c r="A37" s="1703"/>
      <c r="B37" s="1623" t="s">
        <v>2042</v>
      </c>
      <c r="C37" s="1704">
        <v>0.8</v>
      </c>
      <c r="D37" s="1625">
        <v>100</v>
      </c>
      <c r="E37" s="1705">
        <f>C37</f>
        <v>0.8</v>
      </c>
      <c r="F37" s="1627">
        <f>LOOKUP(E37,112:112,113:113)-LOOKUP(C37,112:112,113:113)+100</f>
        <v>100</v>
      </c>
      <c r="G37" s="1706">
        <f>C37</f>
        <v>0.8</v>
      </c>
      <c r="H37" s="1625">
        <f>LOOKUP(G37,112:112,113:113)-LOOKUP(C37,112:112,113:113)+100</f>
        <v>100</v>
      </c>
      <c r="I37" s="1705">
        <f>C37</f>
        <v>0.8</v>
      </c>
      <c r="J37" s="1625">
        <f>LOOKUP(I37,112:112,113:113)-LOOKUP(C37,112:112,113:113)+100</f>
        <v>100</v>
      </c>
      <c r="K37" s="1628"/>
      <c r="L37" s="2914"/>
      <c r="M37" s="2887"/>
      <c r="N37" s="2887"/>
      <c r="O37" s="2887"/>
      <c r="P37" s="3595"/>
      <c r="Q37" s="1563" t="str">
        <f t="shared" si="11"/>
        <v>成新度</v>
      </c>
      <c r="R37" s="1609" t="s">
        <v>28</v>
      </c>
      <c r="S37" s="1610">
        <f t="shared" si="12"/>
        <v>100</v>
      </c>
      <c r="T37" s="1609" t="s">
        <v>28</v>
      </c>
      <c r="U37" s="1610">
        <f t="shared" si="13"/>
        <v>100</v>
      </c>
      <c r="V37" s="1609" t="s">
        <v>28</v>
      </c>
      <c r="W37" s="1610">
        <f t="shared" si="14"/>
        <v>100</v>
      </c>
      <c r="X37" s="1611"/>
      <c r="Y37" s="3597"/>
      <c r="Z37" s="1621" t="str">
        <f t="shared" si="15"/>
        <v>成新度</v>
      </c>
      <c r="AA37" s="1612">
        <f t="shared" si="3"/>
        <v>1</v>
      </c>
      <c r="AB37" s="1612">
        <f t="shared" si="4"/>
        <v>1</v>
      </c>
      <c r="AC37" s="1612">
        <f t="shared" si="5"/>
        <v>1</v>
      </c>
    </row>
    <row r="38" spans="1:29" ht="15">
      <c r="A38" s="1700"/>
      <c r="B38" s="1623" t="s">
        <v>2043</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595" t="s">
        <v>2037</v>
      </c>
      <c r="Q38" s="1544" t="str">
        <f t="shared" si="11"/>
        <v>物业管理</v>
      </c>
      <c r="R38" s="1653" t="s">
        <v>28</v>
      </c>
      <c r="S38" s="1654">
        <f t="shared" si="12"/>
        <v>100</v>
      </c>
      <c r="T38" s="1653" t="s">
        <v>28</v>
      </c>
      <c r="U38" s="1654">
        <f t="shared" si="13"/>
        <v>100</v>
      </c>
      <c r="V38" s="1653" t="s">
        <v>28</v>
      </c>
      <c r="W38" s="1654">
        <f t="shared" si="14"/>
        <v>100</v>
      </c>
      <c r="X38" s="1594"/>
      <c r="Y38" s="3597" t="s">
        <v>2037</v>
      </c>
      <c r="Z38" s="1655" t="str">
        <f t="shared" si="15"/>
        <v>物业管理</v>
      </c>
      <c r="AA38" s="1656">
        <f t="shared" si="3"/>
        <v>1</v>
      </c>
      <c r="AB38" s="1656">
        <f t="shared" si="4"/>
        <v>1</v>
      </c>
      <c r="AC38" s="1656">
        <f t="shared" si="5"/>
        <v>1</v>
      </c>
    </row>
    <row r="39" spans="1:29" ht="15">
      <c r="A39" s="1700"/>
      <c r="B39" s="1623" t="s">
        <v>2044</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595"/>
      <c r="Q39" s="1544" t="str">
        <f t="shared" si="11"/>
        <v>市政基础设施</v>
      </c>
      <c r="R39" s="1653" t="s">
        <v>28</v>
      </c>
      <c r="S39" s="1654">
        <f t="shared" si="12"/>
        <v>100</v>
      </c>
      <c r="T39" s="1653" t="s">
        <v>28</v>
      </c>
      <c r="U39" s="1654">
        <f t="shared" si="13"/>
        <v>100</v>
      </c>
      <c r="V39" s="1653" t="s">
        <v>28</v>
      </c>
      <c r="W39" s="1654">
        <f t="shared" si="14"/>
        <v>100</v>
      </c>
      <c r="X39" s="1594"/>
      <c r="Y39" s="3597"/>
      <c r="Z39" s="1655" t="str">
        <f t="shared" si="15"/>
        <v>市政基础设施</v>
      </c>
      <c r="AA39" s="1656">
        <f t="shared" si="3"/>
        <v>1</v>
      </c>
      <c r="AB39" s="1656">
        <f t="shared" si="4"/>
        <v>1</v>
      </c>
      <c r="AC39" s="1656">
        <f t="shared" si="5"/>
        <v>1</v>
      </c>
    </row>
    <row r="40" spans="1:29" ht="15">
      <c r="A40" s="1700"/>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595"/>
      <c r="Q40" s="1544" t="str">
        <f t="shared" si="11"/>
        <v>房型</v>
      </c>
      <c r="R40" s="1653" t="s">
        <v>28</v>
      </c>
      <c r="S40" s="1654">
        <f t="shared" si="12"/>
        <v>100</v>
      </c>
      <c r="T40" s="1653" t="s">
        <v>28</v>
      </c>
      <c r="U40" s="1654">
        <f t="shared" si="13"/>
        <v>100</v>
      </c>
      <c r="V40" s="1653" t="s">
        <v>28</v>
      </c>
      <c r="W40" s="1654">
        <f t="shared" si="14"/>
        <v>100</v>
      </c>
      <c r="X40" s="1594"/>
      <c r="Y40" s="3597"/>
      <c r="Z40" s="1655" t="str">
        <f t="shared" si="15"/>
        <v>房型</v>
      </c>
      <c r="AA40" s="1656">
        <f t="shared" si="3"/>
        <v>1</v>
      </c>
      <c r="AB40" s="1656">
        <f t="shared" si="4"/>
        <v>1</v>
      </c>
      <c r="AC40" s="1656">
        <f t="shared" si="5"/>
        <v>1</v>
      </c>
    </row>
    <row r="41" spans="1:29" s="1699" customFormat="1" ht="28.5">
      <c r="A41" s="1692"/>
      <c r="B41" s="1623" t="s">
        <v>2046</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595"/>
      <c r="Q41" s="1694" t="str">
        <f t="shared" si="11"/>
        <v>单套/主力户型建筑面积</v>
      </c>
      <c r="R41" s="1695" t="s">
        <v>28</v>
      </c>
      <c r="S41" s="1696">
        <f t="shared" si="12"/>
        <v>100</v>
      </c>
      <c r="T41" s="1695" t="s">
        <v>28</v>
      </c>
      <c r="U41" s="1696">
        <f t="shared" si="13"/>
        <v>100</v>
      </c>
      <c r="V41" s="1695" t="s">
        <v>28</v>
      </c>
      <c r="W41" s="1696">
        <f t="shared" si="14"/>
        <v>100</v>
      </c>
      <c r="X41" s="1697"/>
      <c r="Y41" s="3597"/>
      <c r="Z41" s="1698" t="str">
        <f t="shared" si="15"/>
        <v>单套/主力户型建筑面积</v>
      </c>
      <c r="AA41" s="1656">
        <f t="shared" si="3"/>
        <v>1</v>
      </c>
      <c r="AB41" s="1656">
        <f t="shared" si="4"/>
        <v>1</v>
      </c>
      <c r="AC41" s="1656">
        <f t="shared" si="5"/>
        <v>1</v>
      </c>
    </row>
    <row r="42" spans="1:29" ht="15">
      <c r="A42" s="1700"/>
      <c r="B42" s="1623" t="s">
        <v>2047</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595"/>
      <c r="Q42" s="1544" t="str">
        <f t="shared" si="11"/>
        <v>内部装修</v>
      </c>
      <c r="R42" s="1653" t="s">
        <v>28</v>
      </c>
      <c r="S42" s="1654">
        <f t="shared" si="12"/>
        <v>100</v>
      </c>
      <c r="T42" s="1653" t="s">
        <v>28</v>
      </c>
      <c r="U42" s="1654">
        <f t="shared" si="13"/>
        <v>100</v>
      </c>
      <c r="V42" s="1653" t="s">
        <v>28</v>
      </c>
      <c r="W42" s="1654">
        <f t="shared" si="14"/>
        <v>100</v>
      </c>
      <c r="X42" s="1594"/>
      <c r="Y42" s="3597"/>
      <c r="Z42" s="1655" t="str">
        <f t="shared" si="15"/>
        <v>内部装修</v>
      </c>
      <c r="AA42" s="1656">
        <f t="shared" si="3"/>
        <v>1</v>
      </c>
      <c r="AB42" s="1656">
        <f t="shared" si="4"/>
        <v>1</v>
      </c>
      <c r="AC42" s="1656">
        <f t="shared" si="5"/>
        <v>1</v>
      </c>
    </row>
    <row r="43" spans="1:29" ht="15">
      <c r="A43" s="1700"/>
      <c r="B43" s="1623" t="s">
        <v>2048</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595"/>
      <c r="Q43" s="1544" t="str">
        <f t="shared" si="11"/>
        <v>内部装修维护情况</v>
      </c>
      <c r="R43" s="1653" t="s">
        <v>28</v>
      </c>
      <c r="S43" s="1654">
        <f t="shared" si="12"/>
        <v>100</v>
      </c>
      <c r="T43" s="1653" t="s">
        <v>28</v>
      </c>
      <c r="U43" s="1654">
        <f t="shared" si="13"/>
        <v>100</v>
      </c>
      <c r="V43" s="1653" t="s">
        <v>28</v>
      </c>
      <c r="W43" s="1654">
        <f t="shared" si="14"/>
        <v>100</v>
      </c>
      <c r="X43" s="1594"/>
      <c r="Y43" s="3597"/>
      <c r="Z43" s="1655" t="str">
        <f t="shared" si="15"/>
        <v>内部装修维护情况</v>
      </c>
      <c r="AA43" s="1656">
        <f t="shared" si="3"/>
        <v>1</v>
      </c>
      <c r="AB43" s="1656">
        <f t="shared" si="4"/>
        <v>1</v>
      </c>
      <c r="AC43" s="1656">
        <f t="shared" si="5"/>
        <v>1</v>
      </c>
    </row>
    <row r="44" spans="1:29" s="1613"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595"/>
      <c r="Q44" s="1563">
        <f t="shared" si="11"/>
        <v>111</v>
      </c>
      <c r="R44" s="1609" t="s">
        <v>28</v>
      </c>
      <c r="S44" s="1610">
        <f t="shared" si="12"/>
        <v>100</v>
      </c>
      <c r="T44" s="1609" t="s">
        <v>28</v>
      </c>
      <c r="U44" s="1610">
        <f t="shared" si="13"/>
        <v>100</v>
      </c>
      <c r="V44" s="1609" t="s">
        <v>28</v>
      </c>
      <c r="W44" s="1610">
        <f t="shared" si="14"/>
        <v>100</v>
      </c>
      <c r="X44" s="1611"/>
      <c r="Y44" s="3597"/>
      <c r="Z44" s="1621">
        <f t="shared" si="15"/>
        <v>111</v>
      </c>
      <c r="AA44" s="1612">
        <f t="shared" si="3"/>
        <v>1</v>
      </c>
      <c r="AB44" s="1612">
        <f t="shared" si="4"/>
        <v>1</v>
      </c>
      <c r="AC44" s="1612">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595"/>
      <c r="Q45" s="1544">
        <f t="shared" si="11"/>
        <v>111</v>
      </c>
      <c r="R45" s="1653" t="s">
        <v>28</v>
      </c>
      <c r="S45" s="1654">
        <f t="shared" si="12"/>
        <v>100</v>
      </c>
      <c r="T45" s="1653" t="s">
        <v>28</v>
      </c>
      <c r="U45" s="1654">
        <f t="shared" si="13"/>
        <v>100</v>
      </c>
      <c r="V45" s="1653" t="s">
        <v>28</v>
      </c>
      <c r="W45" s="1654">
        <f t="shared" si="14"/>
        <v>100</v>
      </c>
      <c r="X45" s="1594"/>
      <c r="Y45" s="3597"/>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596"/>
      <c r="Q46" s="1544">
        <f t="shared" si="11"/>
        <v>111</v>
      </c>
      <c r="R46" s="1653" t="s">
        <v>27</v>
      </c>
      <c r="S46" s="1654">
        <f t="shared" si="12"/>
        <v>100</v>
      </c>
      <c r="T46" s="1653" t="s">
        <v>27</v>
      </c>
      <c r="U46" s="1654">
        <f t="shared" si="13"/>
        <v>100</v>
      </c>
      <c r="V46" s="1653" t="s">
        <v>27</v>
      </c>
      <c r="W46" s="1654">
        <f t="shared" si="14"/>
        <v>100</v>
      </c>
      <c r="X46" s="1594"/>
      <c r="Y46" s="3598"/>
      <c r="Z46" s="1655">
        <f t="shared" si="15"/>
        <v>111</v>
      </c>
      <c r="AA46" s="1656">
        <f t="shared" si="3"/>
        <v>1</v>
      </c>
      <c r="AB46" s="1656">
        <f t="shared" si="4"/>
        <v>1</v>
      </c>
      <c r="AC46" s="1656">
        <f t="shared" si="5"/>
        <v>1</v>
      </c>
    </row>
    <row r="47" spans="1:29" ht="15">
      <c r="A47" s="1709" t="s">
        <v>2049</v>
      </c>
      <c r="B47" s="1710"/>
      <c r="C47" s="1711" t="s">
        <v>26</v>
      </c>
      <c r="D47" s="1712"/>
      <c r="E47" s="1713">
        <v>29000</v>
      </c>
      <c r="F47" s="1714"/>
      <c r="G47" s="1715">
        <v>29000</v>
      </c>
      <c r="H47" s="1716"/>
      <c r="I47" s="1713">
        <v>29000</v>
      </c>
      <c r="J47" s="1716"/>
      <c r="K47" s="1717"/>
      <c r="L47" s="2920"/>
      <c r="N47" s="2915"/>
      <c r="P47" s="3589" t="str">
        <f>A47</f>
        <v>成交单价（元/平方米）</v>
      </c>
      <c r="Q47" s="3589"/>
      <c r="R47" s="3585">
        <f>E47</f>
        <v>29000</v>
      </c>
      <c r="S47" s="3585"/>
      <c r="T47" s="3585">
        <f>G47</f>
        <v>29000</v>
      </c>
      <c r="U47" s="3585"/>
      <c r="V47" s="3585">
        <f>I47</f>
        <v>29000</v>
      </c>
      <c r="W47" s="3585"/>
      <c r="X47" s="1719"/>
      <c r="Y47" s="1720"/>
      <c r="Z47" s="1719"/>
      <c r="AA47" s="1719"/>
      <c r="AB47" s="1719"/>
      <c r="AC47" s="1719"/>
    </row>
    <row r="48" spans="1:29" ht="15.75" thickBot="1">
      <c r="A48" s="1721" t="s">
        <v>2050</v>
      </c>
      <c r="B48" s="1722"/>
      <c r="C48" s="1723">
        <f>R49</f>
        <v>29000</v>
      </c>
      <c r="D48" s="1724" t="s">
        <v>2503</v>
      </c>
      <c r="E48" s="1725">
        <f>R48</f>
        <v>29000</v>
      </c>
      <c r="F48" s="1726"/>
      <c r="G48" s="1723">
        <f>T48</f>
        <v>29000</v>
      </c>
      <c r="H48" s="1726"/>
      <c r="I48" s="1725">
        <f>V48</f>
        <v>29000</v>
      </c>
      <c r="J48" s="1726"/>
      <c r="K48" s="2429">
        <f>F48+H48+J48</f>
        <v>0</v>
      </c>
      <c r="L48" s="2920"/>
      <c r="P48" s="3589" t="str">
        <f>A48</f>
        <v>比较价值（元/平方米）</v>
      </c>
      <c r="Q48" s="3589"/>
      <c r="R48" s="3585">
        <f>IF(E1="售价",ROUND(PRODUCT(R47,AA7:AA46),0),ROUND(PRODUCT(R47,AA7:AA46),1))</f>
        <v>29000</v>
      </c>
      <c r="S48" s="3585"/>
      <c r="T48" s="3583">
        <f>IF(E1="售价",ROUND(PRODUCT(T47,AB7:AB46),0),ROUND(PRODUCT(T47,AB7:AB46),1))</f>
        <v>29000</v>
      </c>
      <c r="U48" s="3584"/>
      <c r="V48" s="3585">
        <f>IF(E1="售价",ROUND(PRODUCT(V47,AC7:AC46),0),ROUND(PRODUCT(V47,AC7:AC46),1))</f>
        <v>29000</v>
      </c>
      <c r="W48" s="3585"/>
      <c r="X48" s="1719"/>
      <c r="Y48" s="1719"/>
      <c r="Z48" s="1719"/>
      <c r="AA48" s="1719"/>
      <c r="AB48" s="1719"/>
      <c r="AC48" s="1719"/>
    </row>
    <row r="49" spans="1:29" ht="15.75" thickBot="1">
      <c r="A49" s="1727" t="s">
        <v>2051</v>
      </c>
      <c r="B49" s="1728"/>
      <c r="C49" s="1729">
        <f>R49</f>
        <v>29000</v>
      </c>
      <c r="D49" s="1730"/>
      <c r="E49" s="1730"/>
      <c r="F49" s="1730"/>
      <c r="G49" s="1730"/>
      <c r="H49" s="1730"/>
      <c r="I49" s="1730"/>
      <c r="J49" s="1730"/>
      <c r="K49" s="1731"/>
      <c r="L49" s="2920"/>
      <c r="P49" s="3586" t="str">
        <f>A49</f>
        <v>估价对象XX用房的比较价值（楼面单价，元/平方米）</v>
      </c>
      <c r="Q49" s="3587"/>
      <c r="R49" s="3588">
        <f>IF(E1="售价",ROUND(IF(D48="简单平均",AVERAGE(R48:V48),R48*F48+T48*H48+V48*J48),0),ROUND(IF(D48="简单平均",AVERAGE(R48:V48),R48*F48+T48*H48+V48*J48),1))</f>
        <v>29000</v>
      </c>
      <c r="S49" s="3588"/>
      <c r="T49" s="3588"/>
      <c r="U49" s="3588"/>
      <c r="V49" s="3588"/>
      <c r="W49" s="3588"/>
      <c r="X49" s="1719"/>
      <c r="Y49" s="1719"/>
      <c r="Z49" s="1719"/>
      <c r="AA49" s="1719"/>
      <c r="AB49" s="1719"/>
      <c r="AC49" s="1719"/>
    </row>
    <row r="50" spans="1:29">
      <c r="G50" s="2924"/>
    </row>
    <row r="52" spans="1:29" ht="13.5" customHeight="1">
      <c r="C52" s="383" t="s">
        <v>2052</v>
      </c>
      <c r="D52" s="1735"/>
      <c r="E52" s="1736">
        <f>IF(E47&lt;E48,E48/E47-1,E47/E48-1)</f>
        <v>0</v>
      </c>
      <c r="F52" s="1737" t="str">
        <f>IF(OR(E52&gt;=0.3,E52&lt;=-0.3),"超过30%","")</f>
        <v/>
      </c>
      <c r="G52" s="1736">
        <f>IF(G47&lt;G48,G48/G47-1,G47/G48-1)</f>
        <v>0</v>
      </c>
      <c r="H52" s="1737" t="str">
        <f>IF(OR(G52&gt;=0.3,G52&lt;=-0.3),"超过30%","")</f>
        <v/>
      </c>
      <c r="I52" s="1736">
        <f>IF(I47&lt;I48,I48/I47-1,I47/I48-1)</f>
        <v>0</v>
      </c>
      <c r="J52" s="1737" t="str">
        <f>IF(OR(I52&gt;=0.3,I52&lt;=-0.3),"超过30%","")</f>
        <v/>
      </c>
    </row>
    <row r="53" spans="1:29" ht="13.5" customHeight="1">
      <c r="C53" s="383" t="s">
        <v>2053</v>
      </c>
      <c r="D53" s="1738"/>
      <c r="E53" s="1736">
        <f>IF(E48&lt;G48,G48/E48-1,E48/G48-1)</f>
        <v>0</v>
      </c>
      <c r="F53" s="1737" t="str">
        <f>IF(OR(E53&gt;=0.2,E53&lt;=-0.2),"超过20%","")</f>
        <v/>
      </c>
      <c r="G53" s="1736">
        <f>IF(G48&lt;I48,I48/G48-1,G48/I48-1)</f>
        <v>0</v>
      </c>
      <c r="H53" s="1737" t="str">
        <f>IF(OR(G53&gt;=0.2,G53&lt;=-0.2),"超过20%","")</f>
        <v/>
      </c>
      <c r="I53" s="1736">
        <f>IF(I48&lt;E48,E48/I48-1,I48/E48-1)</f>
        <v>0</v>
      </c>
      <c r="J53" s="1737" t="str">
        <f>IF(OR(I53&gt;=0.2,I53&lt;=-0.2),"超过20%","")</f>
        <v/>
      </c>
    </row>
    <row r="54" spans="1:29" s="1741" customFormat="1" ht="13.5" customHeight="1">
      <c r="C54" s="383" t="s">
        <v>2054</v>
      </c>
      <c r="D54" s="1738"/>
      <c r="E54" s="1736">
        <f>IF(E47&lt;G47,G47/E47-1,E47/G47-1)</f>
        <v>0</v>
      </c>
      <c r="F54" s="1737" t="str">
        <f>IF(OR(E54&gt;=0.3,E54&lt;=-0.3),"超过30%","")</f>
        <v/>
      </c>
      <c r="G54" s="1736">
        <f>IF(G47&lt;I47,I47/G47-1,G47/I47-1)</f>
        <v>0</v>
      </c>
      <c r="H54" s="1737" t="str">
        <f>IF(OR(G54&gt;=0.3,G54&lt;=-0.3),"超过30%","")</f>
        <v/>
      </c>
      <c r="I54" s="1736">
        <f>IF(I47&lt;E47,E47/I47-1,I47/E47-1)</f>
        <v>0</v>
      </c>
      <c r="J54" s="1737" t="str">
        <f>IF(OR(I54&gt;=0.3,I54&lt;=-0.3),"超过30%","")</f>
        <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2022-9</v>
      </c>
      <c r="D58" s="1753">
        <f>EDATE(C58,-1)</f>
        <v>44774</v>
      </c>
      <c r="E58" s="1753">
        <f t="shared" ref="E58:O58" si="16">EDATE(D58,-1)</f>
        <v>44743</v>
      </c>
      <c r="F58" s="1753">
        <f t="shared" si="16"/>
        <v>44713</v>
      </c>
      <c r="G58" s="1753">
        <f t="shared" si="16"/>
        <v>44682</v>
      </c>
      <c r="H58" s="1753">
        <f t="shared" si="16"/>
        <v>44652</v>
      </c>
      <c r="I58" s="1753">
        <f t="shared" si="16"/>
        <v>44621</v>
      </c>
      <c r="J58" s="1753">
        <f t="shared" si="16"/>
        <v>44593</v>
      </c>
      <c r="K58" s="1753">
        <f t="shared" si="16"/>
        <v>44562</v>
      </c>
      <c r="L58" s="1753">
        <f t="shared" si="16"/>
        <v>44531</v>
      </c>
      <c r="M58" s="1753">
        <f t="shared" si="16"/>
        <v>44501</v>
      </c>
      <c r="N58" s="1753">
        <f t="shared" si="16"/>
        <v>44470</v>
      </c>
      <c r="O58" s="1753">
        <f t="shared" si="16"/>
        <v>44440</v>
      </c>
      <c r="P58" s="1754"/>
    </row>
    <row r="59" spans="1:29" s="1613" customFormat="1" ht="15">
      <c r="A59" s="1756"/>
      <c r="B59" s="1757"/>
      <c r="C59" s="1758">
        <v>100</v>
      </c>
      <c r="D59" s="1759"/>
      <c r="E59" s="1759"/>
      <c r="F59" s="1759"/>
      <c r="G59" s="1759"/>
      <c r="H59" s="1759"/>
      <c r="I59" s="1759"/>
      <c r="J59" s="1759"/>
      <c r="K59" s="1759"/>
      <c r="L59" s="1759"/>
      <c r="M59" s="1760"/>
      <c r="N59" s="1759"/>
      <c r="O59" s="1760"/>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3"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2029</v>
      </c>
      <c r="C67" s="1793" t="str">
        <f>C68&amp;"（含）"&amp;"-"&amp;D68</f>
        <v>0（含）-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v>0</v>
      </c>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3" customFormat="1" ht="15.75" thickTop="1">
      <c r="A86" s="1817"/>
      <c r="B86" s="1786" t="s">
        <v>2082</v>
      </c>
      <c r="C86" s="468"/>
      <c r="D86" s="468"/>
      <c r="E86" s="468"/>
      <c r="F86" s="468"/>
      <c r="G86" s="468"/>
      <c r="H86" s="468"/>
      <c r="I86" s="468"/>
      <c r="J86" s="468"/>
      <c r="K86" s="468"/>
      <c r="L86" s="468"/>
      <c r="M86" s="1818"/>
      <c r="N86" s="1770"/>
      <c r="O86" s="1770"/>
      <c r="P86" s="1780"/>
      <c r="Q86" s="1749"/>
    </row>
    <row r="87" spans="1:17" s="1613"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3" customFormat="1" ht="15.75" thickTop="1">
      <c r="A88" s="1817"/>
      <c r="B88" s="1786" t="s">
        <v>2083</v>
      </c>
      <c r="C88" s="468"/>
      <c r="D88" s="468"/>
      <c r="E88" s="468"/>
      <c r="F88" s="1820"/>
      <c r="G88" s="468"/>
      <c r="H88" s="468"/>
      <c r="I88" s="468"/>
      <c r="J88" s="468"/>
      <c r="K88" s="468"/>
      <c r="L88" s="468"/>
      <c r="M88" s="1818"/>
      <c r="N88" s="1770"/>
      <c r="O88" s="1770"/>
      <c r="P88" s="1780"/>
      <c r="Q88" s="1749"/>
    </row>
    <row r="89" spans="1:17" s="1613"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6"/>
      <c r="H92" s="1506"/>
      <c r="I92" s="1506"/>
      <c r="J92" s="1506"/>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6"/>
      <c r="H94" s="1506"/>
      <c r="I94" s="1506"/>
      <c r="J94" s="1506"/>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6"/>
      <c r="H96" s="1506"/>
      <c r="I96" s="1506"/>
      <c r="J96" s="1506"/>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2085</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v>0</v>
      </c>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2086</v>
      </c>
      <c r="C105" s="468"/>
      <c r="D105" s="468"/>
      <c r="E105" s="1506"/>
      <c r="F105" s="1506"/>
      <c r="G105" s="1506"/>
      <c r="H105" s="1506"/>
      <c r="I105" s="1506"/>
      <c r="J105" s="1506"/>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2087</v>
      </c>
      <c r="C107" s="1506"/>
      <c r="D107" s="1506"/>
      <c r="E107" s="1506"/>
      <c r="F107" s="1506"/>
      <c r="G107" s="1506"/>
      <c r="H107" s="1506"/>
      <c r="I107" s="1506"/>
      <c r="J107" s="1506"/>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2088</v>
      </c>
      <c r="C109" s="468"/>
      <c r="D109" s="468"/>
      <c r="E109" s="468"/>
      <c r="F109" s="1506"/>
      <c r="G109" s="1506"/>
      <c r="H109" s="1506"/>
      <c r="I109" s="1506"/>
      <c r="J109" s="1506"/>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468"/>
      <c r="D114" s="468"/>
      <c r="E114" s="1506"/>
      <c r="F114" s="1506"/>
      <c r="G114" s="1506"/>
      <c r="H114" s="1506"/>
      <c r="I114" s="1506"/>
      <c r="J114" s="1506"/>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2091</v>
      </c>
      <c r="C116" s="468"/>
      <c r="D116" s="468"/>
      <c r="E116" s="468"/>
      <c r="F116" s="468"/>
      <c r="G116" s="468"/>
      <c r="H116" s="1506"/>
      <c r="I116" s="1506"/>
      <c r="J116" s="1506"/>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2092</v>
      </c>
      <c r="C118" s="1506"/>
      <c r="D118" s="1506"/>
      <c r="E118" s="1506"/>
      <c r="F118" s="1506"/>
      <c r="G118" s="1506"/>
      <c r="H118" s="1506"/>
      <c r="I118" s="1506"/>
      <c r="J118" s="1506"/>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2046</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2093</v>
      </c>
      <c r="C122" s="468"/>
      <c r="D122" s="468"/>
      <c r="E122" s="468"/>
      <c r="F122" s="1506"/>
      <c r="G122" s="1506"/>
      <c r="H122" s="1506"/>
      <c r="I122" s="1506"/>
      <c r="J122" s="1506"/>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6"/>
      <c r="H128" s="1506"/>
      <c r="I128" s="1506"/>
      <c r="J128" s="1506"/>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1"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8" t="s">
        <v>2110</v>
      </c>
      <c r="E144" s="1861">
        <v>102</v>
      </c>
      <c r="F144" s="1869">
        <v>100</v>
      </c>
      <c r="G144" s="1348"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2" t="s">
        <v>2112</v>
      </c>
      <c r="G145" s="1873"/>
      <c r="H145" s="1874"/>
      <c r="I145" s="1875" t="s">
        <v>2109</v>
      </c>
      <c r="J145" s="1876">
        <v>8</v>
      </c>
      <c r="K145" s="1877">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7"/>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7" customFormat="1" ht="28.5" customHeight="1" thickTop="1">
      <c r="A2" s="1577" t="s">
        <v>1674</v>
      </c>
      <c r="B2" s="1578" t="e">
        <f ca="1">IF(D2="——",IF(C2="元",ROUND(C49*D3,0),ROUND(C49*D3/10000,0)),IF(C2="元",ROUND(C49*D3,0),ROUND(C49*D3/10000,0))-E2)</f>
        <v>#DIV/0!</v>
      </c>
      <c r="C2" s="1579" t="str">
        <f>'数据-取费表'!B3</f>
        <v>万元</v>
      </c>
      <c r="D2" s="1580"/>
      <c r="E2" s="2388" t="e">
        <f ca="1">SUMIF(INDIRECT("'"&amp;G2&amp;"'"&amp;"!A:A"),"承租人权益价值",INDIRECT("'"&amp;G2&amp;"'"&amp;"!c:c"))</f>
        <v>#REF!</v>
      </c>
      <c r="F2" s="1582" t="str">
        <f>C2</f>
        <v>万元</v>
      </c>
      <c r="G2" s="1583"/>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7" t="s">
        <v>1675</v>
      </c>
      <c r="B3" s="1890" t="e">
        <f ca="1">ROUND(IF(D2="——",C49,IF(C2="万元",B2*10000/D3,B2/D3)),0)</f>
        <v>#DIV/0!</v>
      </c>
      <c r="C3" s="1588" t="s">
        <v>2005</v>
      </c>
      <c r="D3" s="1588">
        <f>IF(C1="仅计算典型户型",'数据-取费表'!E5,'数据-取费表'!B5)</f>
        <v>71.38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1" t="s">
        <v>2006</v>
      </c>
      <c r="B4" s="1592"/>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2002"/>
      <c r="Y4" s="3605" t="s">
        <v>2012</v>
      </c>
      <c r="Z4" s="3606"/>
      <c r="AA4" s="3613" t="s">
        <v>2008</v>
      </c>
      <c r="AB4" s="3626" t="s">
        <v>2009</v>
      </c>
      <c r="AC4" s="3613" t="s">
        <v>2010</v>
      </c>
    </row>
    <row r="5" spans="1:29" ht="15">
      <c r="A5" s="1596"/>
      <c r="B5" s="1597"/>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2002"/>
      <c r="Y5" s="3607"/>
      <c r="Z5" s="3608"/>
      <c r="AA5" s="3614"/>
      <c r="AB5" s="3626"/>
      <c r="AC5" s="3614"/>
    </row>
    <row r="6" spans="1:29" ht="15.75" thickBot="1">
      <c r="A6" s="1599"/>
      <c r="B6" s="1600"/>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2002"/>
      <c r="Y6" s="3609"/>
      <c r="Z6" s="3610"/>
      <c r="AA6" s="3615"/>
      <c r="AB6" s="3626"/>
      <c r="AC6" s="3615"/>
    </row>
    <row r="7" spans="1:29" s="1613" customFormat="1" ht="15.75" thickBot="1">
      <c r="A7" s="1601" t="s">
        <v>2019</v>
      </c>
      <c r="B7" s="1602"/>
      <c r="C7" s="1603">
        <f>'数据-取费表'!B2</f>
        <v>44817</v>
      </c>
      <c r="D7" s="1604">
        <v>100</v>
      </c>
      <c r="E7" s="1605"/>
      <c r="F7" s="1606">
        <f>SUMIF(58:58,YEAR(E7)&amp;"-"&amp;MONTH(E7),59:59)</f>
        <v>0</v>
      </c>
      <c r="G7" s="1605"/>
      <c r="H7" s="1604">
        <f>SUMIF(58:58,YEAR(G7)&amp;"-"&amp;MONTH(G7),59:59)</f>
        <v>0</v>
      </c>
      <c r="I7" s="1605"/>
      <c r="J7" s="1604">
        <f>SUMIF(58:58,YEAR(I7)&amp;"-"&amp;MONTH(I7),59:59)</f>
        <v>0</v>
      </c>
      <c r="K7" s="1895"/>
      <c r="L7" s="2914"/>
      <c r="M7" s="2887"/>
      <c r="N7" s="2887"/>
      <c r="O7" s="2887"/>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5"/>
      <c r="L8" s="2914"/>
      <c r="M8" s="2887"/>
      <c r="N8" s="2887"/>
      <c r="O8" s="2887"/>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6" si="3">D8/F8</f>
        <v>#DIV/0!</v>
      </c>
      <c r="AB8" s="1612" t="e">
        <f t="shared" ref="AB8:AB46" si="4">D8/H8</f>
        <v>#DIV/0!</v>
      </c>
      <c r="AC8" s="1612" t="e">
        <f t="shared" ref="AC8:AC46" si="5">D8/J8</f>
        <v>#DIV/0!</v>
      </c>
    </row>
    <row r="9" spans="1:29" s="1613" customFormat="1">
      <c r="A9" s="1994"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12" t="s">
        <v>2026</v>
      </c>
      <c r="Q9" s="1993" t="str">
        <f t="shared" ref="Q9:Q15" si="6">B9</f>
        <v>用途</v>
      </c>
      <c r="R9" s="1609" t="s">
        <v>25</v>
      </c>
      <c r="S9" s="1610">
        <f t="shared" si="0"/>
        <v>100</v>
      </c>
      <c r="T9" s="1609" t="s">
        <v>25</v>
      </c>
      <c r="U9" s="1610">
        <f t="shared" si="1"/>
        <v>100</v>
      </c>
      <c r="V9" s="1609" t="s">
        <v>25</v>
      </c>
      <c r="W9" s="1610">
        <f t="shared" si="2"/>
        <v>100</v>
      </c>
      <c r="X9" s="1611"/>
      <c r="Y9" s="3449"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12"/>
      <c r="Q10" s="1993" t="str">
        <f t="shared" si="6"/>
        <v>土地使用年限（年）</v>
      </c>
      <c r="R10" s="1609" t="s">
        <v>25</v>
      </c>
      <c r="S10" s="1610">
        <f t="shared" si="0"/>
        <v>100</v>
      </c>
      <c r="T10" s="1609" t="s">
        <v>25</v>
      </c>
      <c r="U10" s="1610">
        <f t="shared" si="1"/>
        <v>100</v>
      </c>
      <c r="V10" s="1609" t="s">
        <v>25</v>
      </c>
      <c r="W10" s="1610">
        <f t="shared" si="2"/>
        <v>100</v>
      </c>
      <c r="X10" s="1611"/>
      <c r="Y10" s="3449"/>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12"/>
      <c r="Q11" s="1993" t="str">
        <f t="shared" si="6"/>
        <v>容积率</v>
      </c>
      <c r="R11" s="1609" t="s">
        <v>25</v>
      </c>
      <c r="S11" s="1610" t="e">
        <f t="shared" si="0"/>
        <v>#N/A</v>
      </c>
      <c r="T11" s="1609" t="s">
        <v>25</v>
      </c>
      <c r="U11" s="1610" t="e">
        <f t="shared" si="1"/>
        <v>#N/A</v>
      </c>
      <c r="V11" s="1609" t="s">
        <v>25</v>
      </c>
      <c r="W11" s="1610" t="e">
        <f t="shared" si="2"/>
        <v>#N/A</v>
      </c>
      <c r="X11" s="1611"/>
      <c r="Y11" s="3449"/>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12"/>
      <c r="Q12" s="1993">
        <f t="shared" si="6"/>
        <v>111</v>
      </c>
      <c r="R12" s="1609" t="s">
        <v>25</v>
      </c>
      <c r="S12" s="1610">
        <f t="shared" si="0"/>
        <v>100</v>
      </c>
      <c r="T12" s="1609" t="s">
        <v>25</v>
      </c>
      <c r="U12" s="1610">
        <f t="shared" si="1"/>
        <v>100</v>
      </c>
      <c r="V12" s="1609" t="s">
        <v>25</v>
      </c>
      <c r="W12" s="1610">
        <f t="shared" si="2"/>
        <v>100</v>
      </c>
      <c r="X12" s="1611"/>
      <c r="Y12" s="3449"/>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12"/>
      <c r="Q13" s="1993">
        <f t="shared" si="6"/>
        <v>111</v>
      </c>
      <c r="R13" s="1609" t="s">
        <v>25</v>
      </c>
      <c r="S13" s="1610">
        <f t="shared" si="0"/>
        <v>100</v>
      </c>
      <c r="T13" s="1609" t="s">
        <v>25</v>
      </c>
      <c r="U13" s="1610">
        <f t="shared" si="1"/>
        <v>100</v>
      </c>
      <c r="V13" s="1609" t="s">
        <v>25</v>
      </c>
      <c r="W13" s="1610">
        <f t="shared" si="2"/>
        <v>100</v>
      </c>
      <c r="X13" s="1611"/>
      <c r="Y13" s="3449"/>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12"/>
      <c r="Q14" s="1993">
        <f t="shared" si="6"/>
        <v>111</v>
      </c>
      <c r="R14" s="1609" t="s">
        <v>25</v>
      </c>
      <c r="S14" s="1610">
        <f t="shared" si="0"/>
        <v>100</v>
      </c>
      <c r="T14" s="1609" t="s">
        <v>25</v>
      </c>
      <c r="U14" s="1610">
        <f t="shared" si="1"/>
        <v>100</v>
      </c>
      <c r="V14" s="1609" t="s">
        <v>25</v>
      </c>
      <c r="W14" s="1610">
        <f t="shared" si="2"/>
        <v>100</v>
      </c>
      <c r="X14" s="1611"/>
      <c r="Y14" s="3449"/>
      <c r="Z14" s="1621">
        <f t="shared" si="7"/>
        <v>111</v>
      </c>
      <c r="AA14" s="1612">
        <f t="shared" si="3"/>
        <v>1</v>
      </c>
      <c r="AB14" s="1612">
        <f t="shared" si="4"/>
        <v>1</v>
      </c>
      <c r="AC14" s="1612">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590" t="s">
        <v>2031</v>
      </c>
      <c r="Q15" s="1999" t="str">
        <f t="shared" si="6"/>
        <v>商业繁华度</v>
      </c>
      <c r="R15" s="1653" t="s">
        <v>25</v>
      </c>
      <c r="S15" s="1654">
        <f t="shared" si="0"/>
        <v>100</v>
      </c>
      <c r="T15" s="1653" t="s">
        <v>25</v>
      </c>
      <c r="U15" s="1654">
        <f t="shared" si="1"/>
        <v>100</v>
      </c>
      <c r="V15" s="1653" t="s">
        <v>25</v>
      </c>
      <c r="W15" s="1654">
        <f t="shared" si="2"/>
        <v>100</v>
      </c>
      <c r="X15" s="2002"/>
      <c r="Y15" s="3592" t="s">
        <v>2031</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591"/>
      <c r="Q16" s="1999"/>
      <c r="R16" s="1653"/>
      <c r="S16" s="1654"/>
      <c r="T16" s="1653"/>
      <c r="U16" s="1654"/>
      <c r="V16" s="1653"/>
      <c r="W16" s="1654"/>
      <c r="X16" s="2002"/>
      <c r="Y16" s="3593"/>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591"/>
      <c r="Q17" s="1999" t="str">
        <f>B17</f>
        <v>交通便捷度</v>
      </c>
      <c r="R17" s="1653" t="s">
        <v>25</v>
      </c>
      <c r="S17" s="1654">
        <f>F17</f>
        <v>100</v>
      </c>
      <c r="T17" s="1653" t="s">
        <v>25</v>
      </c>
      <c r="U17" s="1654">
        <f>H17</f>
        <v>100</v>
      </c>
      <c r="V17" s="1653" t="s">
        <v>25</v>
      </c>
      <c r="W17" s="1654">
        <f>J17</f>
        <v>100</v>
      </c>
      <c r="X17" s="2002"/>
      <c r="Y17" s="3593"/>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591"/>
      <c r="Q18" s="1999"/>
      <c r="R18" s="1653"/>
      <c r="S18" s="1654"/>
      <c r="T18" s="1653"/>
      <c r="U18" s="1654"/>
      <c r="V18" s="1653"/>
      <c r="W18" s="1654"/>
      <c r="X18" s="2002"/>
      <c r="Y18" s="3593"/>
      <c r="Z18" s="2006"/>
      <c r="AA18" s="1997">
        <v>1</v>
      </c>
      <c r="AB18" s="1997">
        <v>1</v>
      </c>
      <c r="AC18" s="1997">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591"/>
      <c r="Q19" s="1999" t="str">
        <f>B19</f>
        <v>公共配套设施</v>
      </c>
      <c r="R19" s="1653" t="s">
        <v>25</v>
      </c>
      <c r="S19" s="1654">
        <f>F19</f>
        <v>100</v>
      </c>
      <c r="T19" s="1653" t="s">
        <v>25</v>
      </c>
      <c r="U19" s="1654">
        <f>H19</f>
        <v>100</v>
      </c>
      <c r="V19" s="1653" t="s">
        <v>25</v>
      </c>
      <c r="W19" s="1654">
        <f>J19</f>
        <v>100</v>
      </c>
      <c r="X19" s="2002"/>
      <c r="Y19" s="3593"/>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591"/>
      <c r="Q20" s="1999"/>
      <c r="R20" s="1653"/>
      <c r="S20" s="1654"/>
      <c r="T20" s="1653"/>
      <c r="U20" s="1654"/>
      <c r="V20" s="1653"/>
      <c r="W20" s="1654"/>
      <c r="X20" s="2002"/>
      <c r="Y20" s="3593"/>
      <c r="Z20" s="2006"/>
      <c r="AA20" s="1997">
        <v>1</v>
      </c>
      <c r="AB20" s="1997">
        <v>1</v>
      </c>
      <c r="AC20" s="1997">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591"/>
      <c r="Q21" s="1999" t="str">
        <f>B21</f>
        <v>基础设施水平</v>
      </c>
      <c r="R21" s="1653" t="s">
        <v>25</v>
      </c>
      <c r="S21" s="1654">
        <f>F21</f>
        <v>100</v>
      </c>
      <c r="T21" s="1653" t="s">
        <v>25</v>
      </c>
      <c r="U21" s="1654">
        <f>H21</f>
        <v>100</v>
      </c>
      <c r="V21" s="1653" t="s">
        <v>25</v>
      </c>
      <c r="W21" s="1654">
        <f>J21</f>
        <v>100</v>
      </c>
      <c r="X21" s="2002"/>
      <c r="Y21" s="3593"/>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591"/>
      <c r="Q22" s="1999"/>
      <c r="R22" s="1653"/>
      <c r="S22" s="1654"/>
      <c r="T22" s="1653"/>
      <c r="U22" s="1654"/>
      <c r="V22" s="1653"/>
      <c r="W22" s="1654"/>
      <c r="X22" s="2002"/>
      <c r="Y22" s="3593"/>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591"/>
      <c r="Q23" s="1999" t="str">
        <f>B23</f>
        <v>自然及人文环境</v>
      </c>
      <c r="R23" s="1653" t="s">
        <v>25</v>
      </c>
      <c r="S23" s="1654">
        <f>F23</f>
        <v>100</v>
      </c>
      <c r="T23" s="1653" t="s">
        <v>25</v>
      </c>
      <c r="U23" s="1654">
        <f>H23</f>
        <v>100</v>
      </c>
      <c r="V23" s="1653" t="s">
        <v>25</v>
      </c>
      <c r="W23" s="1654">
        <f>J23</f>
        <v>100</v>
      </c>
      <c r="X23" s="2002"/>
      <c r="Y23" s="3593"/>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591"/>
      <c r="Q24" s="1999"/>
      <c r="R24" s="1653"/>
      <c r="S24" s="1654"/>
      <c r="T24" s="1653"/>
      <c r="U24" s="1654"/>
      <c r="V24" s="1653"/>
      <c r="W24" s="1654"/>
      <c r="X24" s="2002"/>
      <c r="Y24" s="3593"/>
      <c r="Z24" s="2006"/>
      <c r="AA24" s="1997">
        <v>1</v>
      </c>
      <c r="AB24" s="1997">
        <v>1</v>
      </c>
      <c r="AC24" s="1997">
        <v>1</v>
      </c>
    </row>
    <row r="25" spans="1:29" ht="15">
      <c r="A25" s="1630"/>
      <c r="B25" s="1623" t="s">
        <v>2119</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591"/>
      <c r="Q25" s="1999" t="str">
        <f t="shared" ref="Q25:Q46" si="11">B25</f>
        <v>临街状况</v>
      </c>
      <c r="R25" s="1653" t="s">
        <v>25</v>
      </c>
      <c r="S25" s="1654">
        <f>F25</f>
        <v>100</v>
      </c>
      <c r="T25" s="1653" t="s">
        <v>25</v>
      </c>
      <c r="U25" s="1654">
        <f>H25</f>
        <v>100</v>
      </c>
      <c r="V25" s="1653" t="s">
        <v>25</v>
      </c>
      <c r="W25" s="1654">
        <f>J25</f>
        <v>100</v>
      </c>
      <c r="X25" s="2002"/>
      <c r="Y25" s="3593"/>
      <c r="Z25" s="2006" t="str">
        <f>Q25</f>
        <v>临街状况</v>
      </c>
      <c r="AA25" s="1997">
        <f t="shared" si="3"/>
        <v>1</v>
      </c>
      <c r="AB25" s="1997">
        <f t="shared" si="4"/>
        <v>1</v>
      </c>
      <c r="AC25" s="1997">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591"/>
      <c r="Q26" s="1999" t="str">
        <f t="shared" si="11"/>
        <v>平面位置/可视性</v>
      </c>
      <c r="R26" s="1653" t="s">
        <v>25</v>
      </c>
      <c r="S26" s="1654">
        <f>F26</f>
        <v>100</v>
      </c>
      <c r="T26" s="1653" t="s">
        <v>25</v>
      </c>
      <c r="U26" s="1654">
        <f>H26</f>
        <v>100</v>
      </c>
      <c r="V26" s="1653" t="s">
        <v>25</v>
      </c>
      <c r="W26" s="1654">
        <f>J26</f>
        <v>100</v>
      </c>
      <c r="X26" s="2002"/>
      <c r="Y26" s="3593"/>
      <c r="Z26" s="2006" t="str">
        <f>Q26</f>
        <v>平面位置/可视性</v>
      </c>
      <c r="AA26" s="1997">
        <f t="shared" si="3"/>
        <v>1</v>
      </c>
      <c r="AB26" s="1997">
        <f t="shared" si="4"/>
        <v>1</v>
      </c>
      <c r="AC26" s="1997">
        <f t="shared" si="5"/>
        <v>1</v>
      </c>
    </row>
    <row r="27" spans="1:29" s="1613" customFormat="1" ht="15">
      <c r="A27" s="1633"/>
      <c r="B27" s="1665" t="s">
        <v>2121</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591"/>
      <c r="Q27" s="1993" t="str">
        <f t="shared" si="11"/>
        <v>人流量</v>
      </c>
      <c r="R27" s="1609" t="s">
        <v>25</v>
      </c>
      <c r="S27" s="1610">
        <f>F27</f>
        <v>100</v>
      </c>
      <c r="T27" s="1609" t="s">
        <v>25</v>
      </c>
      <c r="U27" s="1610">
        <f>H27</f>
        <v>100</v>
      </c>
      <c r="V27" s="1609" t="s">
        <v>25</v>
      </c>
      <c r="W27" s="1610">
        <f>J27</f>
        <v>100</v>
      </c>
      <c r="X27" s="1611"/>
      <c r="Y27" s="3593"/>
      <c r="Z27" s="1621" t="str">
        <f>Q27</f>
        <v>人流量</v>
      </c>
      <c r="AA27" s="1997">
        <f>D27/F27</f>
        <v>1</v>
      </c>
      <c r="AB27" s="1997">
        <f>D27/H27</f>
        <v>1</v>
      </c>
      <c r="AC27" s="1997">
        <f>D27/J27</f>
        <v>1</v>
      </c>
    </row>
    <row r="28" spans="1:29" ht="15">
      <c r="A28" s="1630"/>
      <c r="B28" s="1623" t="s">
        <v>2122</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591"/>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593"/>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1"/>
      <c r="Q29" s="1999">
        <f t="shared" si="11"/>
        <v>111</v>
      </c>
      <c r="R29" s="1653" t="s">
        <v>25</v>
      </c>
      <c r="S29" s="1654">
        <f t="shared" si="12"/>
        <v>100</v>
      </c>
      <c r="T29" s="1653" t="s">
        <v>25</v>
      </c>
      <c r="U29" s="1654">
        <f t="shared" si="13"/>
        <v>100</v>
      </c>
      <c r="V29" s="1653" t="s">
        <v>25</v>
      </c>
      <c r="W29" s="1654">
        <f t="shared" si="14"/>
        <v>100</v>
      </c>
      <c r="X29" s="2002"/>
      <c r="Y29" s="3593"/>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1"/>
      <c r="Q30" s="1999">
        <f t="shared" si="11"/>
        <v>111</v>
      </c>
      <c r="R30" s="1653" t="s">
        <v>25</v>
      </c>
      <c r="S30" s="1654">
        <f t="shared" si="12"/>
        <v>100</v>
      </c>
      <c r="T30" s="1653" t="s">
        <v>25</v>
      </c>
      <c r="U30" s="1654">
        <f t="shared" si="13"/>
        <v>100</v>
      </c>
      <c r="V30" s="1653" t="s">
        <v>25</v>
      </c>
      <c r="W30" s="1654">
        <f t="shared" si="14"/>
        <v>100</v>
      </c>
      <c r="X30" s="2002"/>
      <c r="Y30" s="3593"/>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1"/>
      <c r="Q31" s="1999">
        <f t="shared" si="11"/>
        <v>111</v>
      </c>
      <c r="R31" s="1653" t="s">
        <v>25</v>
      </c>
      <c r="S31" s="1654">
        <f t="shared" si="12"/>
        <v>100</v>
      </c>
      <c r="T31" s="1653" t="s">
        <v>25</v>
      </c>
      <c r="U31" s="1654">
        <f t="shared" si="13"/>
        <v>100</v>
      </c>
      <c r="V31" s="1653" t="s">
        <v>25</v>
      </c>
      <c r="W31" s="1654">
        <f t="shared" si="14"/>
        <v>100</v>
      </c>
      <c r="X31" s="2002"/>
      <c r="Y31" s="3593"/>
      <c r="Z31" s="2006">
        <f t="shared" si="15"/>
        <v>111</v>
      </c>
      <c r="AA31" s="1997">
        <f t="shared" si="3"/>
        <v>1</v>
      </c>
      <c r="AB31" s="1997">
        <f t="shared" si="4"/>
        <v>1</v>
      </c>
      <c r="AC31" s="1997">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594" t="s">
        <v>2037</v>
      </c>
      <c r="Q32" s="1999" t="str">
        <f t="shared" si="11"/>
        <v>商业类型</v>
      </c>
      <c r="R32" s="1653" t="s">
        <v>25</v>
      </c>
      <c r="S32" s="1654">
        <f t="shared" si="12"/>
        <v>100</v>
      </c>
      <c r="T32" s="1653" t="s">
        <v>25</v>
      </c>
      <c r="U32" s="1654">
        <f t="shared" si="13"/>
        <v>100</v>
      </c>
      <c r="V32" s="1653" t="s">
        <v>25</v>
      </c>
      <c r="W32" s="1654">
        <f t="shared" si="14"/>
        <v>100</v>
      </c>
      <c r="X32" s="2002"/>
      <c r="Y32" s="3597" t="s">
        <v>2037</v>
      </c>
      <c r="Z32" s="2006" t="str">
        <f t="shared" si="15"/>
        <v>商业类型</v>
      </c>
      <c r="AA32" s="1997">
        <f t="shared" si="3"/>
        <v>1</v>
      </c>
      <c r="AB32" s="1997">
        <f t="shared" si="4"/>
        <v>1</v>
      </c>
      <c r="AC32" s="1997">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595"/>
      <c r="Q33" s="1694" t="str">
        <f t="shared" si="11"/>
        <v>项目建筑规模</v>
      </c>
      <c r="R33" s="1695" t="s">
        <v>25</v>
      </c>
      <c r="S33" s="1696" t="e">
        <f t="shared" si="12"/>
        <v>#N/A</v>
      </c>
      <c r="T33" s="1695" t="s">
        <v>25</v>
      </c>
      <c r="U33" s="1696" t="e">
        <f t="shared" si="13"/>
        <v>#N/A</v>
      </c>
      <c r="V33" s="1695" t="s">
        <v>25</v>
      </c>
      <c r="W33" s="1696" t="e">
        <f t="shared" si="14"/>
        <v>#N/A</v>
      </c>
      <c r="X33" s="1697"/>
      <c r="Y33" s="3597"/>
      <c r="Z33" s="1698" t="str">
        <f t="shared" si="15"/>
        <v>项目建筑规模</v>
      </c>
      <c r="AA33" s="1997" t="e">
        <f t="shared" si="3"/>
        <v>#N/A</v>
      </c>
      <c r="AB33" s="1997" t="e">
        <f t="shared" si="4"/>
        <v>#N/A</v>
      </c>
      <c r="AC33" s="1997"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595"/>
      <c r="Q34" s="1999" t="str">
        <f t="shared" si="11"/>
        <v>建筑结构</v>
      </c>
      <c r="R34" s="1653" t="s">
        <v>25</v>
      </c>
      <c r="S34" s="1654">
        <f t="shared" si="12"/>
        <v>100</v>
      </c>
      <c r="T34" s="1653" t="s">
        <v>25</v>
      </c>
      <c r="U34" s="1654">
        <f t="shared" si="13"/>
        <v>100</v>
      </c>
      <c r="V34" s="1653" t="s">
        <v>25</v>
      </c>
      <c r="W34" s="1654">
        <f t="shared" si="14"/>
        <v>100</v>
      </c>
      <c r="X34" s="2002"/>
      <c r="Y34" s="3597"/>
      <c r="Z34" s="2006" t="str">
        <f t="shared" si="15"/>
        <v>建筑结构</v>
      </c>
      <c r="AA34" s="1997">
        <f t="shared" si="3"/>
        <v>1</v>
      </c>
      <c r="AB34" s="1997">
        <f t="shared" si="4"/>
        <v>1</v>
      </c>
      <c r="AC34" s="1997">
        <f t="shared" si="5"/>
        <v>1</v>
      </c>
    </row>
    <row r="35" spans="1:29" ht="15">
      <c r="A35" s="1700"/>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595"/>
      <c r="Q35" s="1999" t="str">
        <f t="shared" si="11"/>
        <v>公共部分装修</v>
      </c>
      <c r="R35" s="1653" t="s">
        <v>25</v>
      </c>
      <c r="S35" s="1654">
        <f t="shared" si="12"/>
        <v>100</v>
      </c>
      <c r="T35" s="1653" t="s">
        <v>25</v>
      </c>
      <c r="U35" s="1654">
        <f t="shared" si="13"/>
        <v>100</v>
      </c>
      <c r="V35" s="1653" t="s">
        <v>25</v>
      </c>
      <c r="W35" s="1654">
        <f t="shared" si="14"/>
        <v>100</v>
      </c>
      <c r="X35" s="2002"/>
      <c r="Y35" s="3597"/>
      <c r="Z35" s="2006" t="str">
        <f t="shared" si="15"/>
        <v>公共部分装修</v>
      </c>
      <c r="AA35" s="1997">
        <f t="shared" si="3"/>
        <v>1</v>
      </c>
      <c r="AB35" s="1997">
        <f t="shared" si="4"/>
        <v>1</v>
      </c>
      <c r="AC35" s="1997">
        <f t="shared" si="5"/>
        <v>1</v>
      </c>
    </row>
    <row r="36" spans="1:29" ht="15">
      <c r="A36" s="1700"/>
      <c r="B36" s="1623" t="s">
        <v>2125</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595"/>
      <c r="Q36" s="1999" t="str">
        <f t="shared" si="11"/>
        <v>成新度</v>
      </c>
      <c r="R36" s="1653" t="s">
        <v>25</v>
      </c>
      <c r="S36" s="1654" t="e">
        <f t="shared" si="12"/>
        <v>#N/A</v>
      </c>
      <c r="T36" s="1653" t="s">
        <v>25</v>
      </c>
      <c r="U36" s="1654" t="e">
        <f t="shared" si="13"/>
        <v>#N/A</v>
      </c>
      <c r="V36" s="1653" t="s">
        <v>25</v>
      </c>
      <c r="W36" s="1654" t="e">
        <f t="shared" si="14"/>
        <v>#N/A</v>
      </c>
      <c r="X36" s="2002"/>
      <c r="Y36" s="3597"/>
      <c r="Z36" s="2006" t="str">
        <f t="shared" si="15"/>
        <v>成新度</v>
      </c>
      <c r="AA36" s="1997" t="e">
        <f t="shared" si="3"/>
        <v>#N/A</v>
      </c>
      <c r="AB36" s="1997" t="e">
        <f t="shared" si="4"/>
        <v>#N/A</v>
      </c>
      <c r="AC36" s="1997" t="e">
        <f t="shared" si="5"/>
        <v>#N/A</v>
      </c>
    </row>
    <row r="37" spans="1:29" s="1613" customFormat="1" ht="15">
      <c r="A37" s="1703"/>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595"/>
      <c r="Q37" s="1993" t="str">
        <f t="shared" si="11"/>
        <v>市政基础设施</v>
      </c>
      <c r="R37" s="1609" t="s">
        <v>25</v>
      </c>
      <c r="S37" s="1610">
        <f t="shared" si="12"/>
        <v>100</v>
      </c>
      <c r="T37" s="1609" t="s">
        <v>25</v>
      </c>
      <c r="U37" s="1610">
        <f t="shared" si="13"/>
        <v>100</v>
      </c>
      <c r="V37" s="1609" t="s">
        <v>25</v>
      </c>
      <c r="W37" s="1610">
        <f t="shared" si="14"/>
        <v>100</v>
      </c>
      <c r="X37" s="1611"/>
      <c r="Y37" s="3597"/>
      <c r="Z37" s="1621" t="str">
        <f t="shared" si="15"/>
        <v>市政基础设施</v>
      </c>
      <c r="AA37" s="1612">
        <f t="shared" si="3"/>
        <v>1</v>
      </c>
      <c r="AB37" s="1612">
        <f t="shared" si="4"/>
        <v>1</v>
      </c>
      <c r="AC37" s="1612">
        <f t="shared" si="5"/>
        <v>1</v>
      </c>
    </row>
    <row r="38" spans="1:29" ht="15">
      <c r="A38" s="1700"/>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595" t="s">
        <v>2037</v>
      </c>
      <c r="Q38" s="1999" t="str">
        <f t="shared" si="11"/>
        <v>业态</v>
      </c>
      <c r="R38" s="1653" t="s">
        <v>25</v>
      </c>
      <c r="S38" s="1654">
        <f t="shared" si="12"/>
        <v>100</v>
      </c>
      <c r="T38" s="1653" t="s">
        <v>25</v>
      </c>
      <c r="U38" s="1654">
        <f t="shared" si="13"/>
        <v>100</v>
      </c>
      <c r="V38" s="1653" t="s">
        <v>25</v>
      </c>
      <c r="W38" s="1654">
        <f t="shared" si="14"/>
        <v>100</v>
      </c>
      <c r="X38" s="2002"/>
      <c r="Y38" s="3597" t="s">
        <v>2037</v>
      </c>
      <c r="Z38" s="2006" t="str">
        <f t="shared" si="15"/>
        <v>业态</v>
      </c>
      <c r="AA38" s="1997">
        <f t="shared" si="3"/>
        <v>1</v>
      </c>
      <c r="AB38" s="1997">
        <f t="shared" si="4"/>
        <v>1</v>
      </c>
      <c r="AC38" s="1997">
        <f t="shared" si="5"/>
        <v>1</v>
      </c>
    </row>
    <row r="39" spans="1:29" ht="15">
      <c r="A39" s="1700"/>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595"/>
      <c r="Q39" s="1999" t="str">
        <f t="shared" si="11"/>
        <v>层高</v>
      </c>
      <c r="R39" s="1653" t="s">
        <v>25</v>
      </c>
      <c r="S39" s="1654">
        <f t="shared" si="12"/>
        <v>100</v>
      </c>
      <c r="T39" s="1653" t="s">
        <v>25</v>
      </c>
      <c r="U39" s="1654">
        <f t="shared" si="13"/>
        <v>100</v>
      </c>
      <c r="V39" s="1653" t="s">
        <v>25</v>
      </c>
      <c r="W39" s="1654">
        <f t="shared" si="14"/>
        <v>100</v>
      </c>
      <c r="X39" s="2002"/>
      <c r="Y39" s="3597"/>
      <c r="Z39" s="2006" t="str">
        <f t="shared" si="15"/>
        <v>层高</v>
      </c>
      <c r="AA39" s="1997">
        <f t="shared" si="3"/>
        <v>1</v>
      </c>
      <c r="AB39" s="1997">
        <f t="shared" si="4"/>
        <v>1</v>
      </c>
      <c r="AC39" s="1997">
        <f t="shared" si="5"/>
        <v>1</v>
      </c>
    </row>
    <row r="40" spans="1:29" ht="15">
      <c r="A40" s="1700"/>
      <c r="B40" s="1623" t="s">
        <v>2129</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595"/>
      <c r="Q40" s="1999" t="str">
        <f t="shared" si="11"/>
        <v>单套建筑面积</v>
      </c>
      <c r="R40" s="1653" t="s">
        <v>25</v>
      </c>
      <c r="S40" s="1654">
        <f t="shared" si="12"/>
        <v>100</v>
      </c>
      <c r="T40" s="1653" t="s">
        <v>25</v>
      </c>
      <c r="U40" s="1654">
        <f t="shared" si="13"/>
        <v>100</v>
      </c>
      <c r="V40" s="1653" t="s">
        <v>25</v>
      </c>
      <c r="W40" s="1654">
        <f t="shared" si="14"/>
        <v>100</v>
      </c>
      <c r="X40" s="2002"/>
      <c r="Y40" s="3597"/>
      <c r="Z40" s="2006" t="str">
        <f t="shared" si="15"/>
        <v>单套建筑面积</v>
      </c>
      <c r="AA40" s="1997">
        <f t="shared" si="3"/>
        <v>1</v>
      </c>
      <c r="AB40" s="1997">
        <f t="shared" si="4"/>
        <v>1</v>
      </c>
      <c r="AC40" s="1997">
        <f t="shared" si="5"/>
        <v>1</v>
      </c>
    </row>
    <row r="41" spans="1:29" s="1699" customFormat="1" ht="15">
      <c r="A41" s="1692"/>
      <c r="B41" s="1998" t="s">
        <v>2130</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595"/>
      <c r="Q41" s="1694" t="str">
        <f t="shared" si="11"/>
        <v>进深比</v>
      </c>
      <c r="R41" s="1695" t="s">
        <v>25</v>
      </c>
      <c r="S41" s="1696">
        <f t="shared" si="12"/>
        <v>100</v>
      </c>
      <c r="T41" s="1695" t="s">
        <v>25</v>
      </c>
      <c r="U41" s="1696">
        <f t="shared" si="13"/>
        <v>100</v>
      </c>
      <c r="V41" s="1695" t="s">
        <v>25</v>
      </c>
      <c r="W41" s="1696">
        <f t="shared" si="14"/>
        <v>100</v>
      </c>
      <c r="X41" s="1697"/>
      <c r="Y41" s="3597"/>
      <c r="Z41" s="1698" t="str">
        <f t="shared" si="15"/>
        <v>进深比</v>
      </c>
      <c r="AA41" s="1997">
        <f t="shared" si="3"/>
        <v>1</v>
      </c>
      <c r="AB41" s="1997">
        <f t="shared" si="4"/>
        <v>1</v>
      </c>
      <c r="AC41" s="1997">
        <f t="shared" si="5"/>
        <v>1</v>
      </c>
    </row>
    <row r="42" spans="1:29" ht="15">
      <c r="A42" s="1700"/>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595"/>
      <c r="Q42" s="1999" t="str">
        <f t="shared" si="11"/>
        <v>内部装修</v>
      </c>
      <c r="R42" s="1653" t="s">
        <v>25</v>
      </c>
      <c r="S42" s="1654">
        <f t="shared" si="12"/>
        <v>100</v>
      </c>
      <c r="T42" s="1653" t="s">
        <v>25</v>
      </c>
      <c r="U42" s="1654">
        <f t="shared" si="13"/>
        <v>100</v>
      </c>
      <c r="V42" s="1653" t="s">
        <v>25</v>
      </c>
      <c r="W42" s="1654">
        <f t="shared" si="14"/>
        <v>100</v>
      </c>
      <c r="X42" s="2002"/>
      <c r="Y42" s="3597"/>
      <c r="Z42" s="2006" t="str">
        <f t="shared" si="15"/>
        <v>内部装修</v>
      </c>
      <c r="AA42" s="1997">
        <f t="shared" si="3"/>
        <v>1</v>
      </c>
      <c r="AB42" s="1997">
        <f t="shared" si="4"/>
        <v>1</v>
      </c>
      <c r="AC42" s="1997">
        <f t="shared" si="5"/>
        <v>1</v>
      </c>
    </row>
    <row r="43" spans="1:29" ht="15">
      <c r="A43" s="1700"/>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595"/>
      <c r="Q43" s="1999" t="str">
        <f t="shared" si="11"/>
        <v>内部装修维护情况</v>
      </c>
      <c r="R43" s="1653" t="s">
        <v>25</v>
      </c>
      <c r="S43" s="1654">
        <f t="shared" si="12"/>
        <v>100</v>
      </c>
      <c r="T43" s="1653" t="s">
        <v>25</v>
      </c>
      <c r="U43" s="1654">
        <f t="shared" si="13"/>
        <v>100</v>
      </c>
      <c r="V43" s="1653" t="s">
        <v>25</v>
      </c>
      <c r="W43" s="1654">
        <f t="shared" si="14"/>
        <v>100</v>
      </c>
      <c r="X43" s="2002"/>
      <c r="Y43" s="3597"/>
      <c r="Z43" s="2006" t="str">
        <f t="shared" si="15"/>
        <v>内部装修维护情况</v>
      </c>
      <c r="AA43" s="1997">
        <f t="shared" si="3"/>
        <v>1</v>
      </c>
      <c r="AB43" s="1997">
        <f t="shared" si="4"/>
        <v>1</v>
      </c>
      <c r="AC43" s="1997">
        <f t="shared" si="5"/>
        <v>1</v>
      </c>
    </row>
    <row r="44" spans="1:29" s="1613"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595"/>
      <c r="Q44" s="1993">
        <f t="shared" si="11"/>
        <v>111</v>
      </c>
      <c r="R44" s="1609" t="s">
        <v>25</v>
      </c>
      <c r="S44" s="1610">
        <f t="shared" si="12"/>
        <v>100</v>
      </c>
      <c r="T44" s="1609" t="s">
        <v>25</v>
      </c>
      <c r="U44" s="1610">
        <f t="shared" si="13"/>
        <v>100</v>
      </c>
      <c r="V44" s="1609" t="s">
        <v>25</v>
      </c>
      <c r="W44" s="1610">
        <f t="shared" si="14"/>
        <v>100</v>
      </c>
      <c r="X44" s="1611"/>
      <c r="Y44" s="3597"/>
      <c r="Z44" s="1621">
        <f t="shared" si="15"/>
        <v>111</v>
      </c>
      <c r="AA44" s="1612">
        <f t="shared" si="3"/>
        <v>1</v>
      </c>
      <c r="AB44" s="1612">
        <f t="shared" si="4"/>
        <v>1</v>
      </c>
      <c r="AC44" s="1612">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595"/>
      <c r="Q45" s="1999">
        <f t="shared" si="11"/>
        <v>111</v>
      </c>
      <c r="R45" s="1653" t="s">
        <v>25</v>
      </c>
      <c r="S45" s="1654">
        <f t="shared" si="12"/>
        <v>100</v>
      </c>
      <c r="T45" s="1653" t="s">
        <v>25</v>
      </c>
      <c r="U45" s="1654">
        <f t="shared" si="13"/>
        <v>100</v>
      </c>
      <c r="V45" s="1653" t="s">
        <v>25</v>
      </c>
      <c r="W45" s="1654">
        <f t="shared" si="14"/>
        <v>100</v>
      </c>
      <c r="X45" s="2002"/>
      <c r="Y45" s="3597"/>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596"/>
      <c r="Q46" s="1999">
        <f t="shared" si="11"/>
        <v>111</v>
      </c>
      <c r="R46" s="1653" t="s">
        <v>25</v>
      </c>
      <c r="S46" s="1654">
        <f t="shared" si="12"/>
        <v>100</v>
      </c>
      <c r="T46" s="1653" t="s">
        <v>25</v>
      </c>
      <c r="U46" s="1654">
        <f t="shared" si="13"/>
        <v>100</v>
      </c>
      <c r="V46" s="1653" t="s">
        <v>25</v>
      </c>
      <c r="W46" s="1654">
        <f t="shared" si="14"/>
        <v>100</v>
      </c>
      <c r="X46" s="2002"/>
      <c r="Y46" s="3598"/>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589" t="str">
        <f>A47</f>
        <v>成交单价（元/平方米）</v>
      </c>
      <c r="Q47" s="3589"/>
      <c r="R47" s="3585">
        <f>E47</f>
        <v>0</v>
      </c>
      <c r="S47" s="3585"/>
      <c r="T47" s="3585">
        <f>G47</f>
        <v>0</v>
      </c>
      <c r="U47" s="3585"/>
      <c r="V47" s="3585">
        <f>I47</f>
        <v>0</v>
      </c>
      <c r="W47" s="3585"/>
      <c r="X47" s="1719"/>
      <c r="Y47" s="2001"/>
      <c r="Z47" s="1719"/>
      <c r="AA47" s="1719"/>
      <c r="AB47" s="1719"/>
      <c r="AC47" s="1719"/>
    </row>
    <row r="48" spans="1:29" ht="15.75" thickBot="1">
      <c r="A48" s="1721" t="s">
        <v>2132</v>
      </c>
      <c r="B48" s="1722"/>
      <c r="C48" s="1723" t="e">
        <f>R49</f>
        <v>#DIV/0!</v>
      </c>
      <c r="D48" s="1724" t="s">
        <v>2503</v>
      </c>
      <c r="E48" s="1725" t="e">
        <f>R48</f>
        <v>#DIV/0!</v>
      </c>
      <c r="F48" s="1726"/>
      <c r="G48" s="1723" t="e">
        <f>T48</f>
        <v>#DIV/0!</v>
      </c>
      <c r="H48" s="1726"/>
      <c r="I48" s="1725" t="e">
        <f>V48</f>
        <v>#DIV/0!</v>
      </c>
      <c r="J48" s="1726"/>
      <c r="K48" s="2428">
        <f>F48+H48+J48</f>
        <v>0</v>
      </c>
      <c r="L48" s="2920"/>
      <c r="N48" s="2915"/>
      <c r="P48" s="3589" t="str">
        <f>A48</f>
        <v>比较价值（元/平方米）</v>
      </c>
      <c r="Q48" s="3589"/>
      <c r="R48" s="3585" t="e">
        <f>IF(E1="售价",ROUND(PRODUCT(R47,AA7:AA46),0),ROUND(PRODUCT(R47,AA7:AA46),1))</f>
        <v>#DIV/0!</v>
      </c>
      <c r="S48" s="3585"/>
      <c r="T48" s="3585" t="e">
        <f>IF(E1="售价",ROUND(PRODUCT(T47,AB7:AB46),0),ROUND(PRODUCT(T47,AB7:AB46),1))</f>
        <v>#DIV/0!</v>
      </c>
      <c r="U48" s="3585"/>
      <c r="V48" s="3585" t="e">
        <f>IF(E1="售价",ROUND(PRODUCT(V47,AC7:AC46),0),ROUND(PRODUCT(V47,AC7:AC46),1))</f>
        <v>#DIV/0!</v>
      </c>
      <c r="W48" s="3585"/>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2022-9</v>
      </c>
      <c r="D58" s="1753">
        <f>EDATE(C58,-1)</f>
        <v>44774</v>
      </c>
      <c r="E58" s="1753">
        <f t="shared" ref="E58:O58" si="16">EDATE(D58,-1)</f>
        <v>44743</v>
      </c>
      <c r="F58" s="1753">
        <f t="shared" si="16"/>
        <v>44713</v>
      </c>
      <c r="G58" s="1753">
        <f t="shared" si="16"/>
        <v>44682</v>
      </c>
      <c r="H58" s="1753">
        <f t="shared" si="16"/>
        <v>44652</v>
      </c>
      <c r="I58" s="1753">
        <f t="shared" si="16"/>
        <v>44621</v>
      </c>
      <c r="J58" s="1753">
        <f t="shared" si="16"/>
        <v>44593</v>
      </c>
      <c r="K58" s="1753">
        <f t="shared" si="16"/>
        <v>44562</v>
      </c>
      <c r="L58" s="1753">
        <f t="shared" si="16"/>
        <v>44531</v>
      </c>
      <c r="M58" s="1753">
        <f t="shared" si="16"/>
        <v>44501</v>
      </c>
      <c r="N58" s="1753">
        <f t="shared" si="16"/>
        <v>44470</v>
      </c>
      <c r="O58" s="1753">
        <f t="shared" si="16"/>
        <v>44440</v>
      </c>
      <c r="P58" s="1754"/>
    </row>
    <row r="59" spans="1:29" s="1613" customFormat="1" ht="15">
      <c r="A59" s="1756"/>
      <c r="B59" s="1757"/>
      <c r="C59" s="1758">
        <v>100</v>
      </c>
      <c r="D59" s="1759"/>
      <c r="E59" s="1759"/>
      <c r="F59" s="1759"/>
      <c r="G59" s="1759"/>
      <c r="H59" s="1759"/>
      <c r="I59" s="1759"/>
      <c r="J59" s="1759"/>
      <c r="K59" s="1759"/>
      <c r="L59" s="1759"/>
      <c r="M59" s="1760"/>
      <c r="N59" s="1759"/>
      <c r="O59" s="1760"/>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3"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3"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3"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3"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3"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6"/>
      <c r="H94" s="1506"/>
      <c r="I94" s="1506"/>
      <c r="J94" s="1506"/>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6"/>
      <c r="H96" s="1506"/>
      <c r="I96" s="1506"/>
      <c r="J96" s="1506"/>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6"/>
      <c r="F105" s="1506"/>
      <c r="G105" s="1506"/>
      <c r="H105" s="1506"/>
      <c r="I105" s="1506"/>
      <c r="J105" s="1506"/>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6"/>
      <c r="G107" s="1506"/>
      <c r="H107" s="1506"/>
      <c r="I107" s="1506"/>
      <c r="J107" s="1506"/>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6"/>
      <c r="I112" s="1506"/>
      <c r="J112" s="1506"/>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6"/>
      <c r="F114" s="1506"/>
      <c r="G114" s="1506"/>
      <c r="H114" s="1506"/>
      <c r="I114" s="1506"/>
      <c r="J114" s="1506"/>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6"/>
      <c r="I116" s="1506"/>
      <c r="J116" s="1506"/>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6"/>
      <c r="D120" s="1506"/>
      <c r="E120" s="1506"/>
      <c r="F120" s="1506"/>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6"/>
      <c r="G122" s="1506"/>
      <c r="H122" s="1506"/>
      <c r="I122" s="1506"/>
      <c r="J122" s="1506"/>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6"/>
      <c r="H128" s="1506"/>
      <c r="I128" s="1506"/>
      <c r="J128" s="1506"/>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7" customFormat="1" ht="28.5" customHeight="1" thickTop="1">
      <c r="A2" s="1577" t="s">
        <v>1674</v>
      </c>
      <c r="B2" s="1578" t="e">
        <f ca="1">IF(D2="——",IF(C2="元",ROUND(C50*D3,0),ROUND(C50*D3/10000,0)),IF(C2="元",ROUND(C50*D3,0),ROUND(C50*D3/10000,0))-E2)</f>
        <v>#DIV/0!</v>
      </c>
      <c r="C2" s="1579" t="str">
        <f>'数据-取费表'!B3</f>
        <v>万元</v>
      </c>
      <c r="D2" s="1580"/>
      <c r="E2" s="2405" t="e">
        <f ca="1">SUMIF(INDIRECT("'"&amp;G2&amp;"'"&amp;"!A:A"),"承租人权益价值",INDIRECT("'"&amp;G2&amp;"'"&amp;"!c:c"))</f>
        <v>#REF!</v>
      </c>
      <c r="F2" s="1582" t="str">
        <f>C2</f>
        <v>万元</v>
      </c>
      <c r="G2" s="1583"/>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7" t="s">
        <v>1675</v>
      </c>
      <c r="B3" s="1890" t="e">
        <f ca="1">ROUND(IF(D2="——",C50,IF(C2="万元",B2*10000/D3,B2/D3)),0)</f>
        <v>#DIV/0!</v>
      </c>
      <c r="C3" s="1588" t="s">
        <v>2005</v>
      </c>
      <c r="D3" s="1588">
        <f>IF(C1="仅计算典型户型",'数据-取费表'!E5,'数据-取费表'!B5)</f>
        <v>71.38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1" t="s">
        <v>2006</v>
      </c>
      <c r="B4" s="1592"/>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2002"/>
      <c r="Y4" s="3605" t="s">
        <v>2012</v>
      </c>
      <c r="Z4" s="3606"/>
      <c r="AA4" s="3613" t="s">
        <v>2008</v>
      </c>
      <c r="AB4" s="3613" t="s">
        <v>2009</v>
      </c>
      <c r="AC4" s="3613" t="s">
        <v>2010</v>
      </c>
    </row>
    <row r="5" spans="1:29" ht="15">
      <c r="A5" s="1596"/>
      <c r="B5" s="1597"/>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2002"/>
      <c r="Y5" s="3607"/>
      <c r="Z5" s="3608"/>
      <c r="AA5" s="3614"/>
      <c r="AB5" s="3614"/>
      <c r="AC5" s="3614"/>
    </row>
    <row r="6" spans="1:29" ht="15.75" thickBot="1">
      <c r="A6" s="1599"/>
      <c r="B6" s="1600"/>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2002"/>
      <c r="Y6" s="3609"/>
      <c r="Z6" s="3610"/>
      <c r="AA6" s="3615"/>
      <c r="AB6" s="3615"/>
      <c r="AC6" s="3615"/>
    </row>
    <row r="7" spans="1:29" s="1613" customFormat="1" ht="15.75" thickBot="1">
      <c r="A7" s="1601" t="s">
        <v>2019</v>
      </c>
      <c r="B7" s="1602"/>
      <c r="C7" s="1603">
        <f>'数据-取费表'!B2</f>
        <v>44817</v>
      </c>
      <c r="D7" s="1604">
        <v>100</v>
      </c>
      <c r="E7" s="1605"/>
      <c r="F7" s="1606">
        <f>SUMIF(59:59,YEAR(E7)&amp;"-"&amp;MONTH(E7),60:60)</f>
        <v>0</v>
      </c>
      <c r="G7" s="1894"/>
      <c r="H7" s="1604">
        <f>SUMIF(59:59,YEAR(G7)&amp;"-"&amp;MONTH(G7),60:60)</f>
        <v>0</v>
      </c>
      <c r="I7" s="1894"/>
      <c r="J7" s="1604">
        <f>SUMIF(59:59,YEAR(I7)&amp;"-"&amp;MONTH(I7),60:60)</f>
        <v>0</v>
      </c>
      <c r="K7" s="1895"/>
      <c r="L7" s="2914"/>
      <c r="M7" s="2887"/>
      <c r="N7" s="2887"/>
      <c r="O7" s="2887"/>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5"/>
      <c r="L8" s="2914"/>
      <c r="M8" s="2887"/>
      <c r="N8" s="2887"/>
      <c r="O8" s="2887"/>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7" si="3">D8/F8</f>
        <v>#DIV/0!</v>
      </c>
      <c r="AB8" s="1612" t="e">
        <f t="shared" ref="AB8:AB47" si="4">D8/H8</f>
        <v>#DIV/0!</v>
      </c>
      <c r="AC8" s="1612" t="e">
        <f t="shared" ref="AC8:AC47" si="5">D8/J8</f>
        <v>#DIV/0!</v>
      </c>
    </row>
    <row r="9" spans="1:29" s="1613" customFormat="1">
      <c r="A9" s="1994"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89" t="s">
        <v>2026</v>
      </c>
      <c r="Q9" s="2832" t="str">
        <f t="shared" ref="Q9:Q15" si="6">B9</f>
        <v>用途</v>
      </c>
      <c r="R9" s="1609" t="s">
        <v>25</v>
      </c>
      <c r="S9" s="1610">
        <f t="shared" si="0"/>
        <v>100</v>
      </c>
      <c r="T9" s="1609" t="s">
        <v>25</v>
      </c>
      <c r="U9" s="1610">
        <f t="shared" si="1"/>
        <v>100</v>
      </c>
      <c r="V9" s="1609" t="s">
        <v>25</v>
      </c>
      <c r="W9" s="1610">
        <f t="shared" si="2"/>
        <v>100</v>
      </c>
      <c r="X9" s="1611"/>
      <c r="Y9" s="3449"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89"/>
      <c r="Q10" s="2832" t="str">
        <f t="shared" si="6"/>
        <v>土地使用年限（年）</v>
      </c>
      <c r="R10" s="1609" t="s">
        <v>25</v>
      </c>
      <c r="S10" s="1610">
        <f t="shared" si="0"/>
        <v>100</v>
      </c>
      <c r="T10" s="1609" t="s">
        <v>25</v>
      </c>
      <c r="U10" s="1610">
        <f t="shared" si="1"/>
        <v>100</v>
      </c>
      <c r="V10" s="1609" t="s">
        <v>25</v>
      </c>
      <c r="W10" s="1610">
        <f t="shared" si="2"/>
        <v>100</v>
      </c>
      <c r="X10" s="1611"/>
      <c r="Y10" s="3449"/>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89"/>
      <c r="Q11" s="2832" t="str">
        <f t="shared" si="6"/>
        <v>容积率</v>
      </c>
      <c r="R11" s="1609" t="s">
        <v>25</v>
      </c>
      <c r="S11" s="1610" t="e">
        <f t="shared" si="0"/>
        <v>#N/A</v>
      </c>
      <c r="T11" s="1609" t="s">
        <v>25</v>
      </c>
      <c r="U11" s="1610" t="e">
        <f t="shared" si="1"/>
        <v>#N/A</v>
      </c>
      <c r="V11" s="1609" t="s">
        <v>25</v>
      </c>
      <c r="W11" s="1610" t="e">
        <f t="shared" si="2"/>
        <v>#N/A</v>
      </c>
      <c r="X11" s="1611"/>
      <c r="Y11" s="3449"/>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89"/>
      <c r="Q12" s="2832">
        <f t="shared" si="6"/>
        <v>111</v>
      </c>
      <c r="R12" s="1609" t="s">
        <v>25</v>
      </c>
      <c r="S12" s="1610">
        <f t="shared" si="0"/>
        <v>100</v>
      </c>
      <c r="T12" s="1609" t="s">
        <v>25</v>
      </c>
      <c r="U12" s="1610">
        <f t="shared" si="1"/>
        <v>100</v>
      </c>
      <c r="V12" s="1609" t="s">
        <v>25</v>
      </c>
      <c r="W12" s="1610">
        <f t="shared" si="2"/>
        <v>100</v>
      </c>
      <c r="X12" s="1611"/>
      <c r="Y12" s="3449"/>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89"/>
      <c r="Q13" s="2832">
        <f t="shared" si="6"/>
        <v>111</v>
      </c>
      <c r="R13" s="1609" t="s">
        <v>25</v>
      </c>
      <c r="S13" s="1610">
        <f t="shared" si="0"/>
        <v>100</v>
      </c>
      <c r="T13" s="1609" t="s">
        <v>25</v>
      </c>
      <c r="U13" s="1610">
        <f t="shared" si="1"/>
        <v>100</v>
      </c>
      <c r="V13" s="1609" t="s">
        <v>25</v>
      </c>
      <c r="W13" s="1610">
        <f t="shared" si="2"/>
        <v>100</v>
      </c>
      <c r="X13" s="1611"/>
      <c r="Y13" s="3449"/>
      <c r="Z13" s="1621">
        <f t="shared" si="7"/>
        <v>111</v>
      </c>
      <c r="AA13" s="1612">
        <f t="shared" si="3"/>
        <v>1</v>
      </c>
      <c r="AB13" s="1612">
        <f t="shared" si="4"/>
        <v>1</v>
      </c>
      <c r="AC13" s="1612">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89"/>
      <c r="Q14" s="2832">
        <f t="shared" si="6"/>
        <v>111</v>
      </c>
      <c r="R14" s="1609" t="s">
        <v>25</v>
      </c>
      <c r="S14" s="1610">
        <f t="shared" si="0"/>
        <v>100</v>
      </c>
      <c r="T14" s="1609" t="s">
        <v>25</v>
      </c>
      <c r="U14" s="1610">
        <f t="shared" si="1"/>
        <v>100</v>
      </c>
      <c r="V14" s="1609" t="s">
        <v>25</v>
      </c>
      <c r="W14" s="1610">
        <f t="shared" si="2"/>
        <v>100</v>
      </c>
      <c r="X14" s="1611"/>
      <c r="Y14" s="3449"/>
      <c r="Z14" s="1621">
        <f t="shared" si="7"/>
        <v>111</v>
      </c>
      <c r="AA14" s="1612">
        <f t="shared" si="3"/>
        <v>1</v>
      </c>
      <c r="AB14" s="1612">
        <f t="shared" si="4"/>
        <v>1</v>
      </c>
      <c r="AC14" s="1612">
        <f t="shared" si="5"/>
        <v>1</v>
      </c>
    </row>
    <row r="15" spans="1:29" ht="71.25">
      <c r="A15" s="1645" t="s">
        <v>2030</v>
      </c>
      <c r="B15" s="2410" t="s">
        <v>2145</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592" t="s">
        <v>2031</v>
      </c>
      <c r="Q15" s="2833" t="str">
        <f t="shared" si="6"/>
        <v>办公集聚程度</v>
      </c>
      <c r="R15" s="1653" t="s">
        <v>25</v>
      </c>
      <c r="S15" s="1654">
        <f t="shared" si="0"/>
        <v>100</v>
      </c>
      <c r="T15" s="1653" t="s">
        <v>25</v>
      </c>
      <c r="U15" s="1654">
        <f t="shared" si="1"/>
        <v>100</v>
      </c>
      <c r="V15" s="1653" t="s">
        <v>25</v>
      </c>
      <c r="W15" s="1654">
        <f t="shared" si="2"/>
        <v>100</v>
      </c>
      <c r="X15" s="2002"/>
      <c r="Y15" s="3592" t="s">
        <v>2031</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593"/>
      <c r="Q16" s="2833"/>
      <c r="R16" s="1653"/>
      <c r="S16" s="1654"/>
      <c r="T16" s="1653"/>
      <c r="U16" s="1654"/>
      <c r="V16" s="1653"/>
      <c r="W16" s="1654"/>
      <c r="X16" s="2002"/>
      <c r="Y16" s="3593"/>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593"/>
      <c r="Q17" s="2833" t="str">
        <f>B17</f>
        <v>交通便捷度</v>
      </c>
      <c r="R17" s="1653" t="s">
        <v>25</v>
      </c>
      <c r="S17" s="1654">
        <f>F17</f>
        <v>100</v>
      </c>
      <c r="T17" s="1653" t="s">
        <v>25</v>
      </c>
      <c r="U17" s="1654">
        <f>H17</f>
        <v>100</v>
      </c>
      <c r="V17" s="1653" t="s">
        <v>25</v>
      </c>
      <c r="W17" s="1654">
        <f>J17</f>
        <v>100</v>
      </c>
      <c r="X17" s="2002"/>
      <c r="Y17" s="3593"/>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593"/>
      <c r="Q18" s="2833"/>
      <c r="R18" s="1653"/>
      <c r="S18" s="1654"/>
      <c r="T18" s="1653"/>
      <c r="U18" s="1654"/>
      <c r="V18" s="1653"/>
      <c r="W18" s="1654"/>
      <c r="X18" s="2002"/>
      <c r="Y18" s="3593"/>
      <c r="Z18" s="2006"/>
      <c r="AA18" s="1997">
        <v>1</v>
      </c>
      <c r="AB18" s="1997">
        <v>1</v>
      </c>
      <c r="AC18" s="1997">
        <v>1</v>
      </c>
    </row>
    <row r="19" spans="1:29" ht="42.75">
      <c r="A19" s="1630"/>
      <c r="B19" s="2412" t="s">
        <v>2146</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593"/>
      <c r="Q19" s="2833" t="str">
        <f>B19</f>
        <v>公共配套设施</v>
      </c>
      <c r="R19" s="1653" t="s">
        <v>25</v>
      </c>
      <c r="S19" s="1654">
        <f>F19</f>
        <v>100</v>
      </c>
      <c r="T19" s="1653" t="s">
        <v>25</v>
      </c>
      <c r="U19" s="1654">
        <f>H19</f>
        <v>100</v>
      </c>
      <c r="V19" s="1653" t="s">
        <v>25</v>
      </c>
      <c r="W19" s="1654">
        <f>J19</f>
        <v>100</v>
      </c>
      <c r="X19" s="2002"/>
      <c r="Y19" s="3593"/>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593"/>
      <c r="Q20" s="2833"/>
      <c r="R20" s="1653"/>
      <c r="S20" s="1654"/>
      <c r="T20" s="1653"/>
      <c r="U20" s="1654"/>
      <c r="V20" s="1653"/>
      <c r="W20" s="1654"/>
      <c r="X20" s="2002"/>
      <c r="Y20" s="3593"/>
      <c r="Z20" s="2006"/>
      <c r="AA20" s="1997">
        <v>1</v>
      </c>
      <c r="AB20" s="1997">
        <v>1</v>
      </c>
      <c r="AC20" s="1997">
        <v>1</v>
      </c>
    </row>
    <row r="21" spans="1:29" ht="28.5">
      <c r="A21" s="1630"/>
      <c r="B21" s="2414" t="s">
        <v>2147</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593"/>
      <c r="Q21" s="2833" t="str">
        <f>B21</f>
        <v>基础设施水平</v>
      </c>
      <c r="R21" s="1653" t="s">
        <v>25</v>
      </c>
      <c r="S21" s="1654">
        <f>F21</f>
        <v>100</v>
      </c>
      <c r="T21" s="1653" t="s">
        <v>25</v>
      </c>
      <c r="U21" s="1654">
        <f>H21</f>
        <v>100</v>
      </c>
      <c r="V21" s="1653" t="s">
        <v>25</v>
      </c>
      <c r="W21" s="1654">
        <f>J21</f>
        <v>100</v>
      </c>
      <c r="X21" s="2002"/>
      <c r="Y21" s="3593"/>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593"/>
      <c r="Q22" s="2833"/>
      <c r="R22" s="1653"/>
      <c r="S22" s="1654"/>
      <c r="T22" s="1653"/>
      <c r="U22" s="1654"/>
      <c r="V22" s="1653"/>
      <c r="W22" s="1654"/>
      <c r="X22" s="2002"/>
      <c r="Y22" s="3593"/>
      <c r="Z22" s="2006"/>
      <c r="AA22" s="1997">
        <v>1</v>
      </c>
      <c r="AB22" s="1997">
        <v>1</v>
      </c>
      <c r="AC22" s="1997">
        <v>1</v>
      </c>
    </row>
    <row r="23" spans="1:29" ht="57">
      <c r="A23" s="1630"/>
      <c r="B23" s="2412" t="s">
        <v>2148</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593"/>
      <c r="Q23" s="2833" t="str">
        <f>B23</f>
        <v>环境质量</v>
      </c>
      <c r="R23" s="1653" t="s">
        <v>25</v>
      </c>
      <c r="S23" s="1654">
        <f>F23</f>
        <v>100</v>
      </c>
      <c r="T23" s="1653" t="s">
        <v>25</v>
      </c>
      <c r="U23" s="1654">
        <f>H23</f>
        <v>100</v>
      </c>
      <c r="V23" s="1653" t="s">
        <v>25</v>
      </c>
      <c r="W23" s="1654">
        <f>J23</f>
        <v>100</v>
      </c>
      <c r="X23" s="2002"/>
      <c r="Y23" s="3593"/>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593"/>
      <c r="Q24" s="2833"/>
      <c r="R24" s="1653"/>
      <c r="S24" s="1654"/>
      <c r="T24" s="1653"/>
      <c r="U24" s="1654"/>
      <c r="V24" s="1653"/>
      <c r="W24" s="1654"/>
      <c r="X24" s="2002"/>
      <c r="Y24" s="3593"/>
      <c r="Z24" s="2006"/>
      <c r="AA24" s="1997">
        <v>1</v>
      </c>
      <c r="AB24" s="1997">
        <v>1</v>
      </c>
      <c r="AC24" s="1997">
        <v>1</v>
      </c>
    </row>
    <row r="25" spans="1:29" ht="27">
      <c r="A25" s="1596"/>
      <c r="B25" s="2412" t="s">
        <v>2149</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593"/>
      <c r="Q25" s="2833" t="str">
        <f>B25</f>
        <v>毗邻道路的类型与等级</v>
      </c>
      <c r="R25" s="1653" t="s">
        <v>25</v>
      </c>
      <c r="S25" s="1654">
        <f>F25</f>
        <v>100</v>
      </c>
      <c r="T25" s="1653" t="s">
        <v>25</v>
      </c>
      <c r="U25" s="1654">
        <f>H25</f>
        <v>100</v>
      </c>
      <c r="V25" s="1653" t="s">
        <v>25</v>
      </c>
      <c r="W25" s="1654">
        <f>J25</f>
        <v>100</v>
      </c>
      <c r="X25" s="2002"/>
      <c r="Y25" s="3593"/>
      <c r="Z25" s="2006" t="str">
        <f>Q25</f>
        <v>毗邻道路的类型与等级</v>
      </c>
      <c r="AA25" s="1997">
        <f t="shared" si="3"/>
        <v>1</v>
      </c>
      <c r="AB25" s="1997">
        <f t="shared" si="4"/>
        <v>1</v>
      </c>
      <c r="AC25" s="1997">
        <f t="shared" si="5"/>
        <v>1</v>
      </c>
    </row>
    <row r="26" spans="1:29" ht="15">
      <c r="A26" s="1596"/>
      <c r="B26" s="2413"/>
      <c r="C26" s="1911"/>
      <c r="D26" s="1639"/>
      <c r="E26" s="1919"/>
      <c r="F26" s="1639"/>
      <c r="G26" s="1911"/>
      <c r="H26" s="1639"/>
      <c r="I26" s="1919"/>
      <c r="J26" s="1639"/>
      <c r="K26" s="2391"/>
      <c r="L26" s="2919"/>
      <c r="M26" s="2915"/>
      <c r="N26" s="2915"/>
      <c r="O26" s="2915"/>
      <c r="P26" s="3593"/>
      <c r="Q26" s="2833"/>
      <c r="R26" s="1653"/>
      <c r="S26" s="1654"/>
      <c r="T26" s="1653"/>
      <c r="U26" s="1654"/>
      <c r="V26" s="1653"/>
      <c r="W26" s="1654"/>
      <c r="X26" s="2002"/>
      <c r="Y26" s="3593"/>
      <c r="Z26" s="2006"/>
      <c r="AA26" s="1997">
        <v>1</v>
      </c>
      <c r="AB26" s="1997">
        <v>1</v>
      </c>
      <c r="AC26" s="1997">
        <v>1</v>
      </c>
    </row>
    <row r="27" spans="1:29" ht="15">
      <c r="A27" s="1630"/>
      <c r="B27" s="2413" t="s">
        <v>2122</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593"/>
      <c r="Q27" s="2833" t="str">
        <f t="shared" ref="Q27:Q47" si="11">B27</f>
        <v>楼层</v>
      </c>
      <c r="R27" s="1653" t="s">
        <v>25</v>
      </c>
      <c r="S27" s="1654">
        <f>F27</f>
        <v>100</v>
      </c>
      <c r="T27" s="1653" t="s">
        <v>25</v>
      </c>
      <c r="U27" s="1654">
        <f>H27</f>
        <v>100</v>
      </c>
      <c r="V27" s="1653" t="s">
        <v>25</v>
      </c>
      <c r="W27" s="1654">
        <f>J27</f>
        <v>100</v>
      </c>
      <c r="X27" s="2002"/>
      <c r="Y27" s="3593"/>
      <c r="Z27" s="2006" t="str">
        <f>Q27</f>
        <v>楼层</v>
      </c>
      <c r="AA27" s="1997">
        <f t="shared" si="3"/>
        <v>1</v>
      </c>
      <c r="AB27" s="1997">
        <f t="shared" si="4"/>
        <v>1</v>
      </c>
      <c r="AC27" s="1997">
        <f t="shared" si="5"/>
        <v>1</v>
      </c>
    </row>
    <row r="28" spans="1:29" s="1613" customFormat="1" ht="15">
      <c r="A28" s="1633"/>
      <c r="B28" s="2412" t="s">
        <v>2150</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593"/>
      <c r="Q28" s="2832" t="str">
        <f t="shared" si="11"/>
        <v>朝向</v>
      </c>
      <c r="R28" s="1609" t="s">
        <v>25</v>
      </c>
      <c r="S28" s="1610">
        <f>F28</f>
        <v>100</v>
      </c>
      <c r="T28" s="1609" t="s">
        <v>25</v>
      </c>
      <c r="U28" s="1610">
        <f>H28</f>
        <v>100</v>
      </c>
      <c r="V28" s="1609" t="s">
        <v>25</v>
      </c>
      <c r="W28" s="1610">
        <f>J28</f>
        <v>100</v>
      </c>
      <c r="X28" s="1611"/>
      <c r="Y28" s="3593"/>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593"/>
      <c r="Q29" s="2833">
        <f t="shared" si="11"/>
        <v>111</v>
      </c>
      <c r="R29" s="1653" t="s">
        <v>25</v>
      </c>
      <c r="S29" s="1654">
        <f t="shared" ref="S29:S47" si="12">F29</f>
        <v>100</v>
      </c>
      <c r="T29" s="1653" t="s">
        <v>25</v>
      </c>
      <c r="U29" s="1654">
        <f t="shared" ref="U29:U47" si="13">H29</f>
        <v>100</v>
      </c>
      <c r="V29" s="1653" t="s">
        <v>25</v>
      </c>
      <c r="W29" s="1654">
        <f t="shared" ref="W29:W47" si="14">J29</f>
        <v>100</v>
      </c>
      <c r="X29" s="2002"/>
      <c r="Y29" s="3593"/>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593"/>
      <c r="Q30" s="2833">
        <f t="shared" si="11"/>
        <v>111</v>
      </c>
      <c r="R30" s="1653" t="s">
        <v>25</v>
      </c>
      <c r="S30" s="1654">
        <f t="shared" si="12"/>
        <v>100</v>
      </c>
      <c r="T30" s="1653" t="s">
        <v>25</v>
      </c>
      <c r="U30" s="1654">
        <f t="shared" si="13"/>
        <v>100</v>
      </c>
      <c r="V30" s="1653" t="s">
        <v>25</v>
      </c>
      <c r="W30" s="1654">
        <f t="shared" si="14"/>
        <v>100</v>
      </c>
      <c r="X30" s="2002"/>
      <c r="Y30" s="3593"/>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593"/>
      <c r="Q31" s="2833">
        <f t="shared" si="11"/>
        <v>111</v>
      </c>
      <c r="R31" s="1653" t="s">
        <v>25</v>
      </c>
      <c r="S31" s="1654">
        <f t="shared" si="12"/>
        <v>100</v>
      </c>
      <c r="T31" s="1653" t="s">
        <v>25</v>
      </c>
      <c r="U31" s="1654">
        <f t="shared" si="13"/>
        <v>100</v>
      </c>
      <c r="V31" s="1653" t="s">
        <v>25</v>
      </c>
      <c r="W31" s="1654">
        <f t="shared" si="14"/>
        <v>100</v>
      </c>
      <c r="X31" s="2002"/>
      <c r="Y31" s="3593"/>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593"/>
      <c r="Q32" s="2833">
        <f t="shared" si="11"/>
        <v>111</v>
      </c>
      <c r="R32" s="1653" t="s">
        <v>25</v>
      </c>
      <c r="S32" s="1654">
        <f t="shared" si="12"/>
        <v>100</v>
      </c>
      <c r="T32" s="1653" t="s">
        <v>25</v>
      </c>
      <c r="U32" s="1654">
        <f t="shared" si="13"/>
        <v>100</v>
      </c>
      <c r="V32" s="1653" t="s">
        <v>25</v>
      </c>
      <c r="W32" s="1654">
        <f t="shared" si="14"/>
        <v>100</v>
      </c>
      <c r="X32" s="2002"/>
      <c r="Y32" s="3593"/>
      <c r="Z32" s="2006">
        <f t="shared" si="15"/>
        <v>111</v>
      </c>
      <c r="AA32" s="1997">
        <f t="shared" si="3"/>
        <v>1</v>
      </c>
      <c r="AB32" s="1997">
        <f t="shared" si="4"/>
        <v>1</v>
      </c>
      <c r="AC32" s="1997">
        <f t="shared" si="5"/>
        <v>1</v>
      </c>
    </row>
    <row r="33" spans="1:29" ht="15">
      <c r="A33" s="1645" t="s">
        <v>2035</v>
      </c>
      <c r="B33" s="1615" t="s">
        <v>2151</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1" t="s">
        <v>2037</v>
      </c>
      <c r="Q33" s="2833" t="str">
        <f t="shared" si="11"/>
        <v>建筑类型</v>
      </c>
      <c r="R33" s="1653" t="s">
        <v>25</v>
      </c>
      <c r="S33" s="1654">
        <f t="shared" si="12"/>
        <v>100</v>
      </c>
      <c r="T33" s="1653" t="s">
        <v>25</v>
      </c>
      <c r="U33" s="1654">
        <f t="shared" si="13"/>
        <v>100</v>
      </c>
      <c r="V33" s="1653" t="s">
        <v>25</v>
      </c>
      <c r="W33" s="1654">
        <f t="shared" si="14"/>
        <v>100</v>
      </c>
      <c r="X33" s="2002"/>
      <c r="Y33" s="3597" t="s">
        <v>2037</v>
      </c>
      <c r="Z33" s="2006" t="str">
        <f t="shared" si="15"/>
        <v>建筑类型</v>
      </c>
      <c r="AA33" s="1997">
        <f t="shared" si="3"/>
        <v>1</v>
      </c>
      <c r="AB33" s="1997">
        <f t="shared" si="4"/>
        <v>1</v>
      </c>
      <c r="AC33" s="1997">
        <f t="shared" si="5"/>
        <v>1</v>
      </c>
    </row>
    <row r="34" spans="1:29" s="1699" customFormat="1" ht="15">
      <c r="A34" s="1692"/>
      <c r="B34" s="1623" t="s">
        <v>2038</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597"/>
      <c r="Q34" s="1694" t="str">
        <f t="shared" si="11"/>
        <v>项目建筑规模</v>
      </c>
      <c r="R34" s="1695" t="s">
        <v>25</v>
      </c>
      <c r="S34" s="1696" t="e">
        <f t="shared" si="12"/>
        <v>#N/A</v>
      </c>
      <c r="T34" s="1695" t="s">
        <v>25</v>
      </c>
      <c r="U34" s="1696" t="e">
        <f t="shared" si="13"/>
        <v>#N/A</v>
      </c>
      <c r="V34" s="1695" t="s">
        <v>25</v>
      </c>
      <c r="W34" s="1696" t="e">
        <f t="shared" si="14"/>
        <v>#N/A</v>
      </c>
      <c r="X34" s="1697"/>
      <c r="Y34" s="3597"/>
      <c r="Z34" s="1698" t="str">
        <f t="shared" si="15"/>
        <v>项目建筑规模</v>
      </c>
      <c r="AA34" s="1997" t="e">
        <f t="shared" si="3"/>
        <v>#N/A</v>
      </c>
      <c r="AB34" s="1997" t="e">
        <f t="shared" si="4"/>
        <v>#N/A</v>
      </c>
      <c r="AC34" s="1997" t="e">
        <f t="shared" si="5"/>
        <v>#N/A</v>
      </c>
    </row>
    <row r="35" spans="1:29" ht="15">
      <c r="A35" s="1700"/>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597"/>
      <c r="Q35" s="2833" t="str">
        <f t="shared" si="11"/>
        <v>建筑结构</v>
      </c>
      <c r="R35" s="1653" t="s">
        <v>25</v>
      </c>
      <c r="S35" s="1654">
        <f t="shared" si="12"/>
        <v>100</v>
      </c>
      <c r="T35" s="1653" t="s">
        <v>25</v>
      </c>
      <c r="U35" s="1654">
        <f t="shared" si="13"/>
        <v>100</v>
      </c>
      <c r="V35" s="1653" t="s">
        <v>25</v>
      </c>
      <c r="W35" s="1654">
        <f t="shared" si="14"/>
        <v>100</v>
      </c>
      <c r="X35" s="2002"/>
      <c r="Y35" s="3597"/>
      <c r="Z35" s="2006" t="str">
        <f t="shared" si="15"/>
        <v>建筑结构</v>
      </c>
      <c r="AA35" s="1997">
        <f t="shared" si="3"/>
        <v>1</v>
      </c>
      <c r="AB35" s="1997">
        <f t="shared" si="4"/>
        <v>1</v>
      </c>
      <c r="AC35" s="1997">
        <f t="shared" si="5"/>
        <v>1</v>
      </c>
    </row>
    <row r="36" spans="1:29" ht="15">
      <c r="A36" s="1700"/>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597"/>
      <c r="Q36" s="2833" t="str">
        <f t="shared" si="11"/>
        <v>公共部分装修</v>
      </c>
      <c r="R36" s="1653" t="s">
        <v>25</v>
      </c>
      <c r="S36" s="1654">
        <f t="shared" si="12"/>
        <v>100</v>
      </c>
      <c r="T36" s="1653" t="s">
        <v>25</v>
      </c>
      <c r="U36" s="1654">
        <f t="shared" si="13"/>
        <v>100</v>
      </c>
      <c r="V36" s="1653" t="s">
        <v>25</v>
      </c>
      <c r="W36" s="1654">
        <f t="shared" si="14"/>
        <v>100</v>
      </c>
      <c r="X36" s="2002"/>
      <c r="Y36" s="3597"/>
      <c r="Z36" s="2006" t="str">
        <f t="shared" si="15"/>
        <v>公共部分装修</v>
      </c>
      <c r="AA36" s="1997">
        <f t="shared" si="3"/>
        <v>1</v>
      </c>
      <c r="AB36" s="1997">
        <f t="shared" si="4"/>
        <v>1</v>
      </c>
      <c r="AC36" s="1997">
        <f t="shared" si="5"/>
        <v>1</v>
      </c>
    </row>
    <row r="37" spans="1:29" ht="15">
      <c r="A37" s="1700"/>
      <c r="B37" s="1623" t="s">
        <v>2125</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597"/>
      <c r="Q37" s="2833" t="str">
        <f t="shared" si="11"/>
        <v>成新度</v>
      </c>
      <c r="R37" s="1653" t="s">
        <v>25</v>
      </c>
      <c r="S37" s="1654" t="e">
        <f t="shared" si="12"/>
        <v>#N/A</v>
      </c>
      <c r="T37" s="1653" t="s">
        <v>25</v>
      </c>
      <c r="U37" s="1654" t="e">
        <f t="shared" si="13"/>
        <v>#N/A</v>
      </c>
      <c r="V37" s="1653" t="s">
        <v>25</v>
      </c>
      <c r="W37" s="1654" t="e">
        <f t="shared" si="14"/>
        <v>#N/A</v>
      </c>
      <c r="X37" s="2002"/>
      <c r="Y37" s="3597"/>
      <c r="Z37" s="2006" t="str">
        <f t="shared" si="15"/>
        <v>成新度</v>
      </c>
      <c r="AA37" s="1997" t="e">
        <f t="shared" si="3"/>
        <v>#N/A</v>
      </c>
      <c r="AB37" s="1997" t="e">
        <f t="shared" si="4"/>
        <v>#N/A</v>
      </c>
      <c r="AC37" s="1997" t="e">
        <f t="shared" si="5"/>
        <v>#N/A</v>
      </c>
    </row>
    <row r="38" spans="1:29" s="1613" customFormat="1" ht="15">
      <c r="A38" s="1703"/>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597"/>
      <c r="Q38" s="2832" t="str">
        <f t="shared" si="11"/>
        <v>写字楼等级</v>
      </c>
      <c r="R38" s="1609" t="s">
        <v>25</v>
      </c>
      <c r="S38" s="1610">
        <f t="shared" si="12"/>
        <v>100</v>
      </c>
      <c r="T38" s="1609" t="s">
        <v>25</v>
      </c>
      <c r="U38" s="1610">
        <f t="shared" si="13"/>
        <v>100</v>
      </c>
      <c r="V38" s="1609" t="s">
        <v>25</v>
      </c>
      <c r="W38" s="1610">
        <f t="shared" si="14"/>
        <v>100</v>
      </c>
      <c r="X38" s="1611"/>
      <c r="Y38" s="3597"/>
      <c r="Z38" s="1621" t="str">
        <f t="shared" si="15"/>
        <v>写字楼等级</v>
      </c>
      <c r="AA38" s="1612">
        <f t="shared" si="3"/>
        <v>1</v>
      </c>
      <c r="AB38" s="1612">
        <f t="shared" si="4"/>
        <v>1</v>
      </c>
      <c r="AC38" s="1612">
        <f t="shared" si="5"/>
        <v>1</v>
      </c>
    </row>
    <row r="39" spans="1:29" ht="15">
      <c r="A39" s="1700"/>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597" t="s">
        <v>2037</v>
      </c>
      <c r="Q39" s="2833" t="str">
        <f t="shared" si="11"/>
        <v>物业管理</v>
      </c>
      <c r="R39" s="1653" t="s">
        <v>25</v>
      </c>
      <c r="S39" s="1654">
        <f t="shared" si="12"/>
        <v>100</v>
      </c>
      <c r="T39" s="1653" t="s">
        <v>25</v>
      </c>
      <c r="U39" s="1654">
        <f t="shared" si="13"/>
        <v>100</v>
      </c>
      <c r="V39" s="1653" t="s">
        <v>25</v>
      </c>
      <c r="W39" s="1654">
        <f t="shared" si="14"/>
        <v>100</v>
      </c>
      <c r="X39" s="2002"/>
      <c r="Y39" s="3597" t="s">
        <v>2037</v>
      </c>
      <c r="Z39" s="2006" t="str">
        <f t="shared" si="15"/>
        <v>物业管理</v>
      </c>
      <c r="AA39" s="1997">
        <f t="shared" si="3"/>
        <v>1</v>
      </c>
      <c r="AB39" s="1997">
        <f t="shared" si="4"/>
        <v>1</v>
      </c>
      <c r="AC39" s="1997">
        <f t="shared" si="5"/>
        <v>1</v>
      </c>
    </row>
    <row r="40" spans="1:29" ht="15">
      <c r="A40" s="1700"/>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597"/>
      <c r="Q40" s="2833" t="str">
        <f t="shared" si="11"/>
        <v>市政基础设施</v>
      </c>
      <c r="R40" s="1653" t="s">
        <v>25</v>
      </c>
      <c r="S40" s="1654">
        <f t="shared" si="12"/>
        <v>100</v>
      </c>
      <c r="T40" s="1653" t="s">
        <v>25</v>
      </c>
      <c r="U40" s="1654">
        <f t="shared" si="13"/>
        <v>100</v>
      </c>
      <c r="V40" s="1653" t="s">
        <v>25</v>
      </c>
      <c r="W40" s="1654">
        <f t="shared" si="14"/>
        <v>100</v>
      </c>
      <c r="X40" s="2002"/>
      <c r="Y40" s="3597"/>
      <c r="Z40" s="2006" t="str">
        <f t="shared" si="15"/>
        <v>市政基础设施</v>
      </c>
      <c r="AA40" s="1997">
        <f t="shared" si="3"/>
        <v>1</v>
      </c>
      <c r="AB40" s="1997">
        <f t="shared" si="4"/>
        <v>1</v>
      </c>
      <c r="AC40" s="1997">
        <f t="shared" si="5"/>
        <v>1</v>
      </c>
    </row>
    <row r="41" spans="1:29" ht="15">
      <c r="A41" s="1700"/>
      <c r="B41" s="1623" t="s">
        <v>2128</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597"/>
      <c r="Q41" s="2833" t="str">
        <f t="shared" si="11"/>
        <v>层高</v>
      </c>
      <c r="R41" s="1653" t="s">
        <v>25</v>
      </c>
      <c r="S41" s="1654">
        <f t="shared" si="12"/>
        <v>100</v>
      </c>
      <c r="T41" s="1653" t="s">
        <v>25</v>
      </c>
      <c r="U41" s="1654">
        <f t="shared" si="13"/>
        <v>100</v>
      </c>
      <c r="V41" s="1653" t="s">
        <v>25</v>
      </c>
      <c r="W41" s="1654">
        <f t="shared" si="14"/>
        <v>100</v>
      </c>
      <c r="X41" s="2002"/>
      <c r="Y41" s="3597"/>
      <c r="Z41" s="2006" t="str">
        <f t="shared" si="15"/>
        <v>层高</v>
      </c>
      <c r="AA41" s="1997">
        <f t="shared" si="3"/>
        <v>1</v>
      </c>
      <c r="AB41" s="1997">
        <f t="shared" si="4"/>
        <v>1</v>
      </c>
      <c r="AC41" s="1997">
        <f t="shared" si="5"/>
        <v>1</v>
      </c>
    </row>
    <row r="42" spans="1:29" s="1699" customFormat="1" ht="15">
      <c r="A42" s="1692"/>
      <c r="B42" s="1998"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597"/>
      <c r="Q42" s="1694" t="str">
        <f t="shared" si="11"/>
        <v>单套建筑面积</v>
      </c>
      <c r="R42" s="1695" t="s">
        <v>25</v>
      </c>
      <c r="S42" s="1696">
        <f t="shared" si="12"/>
        <v>100</v>
      </c>
      <c r="T42" s="1695" t="s">
        <v>25</v>
      </c>
      <c r="U42" s="1696">
        <f t="shared" si="13"/>
        <v>100</v>
      </c>
      <c r="V42" s="1695" t="s">
        <v>25</v>
      </c>
      <c r="W42" s="1696">
        <f t="shared" si="14"/>
        <v>100</v>
      </c>
      <c r="X42" s="1697"/>
      <c r="Y42" s="3597"/>
      <c r="Z42" s="1698" t="str">
        <f t="shared" si="15"/>
        <v>单套建筑面积</v>
      </c>
      <c r="AA42" s="1997">
        <f t="shared" si="3"/>
        <v>1</v>
      </c>
      <c r="AB42" s="1997">
        <f t="shared" si="4"/>
        <v>1</v>
      </c>
      <c r="AC42" s="1997">
        <f t="shared" si="5"/>
        <v>1</v>
      </c>
    </row>
    <row r="43" spans="1:29" ht="15">
      <c r="A43" s="1700"/>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597"/>
      <c r="Q43" s="2833" t="str">
        <f t="shared" si="11"/>
        <v>内部装修</v>
      </c>
      <c r="R43" s="1653" t="s">
        <v>25</v>
      </c>
      <c r="S43" s="1654">
        <f t="shared" si="12"/>
        <v>100</v>
      </c>
      <c r="T43" s="1653" t="s">
        <v>25</v>
      </c>
      <c r="U43" s="1654">
        <f t="shared" si="13"/>
        <v>100</v>
      </c>
      <c r="V43" s="1653" t="s">
        <v>25</v>
      </c>
      <c r="W43" s="1654">
        <f t="shared" si="14"/>
        <v>100</v>
      </c>
      <c r="X43" s="2002"/>
      <c r="Y43" s="3597"/>
      <c r="Z43" s="2006" t="str">
        <f t="shared" si="15"/>
        <v>内部装修</v>
      </c>
      <c r="AA43" s="1997">
        <f t="shared" si="3"/>
        <v>1</v>
      </c>
      <c r="AB43" s="1997">
        <f t="shared" si="4"/>
        <v>1</v>
      </c>
      <c r="AC43" s="1997">
        <f t="shared" si="5"/>
        <v>1</v>
      </c>
    </row>
    <row r="44" spans="1:29" ht="15">
      <c r="A44" s="1700"/>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597"/>
      <c r="Q44" s="2833" t="str">
        <f t="shared" si="11"/>
        <v>内部装修维护情况</v>
      </c>
      <c r="R44" s="1653" t="s">
        <v>25</v>
      </c>
      <c r="S44" s="1654">
        <f t="shared" si="12"/>
        <v>100</v>
      </c>
      <c r="T44" s="1653" t="s">
        <v>25</v>
      </c>
      <c r="U44" s="1654">
        <f t="shared" si="13"/>
        <v>100</v>
      </c>
      <c r="V44" s="1653" t="s">
        <v>25</v>
      </c>
      <c r="W44" s="1654">
        <f t="shared" si="14"/>
        <v>100</v>
      </c>
      <c r="X44" s="2002"/>
      <c r="Y44" s="3597"/>
      <c r="Z44" s="2006" t="str">
        <f t="shared" si="15"/>
        <v>内部装修维护情况</v>
      </c>
      <c r="AA44" s="1997">
        <f t="shared" si="3"/>
        <v>1</v>
      </c>
      <c r="AB44" s="1997">
        <f t="shared" si="4"/>
        <v>1</v>
      </c>
      <c r="AC44" s="1997">
        <f t="shared" si="5"/>
        <v>1</v>
      </c>
    </row>
    <row r="45" spans="1:29" s="1613"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597"/>
      <c r="Q45" s="2832">
        <f t="shared" si="11"/>
        <v>111</v>
      </c>
      <c r="R45" s="1609" t="s">
        <v>25</v>
      </c>
      <c r="S45" s="1610">
        <f t="shared" si="12"/>
        <v>100</v>
      </c>
      <c r="T45" s="1609" t="s">
        <v>25</v>
      </c>
      <c r="U45" s="1610">
        <f t="shared" si="13"/>
        <v>100</v>
      </c>
      <c r="V45" s="1609" t="s">
        <v>25</v>
      </c>
      <c r="W45" s="1610">
        <f t="shared" si="14"/>
        <v>100</v>
      </c>
      <c r="X45" s="1611"/>
      <c r="Y45" s="3597"/>
      <c r="Z45" s="1621">
        <f t="shared" si="15"/>
        <v>111</v>
      </c>
      <c r="AA45" s="1612">
        <f t="shared" si="3"/>
        <v>1</v>
      </c>
      <c r="AB45" s="1612">
        <f t="shared" si="4"/>
        <v>1</v>
      </c>
      <c r="AC45" s="1612">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597"/>
      <c r="Q46" s="2833">
        <f t="shared" si="11"/>
        <v>111</v>
      </c>
      <c r="R46" s="1653" t="s">
        <v>25</v>
      </c>
      <c r="S46" s="1654">
        <f t="shared" si="12"/>
        <v>100</v>
      </c>
      <c r="T46" s="1653" t="s">
        <v>25</v>
      </c>
      <c r="U46" s="1654">
        <f t="shared" si="13"/>
        <v>100</v>
      </c>
      <c r="V46" s="1653" t="s">
        <v>25</v>
      </c>
      <c r="W46" s="1654">
        <f t="shared" si="14"/>
        <v>100</v>
      </c>
      <c r="X46" s="2002"/>
      <c r="Y46" s="3597"/>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598"/>
      <c r="Q47" s="2833">
        <f t="shared" si="11"/>
        <v>111</v>
      </c>
      <c r="R47" s="1653" t="s">
        <v>25</v>
      </c>
      <c r="S47" s="1654">
        <f t="shared" si="12"/>
        <v>100</v>
      </c>
      <c r="T47" s="1653" t="s">
        <v>25</v>
      </c>
      <c r="U47" s="1654">
        <f t="shared" si="13"/>
        <v>100</v>
      </c>
      <c r="V47" s="1653" t="s">
        <v>25</v>
      </c>
      <c r="W47" s="1654">
        <f t="shared" si="14"/>
        <v>100</v>
      </c>
      <c r="X47" s="2002"/>
      <c r="Y47" s="3598"/>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589" t="str">
        <f>A48</f>
        <v>成交单价（元/平方米）</v>
      </c>
      <c r="Q48" s="3589"/>
      <c r="R48" s="3585">
        <f>E48</f>
        <v>0</v>
      </c>
      <c r="S48" s="3585"/>
      <c r="T48" s="3585">
        <f>G48</f>
        <v>0</v>
      </c>
      <c r="U48" s="3585"/>
      <c r="V48" s="3585">
        <f>I48</f>
        <v>0</v>
      </c>
      <c r="W48" s="3585"/>
      <c r="X48" s="1719"/>
      <c r="Y48" s="2001"/>
      <c r="Z48" s="1719"/>
      <c r="AA48" s="1719"/>
      <c r="AB48" s="1719"/>
      <c r="AC48" s="1719"/>
    </row>
    <row r="49" spans="1:29" ht="15.75" thickBot="1">
      <c r="A49" s="1721" t="s">
        <v>2132</v>
      </c>
      <c r="B49" s="1722"/>
      <c r="C49" s="1723" t="e">
        <f>R50</f>
        <v>#DIV/0!</v>
      </c>
      <c r="D49" s="1724" t="s">
        <v>2503</v>
      </c>
      <c r="E49" s="1725" t="e">
        <f>R49</f>
        <v>#DIV/0!</v>
      </c>
      <c r="F49" s="1726"/>
      <c r="G49" s="1723" t="e">
        <f>T49</f>
        <v>#DIV/0!</v>
      </c>
      <c r="H49" s="1726"/>
      <c r="I49" s="1725" t="e">
        <f>V49</f>
        <v>#DIV/0!</v>
      </c>
      <c r="J49" s="1726"/>
      <c r="K49" s="2428">
        <f>F49+H49+J49</f>
        <v>0</v>
      </c>
      <c r="L49" s="2920"/>
      <c r="M49" s="2915"/>
      <c r="N49" s="2915"/>
      <c r="O49" s="2915"/>
      <c r="P49" s="3589" t="str">
        <f>A49</f>
        <v>比较价值（元/平方米）</v>
      </c>
      <c r="Q49" s="3589"/>
      <c r="R49" s="3585" t="e">
        <f>IF(E1="售价",ROUND(PRODUCT(R48,AA7:AA47),0),ROUND(PRODUCT(R48,AA7:AA47),1))</f>
        <v>#DIV/0!</v>
      </c>
      <c r="S49" s="3585"/>
      <c r="T49" s="3585" t="e">
        <f>IF(E1="售价",ROUND(PRODUCT(T48,AB7:AB47),0),ROUND(PRODUCT(T48,AB7:AB47),1))</f>
        <v>#DIV/0!</v>
      </c>
      <c r="U49" s="3585"/>
      <c r="V49" s="3585" t="e">
        <f>IF(E1="售价",ROUND(PRODUCT(V48,AC7:AC47),0),ROUND(PRODUCT(V48,AC7:AC47),1))</f>
        <v>#DIV/0!</v>
      </c>
      <c r="W49" s="3585"/>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586" t="str">
        <f>A50</f>
        <v>估价对象XX用房的比较价值（楼面单价，元/平方米）</v>
      </c>
      <c r="Q50" s="3587"/>
      <c r="R50" s="3588" t="e">
        <f>IF(E1="售价",ROUND(IF(D49="简单平均",AVERAGE(R49:V49),R49*F49+T49*H49+V49*J49),0),ROUND(IF(D49="简单平均",AVERAGE(R49:V49),R49*F49+T49*H49+V49*J49),1))</f>
        <v>#DIV/0!</v>
      </c>
      <c r="S50" s="3588"/>
      <c r="T50" s="3588"/>
      <c r="U50" s="3588"/>
      <c r="V50" s="3588"/>
      <c r="W50" s="3588"/>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2022-9</v>
      </c>
      <c r="D59" s="1753">
        <f>EDATE(C59,-1)</f>
        <v>44774</v>
      </c>
      <c r="E59" s="1753">
        <f t="shared" ref="E59:O59" si="16">EDATE(D59,-1)</f>
        <v>44743</v>
      </c>
      <c r="F59" s="1753">
        <f t="shared" si="16"/>
        <v>44713</v>
      </c>
      <c r="G59" s="1753">
        <f t="shared" si="16"/>
        <v>44682</v>
      </c>
      <c r="H59" s="1753">
        <f t="shared" si="16"/>
        <v>44652</v>
      </c>
      <c r="I59" s="1753">
        <f t="shared" si="16"/>
        <v>44621</v>
      </c>
      <c r="J59" s="1753">
        <f t="shared" si="16"/>
        <v>44593</v>
      </c>
      <c r="K59" s="1753">
        <f t="shared" si="16"/>
        <v>44562</v>
      </c>
      <c r="L59" s="1753">
        <f t="shared" si="16"/>
        <v>44531</v>
      </c>
      <c r="M59" s="1753">
        <f t="shared" si="16"/>
        <v>44501</v>
      </c>
      <c r="N59" s="1753">
        <f t="shared" si="16"/>
        <v>44470</v>
      </c>
      <c r="O59" s="1753">
        <f t="shared" si="16"/>
        <v>44440</v>
      </c>
      <c r="P59" s="2421"/>
    </row>
    <row r="60" spans="1:29" s="1613" customFormat="1" ht="15">
      <c r="A60" s="1756"/>
      <c r="B60" s="1757"/>
      <c r="C60" s="1758">
        <v>100</v>
      </c>
      <c r="D60" s="1759"/>
      <c r="E60" s="1759"/>
      <c r="F60" s="1759"/>
      <c r="G60" s="1759"/>
      <c r="H60" s="1759"/>
      <c r="I60" s="1759"/>
      <c r="J60" s="1759"/>
      <c r="K60" s="1759"/>
      <c r="L60" s="1759"/>
      <c r="M60" s="1760"/>
      <c r="N60" s="1759"/>
      <c r="O60" s="1773"/>
      <c r="P60" s="1749"/>
    </row>
    <row r="61" spans="1:29" s="1613"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3"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3"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3"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3"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3"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3"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6"/>
      <c r="H95" s="1506"/>
      <c r="I95" s="1506"/>
      <c r="J95" s="1506"/>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6"/>
      <c r="H97" s="1506"/>
      <c r="I97" s="1506"/>
      <c r="J97" s="1506"/>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6"/>
      <c r="F106" s="1506"/>
      <c r="G106" s="1506"/>
      <c r="H106" s="1506"/>
      <c r="I106" s="1506"/>
      <c r="J106" s="1506"/>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6"/>
      <c r="G108" s="1506"/>
      <c r="H108" s="1506"/>
      <c r="I108" s="1506"/>
      <c r="J108" s="1506"/>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6"/>
      <c r="I113" s="1506"/>
      <c r="J113" s="1506"/>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6"/>
      <c r="F115" s="1506"/>
      <c r="G115" s="1506"/>
      <c r="H115" s="1506"/>
      <c r="I115" s="1506"/>
      <c r="J115" s="1506"/>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6"/>
      <c r="I117" s="1506"/>
      <c r="J117" s="1506"/>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6"/>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6"/>
      <c r="G123" s="1506"/>
      <c r="H123" s="1506"/>
      <c r="I123" s="1506"/>
      <c r="J123" s="1506"/>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6"/>
      <c r="H129" s="1506"/>
      <c r="I129" s="1506"/>
      <c r="J129" s="1506"/>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71.38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44817</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2" t="s">
        <v>2026</v>
      </c>
      <c r="Q9" s="1255"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2"/>
      <c r="Q10" s="1255"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2"/>
      <c r="Q11" s="1255"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32"/>
      <c r="Q14" s="1255">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49" t="s">
        <v>2031</v>
      </c>
      <c r="Q15" s="1262" t="str">
        <f t="shared" si="6"/>
        <v>产业集聚程度</v>
      </c>
      <c r="R15" s="631" t="s">
        <v>25</v>
      </c>
      <c r="S15" s="632">
        <f t="shared" si="0"/>
        <v>100</v>
      </c>
      <c r="T15" s="631" t="s">
        <v>25</v>
      </c>
      <c r="U15" s="632">
        <f t="shared" si="1"/>
        <v>100</v>
      </c>
      <c r="V15" s="631" t="s">
        <v>25</v>
      </c>
      <c r="W15" s="632">
        <f t="shared" si="2"/>
        <v>100</v>
      </c>
      <c r="X15" s="1263"/>
      <c r="Y15" s="3649"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50"/>
      <c r="Q16" s="1262"/>
      <c r="R16" s="631"/>
      <c r="S16" s="632"/>
      <c r="T16" s="631"/>
      <c r="U16" s="632"/>
      <c r="V16" s="631"/>
      <c r="W16" s="632"/>
      <c r="X16" s="1263"/>
      <c r="Y16" s="3650"/>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0"/>
      <c r="Q17" s="1262" t="str">
        <f>B17</f>
        <v>交通便捷度</v>
      </c>
      <c r="R17" s="631" t="s">
        <v>25</v>
      </c>
      <c r="S17" s="632">
        <f>F17</f>
        <v>100</v>
      </c>
      <c r="T17" s="631" t="s">
        <v>25</v>
      </c>
      <c r="U17" s="632">
        <f>H17</f>
        <v>100</v>
      </c>
      <c r="V17" s="631" t="s">
        <v>25</v>
      </c>
      <c r="W17" s="632">
        <f>J17</f>
        <v>100</v>
      </c>
      <c r="X17" s="1263"/>
      <c r="Y17" s="3650"/>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50"/>
      <c r="Q18" s="1262"/>
      <c r="R18" s="631"/>
      <c r="S18" s="632"/>
      <c r="T18" s="631"/>
      <c r="U18" s="632"/>
      <c r="V18" s="631"/>
      <c r="W18" s="632"/>
      <c r="X18" s="1263"/>
      <c r="Y18" s="3650"/>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0"/>
      <c r="Q19" s="1262" t="str">
        <f>B19</f>
        <v>公共配套设施</v>
      </c>
      <c r="R19" s="631" t="s">
        <v>25</v>
      </c>
      <c r="S19" s="632">
        <f>F19</f>
        <v>100</v>
      </c>
      <c r="T19" s="631" t="s">
        <v>25</v>
      </c>
      <c r="U19" s="632">
        <f>H19</f>
        <v>100</v>
      </c>
      <c r="V19" s="631" t="s">
        <v>25</v>
      </c>
      <c r="W19" s="632">
        <f>J19</f>
        <v>100</v>
      </c>
      <c r="X19" s="1263"/>
      <c r="Y19" s="3650"/>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50"/>
      <c r="Q20" s="1262"/>
      <c r="R20" s="631"/>
      <c r="S20" s="632"/>
      <c r="T20" s="631"/>
      <c r="U20" s="632"/>
      <c r="V20" s="631"/>
      <c r="W20" s="632"/>
      <c r="X20" s="1263"/>
      <c r="Y20" s="3650"/>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0"/>
      <c r="Q21" s="1262" t="str">
        <f>B21</f>
        <v>基础设施水平</v>
      </c>
      <c r="R21" s="631" t="s">
        <v>25</v>
      </c>
      <c r="S21" s="632">
        <f>F21</f>
        <v>100</v>
      </c>
      <c r="T21" s="631" t="s">
        <v>25</v>
      </c>
      <c r="U21" s="632">
        <f>H21</f>
        <v>100</v>
      </c>
      <c r="V21" s="631" t="s">
        <v>25</v>
      </c>
      <c r="W21" s="632">
        <f>J21</f>
        <v>100</v>
      </c>
      <c r="X21" s="1263"/>
      <c r="Y21" s="3650"/>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50"/>
      <c r="Q22" s="1262"/>
      <c r="R22" s="631"/>
      <c r="S22" s="632"/>
      <c r="T22" s="631"/>
      <c r="U22" s="632"/>
      <c r="V22" s="631"/>
      <c r="W22" s="632"/>
      <c r="X22" s="1263"/>
      <c r="Y22" s="3650"/>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0"/>
      <c r="Q23" s="1262" t="str">
        <f>B23</f>
        <v>环境质量</v>
      </c>
      <c r="R23" s="631" t="s">
        <v>25</v>
      </c>
      <c r="S23" s="632">
        <f>F23</f>
        <v>100</v>
      </c>
      <c r="T23" s="631" t="s">
        <v>25</v>
      </c>
      <c r="U23" s="632">
        <f>H23</f>
        <v>100</v>
      </c>
      <c r="V23" s="631" t="s">
        <v>25</v>
      </c>
      <c r="W23" s="632">
        <f>J23</f>
        <v>100</v>
      </c>
      <c r="X23" s="1263"/>
      <c r="Y23" s="3650"/>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50"/>
      <c r="Q24" s="1262"/>
      <c r="R24" s="631"/>
      <c r="S24" s="632"/>
      <c r="T24" s="631"/>
      <c r="U24" s="632"/>
      <c r="V24" s="631"/>
      <c r="W24" s="632"/>
      <c r="X24" s="1263"/>
      <c r="Y24" s="3650"/>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0"/>
      <c r="Q25" s="1262">
        <f>B25</f>
        <v>111</v>
      </c>
      <c r="R25" s="631" t="s">
        <v>25</v>
      </c>
      <c r="S25" s="632">
        <f>F25</f>
        <v>100</v>
      </c>
      <c r="T25" s="631" t="s">
        <v>25</v>
      </c>
      <c r="U25" s="632">
        <f>H25</f>
        <v>100</v>
      </c>
      <c r="V25" s="631" t="s">
        <v>25</v>
      </c>
      <c r="W25" s="632">
        <f>J25</f>
        <v>100</v>
      </c>
      <c r="X25" s="1263"/>
      <c r="Y25" s="3650"/>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0"/>
      <c r="Q26" s="1262">
        <f t="shared" ref="Q26:Q40" si="11">B26</f>
        <v>111</v>
      </c>
      <c r="R26" s="631" t="s">
        <v>25</v>
      </c>
      <c r="S26" s="632">
        <f>F26</f>
        <v>100</v>
      </c>
      <c r="T26" s="631" t="s">
        <v>25</v>
      </c>
      <c r="U26" s="632">
        <f>H26</f>
        <v>100</v>
      </c>
      <c r="V26" s="631" t="s">
        <v>25</v>
      </c>
      <c r="W26" s="632">
        <f>J26</f>
        <v>100</v>
      </c>
      <c r="X26" s="1263"/>
      <c r="Y26" s="3650"/>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0"/>
      <c r="Q27" s="1255">
        <f t="shared" si="11"/>
        <v>111</v>
      </c>
      <c r="R27" s="627" t="s">
        <v>25</v>
      </c>
      <c r="S27" s="628">
        <f>F27</f>
        <v>100</v>
      </c>
      <c r="T27" s="627" t="s">
        <v>25</v>
      </c>
      <c r="U27" s="628">
        <f>H27</f>
        <v>100</v>
      </c>
      <c r="V27" s="627" t="s">
        <v>25</v>
      </c>
      <c r="W27" s="628">
        <f>J27</f>
        <v>100</v>
      </c>
      <c r="X27" s="629"/>
      <c r="Y27" s="3650"/>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0"/>
      <c r="Q28" s="1262">
        <f t="shared" si="11"/>
        <v>111</v>
      </c>
      <c r="R28" s="631" t="s">
        <v>25</v>
      </c>
      <c r="S28" s="632">
        <f t="shared" ref="S28:S40" si="12">F28</f>
        <v>100</v>
      </c>
      <c r="T28" s="631" t="s">
        <v>25</v>
      </c>
      <c r="U28" s="632">
        <f t="shared" ref="U28:U40" si="13">H28</f>
        <v>100</v>
      </c>
      <c r="V28" s="631" t="s">
        <v>25</v>
      </c>
      <c r="W28" s="632">
        <f t="shared" ref="W28:W40" si="14">J28</f>
        <v>100</v>
      </c>
      <c r="X28" s="1263"/>
      <c r="Y28" s="3650"/>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37" t="s">
        <v>2037</v>
      </c>
      <c r="Q29" s="1262" t="str">
        <f t="shared" si="11"/>
        <v>建筑类型</v>
      </c>
      <c r="R29" s="631" t="s">
        <v>25</v>
      </c>
      <c r="S29" s="632">
        <f t="shared" si="12"/>
        <v>100</v>
      </c>
      <c r="T29" s="631" t="s">
        <v>25</v>
      </c>
      <c r="U29" s="632">
        <f t="shared" si="13"/>
        <v>100</v>
      </c>
      <c r="V29" s="631" t="s">
        <v>25</v>
      </c>
      <c r="W29" s="632">
        <f t="shared" si="14"/>
        <v>100</v>
      </c>
      <c r="X29" s="1263"/>
      <c r="Y29" s="363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38"/>
      <c r="Q30" s="633" t="str">
        <f t="shared" si="11"/>
        <v>项目建筑规模</v>
      </c>
      <c r="R30" s="634" t="s">
        <v>25</v>
      </c>
      <c r="S30" s="635" t="e">
        <f t="shared" si="12"/>
        <v>#N/A</v>
      </c>
      <c r="T30" s="634" t="s">
        <v>25</v>
      </c>
      <c r="U30" s="635" t="e">
        <f t="shared" si="13"/>
        <v>#N/A</v>
      </c>
      <c r="V30" s="634" t="s">
        <v>25</v>
      </c>
      <c r="W30" s="635" t="e">
        <f t="shared" si="14"/>
        <v>#N/A</v>
      </c>
      <c r="X30" s="636"/>
      <c r="Y30" s="363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38"/>
      <c r="Q31" s="1262" t="str">
        <f t="shared" si="11"/>
        <v>建筑结构</v>
      </c>
      <c r="R31" s="631" t="s">
        <v>25</v>
      </c>
      <c r="S31" s="632">
        <f t="shared" si="12"/>
        <v>100</v>
      </c>
      <c r="T31" s="631" t="s">
        <v>25</v>
      </c>
      <c r="U31" s="632">
        <f t="shared" si="13"/>
        <v>100</v>
      </c>
      <c r="V31" s="631" t="s">
        <v>25</v>
      </c>
      <c r="W31" s="632">
        <f t="shared" si="14"/>
        <v>100</v>
      </c>
      <c r="X31" s="1263"/>
      <c r="Y31" s="363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38"/>
      <c r="Q32" s="1262" t="str">
        <f t="shared" si="11"/>
        <v>公共部分装修</v>
      </c>
      <c r="R32" s="631" t="s">
        <v>25</v>
      </c>
      <c r="S32" s="632">
        <f t="shared" si="12"/>
        <v>100</v>
      </c>
      <c r="T32" s="631" t="s">
        <v>25</v>
      </c>
      <c r="U32" s="632">
        <f t="shared" si="13"/>
        <v>100</v>
      </c>
      <c r="V32" s="631" t="s">
        <v>25</v>
      </c>
      <c r="W32" s="632">
        <f t="shared" si="14"/>
        <v>100</v>
      </c>
      <c r="X32" s="1263"/>
      <c r="Y32" s="363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38"/>
      <c r="Q33" s="1262" t="str">
        <f t="shared" si="11"/>
        <v>成新度</v>
      </c>
      <c r="R33" s="631" t="s">
        <v>25</v>
      </c>
      <c r="S33" s="632" t="e">
        <f t="shared" si="12"/>
        <v>#N/A</v>
      </c>
      <c r="T33" s="631" t="s">
        <v>25</v>
      </c>
      <c r="U33" s="632" t="e">
        <f t="shared" si="13"/>
        <v>#N/A</v>
      </c>
      <c r="V33" s="631" t="s">
        <v>25</v>
      </c>
      <c r="W33" s="632" t="e">
        <f t="shared" si="14"/>
        <v>#N/A</v>
      </c>
      <c r="X33" s="1263"/>
      <c r="Y33" s="363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38"/>
      <c r="Q34" s="1255" t="str">
        <f t="shared" si="11"/>
        <v>物业管理</v>
      </c>
      <c r="R34" s="627" t="s">
        <v>25</v>
      </c>
      <c r="S34" s="628">
        <f t="shared" si="12"/>
        <v>100</v>
      </c>
      <c r="T34" s="627" t="s">
        <v>25</v>
      </c>
      <c r="U34" s="628">
        <f t="shared" si="13"/>
        <v>100</v>
      </c>
      <c r="V34" s="627" t="s">
        <v>25</v>
      </c>
      <c r="W34" s="628">
        <f t="shared" si="14"/>
        <v>100</v>
      </c>
      <c r="X34" s="629"/>
      <c r="Y34" s="363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38" t="s">
        <v>2037</v>
      </c>
      <c r="Q35" s="1262" t="str">
        <f t="shared" si="11"/>
        <v>市政基础设施</v>
      </c>
      <c r="R35" s="631" t="s">
        <v>25</v>
      </c>
      <c r="S35" s="632">
        <f t="shared" si="12"/>
        <v>100</v>
      </c>
      <c r="T35" s="631" t="s">
        <v>25</v>
      </c>
      <c r="U35" s="632">
        <f t="shared" si="13"/>
        <v>100</v>
      </c>
      <c r="V35" s="631" t="s">
        <v>25</v>
      </c>
      <c r="W35" s="632">
        <f t="shared" si="14"/>
        <v>100</v>
      </c>
      <c r="X35" s="1263"/>
      <c r="Y35" s="363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38"/>
      <c r="Q36" s="1262" t="str">
        <f t="shared" si="11"/>
        <v>内部装修</v>
      </c>
      <c r="R36" s="631" t="s">
        <v>25</v>
      </c>
      <c r="S36" s="632">
        <f t="shared" si="12"/>
        <v>100</v>
      </c>
      <c r="T36" s="631" t="s">
        <v>25</v>
      </c>
      <c r="U36" s="632">
        <f t="shared" si="13"/>
        <v>100</v>
      </c>
      <c r="V36" s="631" t="s">
        <v>25</v>
      </c>
      <c r="W36" s="632">
        <f t="shared" si="14"/>
        <v>100</v>
      </c>
      <c r="X36" s="1263"/>
      <c r="Y36" s="363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38"/>
      <c r="Q37" s="1262" t="str">
        <f t="shared" si="11"/>
        <v>内部装修状况</v>
      </c>
      <c r="R37" s="631" t="s">
        <v>25</v>
      </c>
      <c r="S37" s="632">
        <f t="shared" si="12"/>
        <v>100</v>
      </c>
      <c r="T37" s="631" t="s">
        <v>25</v>
      </c>
      <c r="U37" s="632">
        <f t="shared" si="13"/>
        <v>100</v>
      </c>
      <c r="V37" s="631" t="s">
        <v>25</v>
      </c>
      <c r="W37" s="632">
        <f t="shared" si="14"/>
        <v>100</v>
      </c>
      <c r="X37" s="1263"/>
      <c r="Y37" s="363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38"/>
      <c r="Q38" s="633">
        <f t="shared" si="11"/>
        <v>111</v>
      </c>
      <c r="R38" s="634" t="s">
        <v>25</v>
      </c>
      <c r="S38" s="635">
        <f t="shared" si="12"/>
        <v>100</v>
      </c>
      <c r="T38" s="634" t="s">
        <v>25</v>
      </c>
      <c r="U38" s="635">
        <f t="shared" si="13"/>
        <v>100</v>
      </c>
      <c r="V38" s="634" t="s">
        <v>25</v>
      </c>
      <c r="W38" s="635">
        <f t="shared" si="14"/>
        <v>100</v>
      </c>
      <c r="X38" s="636"/>
      <c r="Y38" s="363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38"/>
      <c r="Q39" s="1262">
        <f t="shared" si="11"/>
        <v>111</v>
      </c>
      <c r="R39" s="631" t="s">
        <v>25</v>
      </c>
      <c r="S39" s="632">
        <f t="shared" si="12"/>
        <v>100</v>
      </c>
      <c r="T39" s="631" t="s">
        <v>25</v>
      </c>
      <c r="U39" s="632">
        <f t="shared" si="13"/>
        <v>100</v>
      </c>
      <c r="V39" s="631" t="s">
        <v>25</v>
      </c>
      <c r="W39" s="632">
        <f t="shared" si="14"/>
        <v>100</v>
      </c>
      <c r="X39" s="1263"/>
      <c r="Y39" s="363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39"/>
      <c r="Q40" s="1262">
        <f t="shared" si="11"/>
        <v>111</v>
      </c>
      <c r="R40" s="631" t="s">
        <v>25</v>
      </c>
      <c r="S40" s="632">
        <f t="shared" si="12"/>
        <v>100</v>
      </c>
      <c r="T40" s="631" t="s">
        <v>25</v>
      </c>
      <c r="U40" s="632">
        <f t="shared" si="13"/>
        <v>100</v>
      </c>
      <c r="V40" s="631" t="s">
        <v>25</v>
      </c>
      <c r="W40" s="632">
        <f t="shared" si="14"/>
        <v>100</v>
      </c>
      <c r="X40" s="1263"/>
      <c r="Y40" s="363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32" t="str">
        <f>A41</f>
        <v>成交单价（元/平方米）</v>
      </c>
      <c r="Q41" s="3632"/>
      <c r="R41" s="3633">
        <f>E41</f>
        <v>0</v>
      </c>
      <c r="S41" s="3633"/>
      <c r="T41" s="3633">
        <f>G41</f>
        <v>0</v>
      </c>
      <c r="U41" s="3633"/>
      <c r="V41" s="3633">
        <f>I41</f>
        <v>0</v>
      </c>
      <c r="W41" s="3633"/>
      <c r="X41" s="618"/>
      <c r="Y41" s="638"/>
      <c r="Z41" s="618"/>
      <c r="AA41" s="618"/>
      <c r="AB41" s="618"/>
      <c r="AC41" s="618"/>
    </row>
    <row r="42" spans="1:29" ht="15.75" thickBot="1">
      <c r="A42" s="374" t="s">
        <v>2132</v>
      </c>
      <c r="B42" s="375"/>
      <c r="C42" s="1088" t="e">
        <f>R43</f>
        <v>#DIV/0!</v>
      </c>
      <c r="D42" s="1724" t="s">
        <v>2503</v>
      </c>
      <c r="E42" s="1089" t="e">
        <f>R42</f>
        <v>#DIV/0!</v>
      </c>
      <c r="F42" s="1726"/>
      <c r="G42" s="1088" t="e">
        <f>T42</f>
        <v>#DIV/0!</v>
      </c>
      <c r="H42" s="1726"/>
      <c r="I42" s="1089" t="e">
        <f>V42</f>
        <v>#DIV/0!</v>
      </c>
      <c r="J42" s="1726"/>
      <c r="K42" s="2428">
        <f>F42+H42+J42</f>
        <v>0</v>
      </c>
      <c r="L42" s="2954"/>
      <c r="N42" s="2943"/>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71.38</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44817</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2" t="s">
        <v>2026</v>
      </c>
      <c r="Q9" s="1255"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2"/>
      <c r="Q10" s="1255"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2"/>
      <c r="Q11" s="1255">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49" t="s">
        <v>2031</v>
      </c>
      <c r="Q14" s="1262" t="str">
        <f t="shared" si="6"/>
        <v>交通便捷度</v>
      </c>
      <c r="R14" s="631" t="s">
        <v>25</v>
      </c>
      <c r="S14" s="632">
        <f t="shared" si="0"/>
        <v>100</v>
      </c>
      <c r="T14" s="631" t="s">
        <v>25</v>
      </c>
      <c r="U14" s="632">
        <f t="shared" si="1"/>
        <v>100</v>
      </c>
      <c r="V14" s="631" t="s">
        <v>25</v>
      </c>
      <c r="W14" s="632">
        <f t="shared" si="2"/>
        <v>100</v>
      </c>
      <c r="X14" s="1263"/>
      <c r="Y14" s="3649"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50"/>
      <c r="Q15" s="1262"/>
      <c r="R15" s="631"/>
      <c r="S15" s="632"/>
      <c r="T15" s="631"/>
      <c r="U15" s="632"/>
      <c r="V15" s="631"/>
      <c r="W15" s="632"/>
      <c r="X15" s="1263"/>
      <c r="Y15" s="3650"/>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0"/>
      <c r="Q16" s="1262" t="str">
        <f>B16</f>
        <v>公共配套设施</v>
      </c>
      <c r="R16" s="631" t="s">
        <v>25</v>
      </c>
      <c r="S16" s="632">
        <f>F16</f>
        <v>100</v>
      </c>
      <c r="T16" s="631" t="s">
        <v>25</v>
      </c>
      <c r="U16" s="632">
        <f>H16</f>
        <v>100</v>
      </c>
      <c r="V16" s="631" t="s">
        <v>25</v>
      </c>
      <c r="W16" s="632">
        <f>J16</f>
        <v>100</v>
      </c>
      <c r="X16" s="1263"/>
      <c r="Y16" s="3650"/>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50"/>
      <c r="Q17" s="1262"/>
      <c r="R17" s="631"/>
      <c r="S17" s="632"/>
      <c r="T17" s="631"/>
      <c r="U17" s="632"/>
      <c r="V17" s="631"/>
      <c r="W17" s="632"/>
      <c r="X17" s="1263"/>
      <c r="Y17" s="3650"/>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0"/>
      <c r="Q18" s="1262" t="str">
        <f>B18</f>
        <v>基础设施水平</v>
      </c>
      <c r="R18" s="631" t="s">
        <v>25</v>
      </c>
      <c r="S18" s="632">
        <f>F18</f>
        <v>100</v>
      </c>
      <c r="T18" s="631" t="s">
        <v>25</v>
      </c>
      <c r="U18" s="632">
        <f>H18</f>
        <v>100</v>
      </c>
      <c r="V18" s="631" t="s">
        <v>25</v>
      </c>
      <c r="W18" s="632">
        <f>J18</f>
        <v>100</v>
      </c>
      <c r="X18" s="1263"/>
      <c r="Y18" s="3650"/>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50"/>
      <c r="Q19" s="1262"/>
      <c r="R19" s="631"/>
      <c r="S19" s="632"/>
      <c r="T19" s="631"/>
      <c r="U19" s="632"/>
      <c r="V19" s="631"/>
      <c r="W19" s="632"/>
      <c r="X19" s="1263"/>
      <c r="Y19" s="3650"/>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0"/>
      <c r="Q20" s="1262" t="str">
        <f>B20</f>
        <v>自然及人文环境</v>
      </c>
      <c r="R20" s="631" t="s">
        <v>25</v>
      </c>
      <c r="S20" s="632">
        <f>F20</f>
        <v>100</v>
      </c>
      <c r="T20" s="631" t="s">
        <v>25</v>
      </c>
      <c r="U20" s="632">
        <f>H20</f>
        <v>100</v>
      </c>
      <c r="V20" s="631" t="s">
        <v>25</v>
      </c>
      <c r="W20" s="632">
        <f>J20</f>
        <v>100</v>
      </c>
      <c r="X20" s="1263"/>
      <c r="Y20" s="3650"/>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50"/>
      <c r="Q21" s="1262"/>
      <c r="R21" s="631"/>
      <c r="S21" s="632"/>
      <c r="T21" s="631"/>
      <c r="U21" s="632"/>
      <c r="V21" s="631"/>
      <c r="W21" s="632"/>
      <c r="X21" s="1263"/>
      <c r="Y21" s="3650"/>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0"/>
      <c r="Q22" s="1262" t="str">
        <f>B22</f>
        <v>楼层</v>
      </c>
      <c r="R22" s="631" t="s">
        <v>25</v>
      </c>
      <c r="S22" s="632">
        <f>F22</f>
        <v>100</v>
      </c>
      <c r="T22" s="631" t="s">
        <v>25</v>
      </c>
      <c r="U22" s="632">
        <f>H22</f>
        <v>100</v>
      </c>
      <c r="V22" s="631" t="s">
        <v>25</v>
      </c>
      <c r="W22" s="632">
        <f>J22</f>
        <v>100</v>
      </c>
      <c r="X22" s="1263"/>
      <c r="Y22" s="3650"/>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50"/>
      <c r="Q23" s="1262">
        <f>B23</f>
        <v>111</v>
      </c>
      <c r="R23" s="631" t="s">
        <v>25</v>
      </c>
      <c r="S23" s="632">
        <f>F23</f>
        <v>100</v>
      </c>
      <c r="T23" s="631" t="s">
        <v>25</v>
      </c>
      <c r="U23" s="632">
        <f>H23</f>
        <v>100</v>
      </c>
      <c r="V23" s="631" t="s">
        <v>25</v>
      </c>
      <c r="W23" s="632">
        <f>J23</f>
        <v>100</v>
      </c>
      <c r="X23" s="1263"/>
      <c r="Y23" s="3650"/>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50"/>
      <c r="Q24" s="1262">
        <f t="shared" ref="Q24:Q36" si="11">B24</f>
        <v>111</v>
      </c>
      <c r="R24" s="631" t="s">
        <v>25</v>
      </c>
      <c r="S24" s="632">
        <f>F24</f>
        <v>100</v>
      </c>
      <c r="T24" s="631" t="s">
        <v>25</v>
      </c>
      <c r="U24" s="632">
        <f>H24</f>
        <v>100</v>
      </c>
      <c r="V24" s="631" t="s">
        <v>25</v>
      </c>
      <c r="W24" s="632">
        <f>J24</f>
        <v>100</v>
      </c>
      <c r="X24" s="1263"/>
      <c r="Y24" s="3650"/>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0"/>
      <c r="Q25" s="1255">
        <f t="shared" si="11"/>
        <v>111</v>
      </c>
      <c r="R25" s="627" t="s">
        <v>25</v>
      </c>
      <c r="S25" s="628">
        <f>F25</f>
        <v>100</v>
      </c>
      <c r="T25" s="627" t="s">
        <v>25</v>
      </c>
      <c r="U25" s="628">
        <f>H25</f>
        <v>100</v>
      </c>
      <c r="V25" s="627" t="s">
        <v>25</v>
      </c>
      <c r="W25" s="628">
        <f>J25</f>
        <v>100</v>
      </c>
      <c r="X25" s="629"/>
      <c r="Y25" s="3650"/>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3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38"/>
      <c r="Q27" s="633" t="str">
        <f t="shared" si="11"/>
        <v>项目停车位配比</v>
      </c>
      <c r="R27" s="634" t="s">
        <v>25</v>
      </c>
      <c r="S27" s="635">
        <f t="shared" si="12"/>
        <v>100</v>
      </c>
      <c r="T27" s="634" t="s">
        <v>25</v>
      </c>
      <c r="U27" s="635">
        <f t="shared" si="13"/>
        <v>100</v>
      </c>
      <c r="V27" s="634" t="s">
        <v>25</v>
      </c>
      <c r="W27" s="635">
        <f t="shared" si="14"/>
        <v>100</v>
      </c>
      <c r="X27" s="636"/>
      <c r="Y27" s="363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38"/>
      <c r="Q28" s="1262" t="str">
        <f t="shared" si="11"/>
        <v>公共部分装修</v>
      </c>
      <c r="R28" s="631" t="s">
        <v>25</v>
      </c>
      <c r="S28" s="632">
        <f t="shared" si="12"/>
        <v>100</v>
      </c>
      <c r="T28" s="631" t="s">
        <v>25</v>
      </c>
      <c r="U28" s="632">
        <f t="shared" si="13"/>
        <v>100</v>
      </c>
      <c r="V28" s="631" t="s">
        <v>25</v>
      </c>
      <c r="W28" s="632">
        <f t="shared" si="14"/>
        <v>100</v>
      </c>
      <c r="X28" s="1263"/>
      <c r="Y28" s="363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38"/>
      <c r="Q29" s="1262" t="str">
        <f t="shared" si="11"/>
        <v>成新率</v>
      </c>
      <c r="R29" s="631" t="s">
        <v>25</v>
      </c>
      <c r="S29" s="632" t="e">
        <f t="shared" si="12"/>
        <v>#N/A</v>
      </c>
      <c r="T29" s="631" t="s">
        <v>25</v>
      </c>
      <c r="U29" s="632" t="e">
        <f t="shared" si="13"/>
        <v>#N/A</v>
      </c>
      <c r="V29" s="631" t="s">
        <v>25</v>
      </c>
      <c r="W29" s="632" t="e">
        <f t="shared" si="14"/>
        <v>#N/A</v>
      </c>
      <c r="X29" s="1263"/>
      <c r="Y29" s="363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38"/>
      <c r="Q30" s="1262" t="str">
        <f t="shared" si="11"/>
        <v>物业等级</v>
      </c>
      <c r="R30" s="631" t="s">
        <v>25</v>
      </c>
      <c r="S30" s="632">
        <f t="shared" si="12"/>
        <v>100</v>
      </c>
      <c r="T30" s="631" t="s">
        <v>25</v>
      </c>
      <c r="U30" s="632">
        <f t="shared" si="13"/>
        <v>100</v>
      </c>
      <c r="V30" s="631" t="s">
        <v>25</v>
      </c>
      <c r="W30" s="632">
        <f t="shared" si="14"/>
        <v>100</v>
      </c>
      <c r="X30" s="1263"/>
      <c r="Y30" s="363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38"/>
      <c r="Q31" s="1255" t="str">
        <f t="shared" si="11"/>
        <v>停车位面积</v>
      </c>
      <c r="R31" s="627" t="s">
        <v>25</v>
      </c>
      <c r="S31" s="628" t="e">
        <f t="shared" si="12"/>
        <v>#N/A</v>
      </c>
      <c r="T31" s="627" t="s">
        <v>25</v>
      </c>
      <c r="U31" s="628" t="e">
        <f t="shared" si="13"/>
        <v>#N/A</v>
      </c>
      <c r="V31" s="627" t="s">
        <v>25</v>
      </c>
      <c r="W31" s="628" t="e">
        <f t="shared" si="14"/>
        <v>#N/A</v>
      </c>
      <c r="X31" s="629"/>
      <c r="Y31" s="363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38" t="s">
        <v>2037</v>
      </c>
      <c r="Q32" s="1262" t="str">
        <f t="shared" si="11"/>
        <v>车位类型</v>
      </c>
      <c r="R32" s="631" t="s">
        <v>25</v>
      </c>
      <c r="S32" s="632">
        <f t="shared" si="12"/>
        <v>100</v>
      </c>
      <c r="T32" s="631" t="s">
        <v>25</v>
      </c>
      <c r="U32" s="632">
        <f t="shared" si="13"/>
        <v>100</v>
      </c>
      <c r="V32" s="631" t="s">
        <v>25</v>
      </c>
      <c r="W32" s="632">
        <f t="shared" si="14"/>
        <v>100</v>
      </c>
      <c r="X32" s="1263"/>
      <c r="Y32" s="363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38"/>
      <c r="Q33" s="1262" t="str">
        <f t="shared" si="11"/>
        <v>是否直接入户</v>
      </c>
      <c r="R33" s="631" t="s">
        <v>25</v>
      </c>
      <c r="S33" s="632">
        <f t="shared" si="12"/>
        <v>100</v>
      </c>
      <c r="T33" s="631" t="s">
        <v>25</v>
      </c>
      <c r="U33" s="632">
        <f t="shared" si="13"/>
        <v>100</v>
      </c>
      <c r="V33" s="631" t="s">
        <v>25</v>
      </c>
      <c r="W33" s="632">
        <f t="shared" si="14"/>
        <v>100</v>
      </c>
      <c r="X33" s="1263"/>
      <c r="Y33" s="363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38"/>
      <c r="Q34" s="1262">
        <f t="shared" si="11"/>
        <v>111</v>
      </c>
      <c r="R34" s="631" t="s">
        <v>25</v>
      </c>
      <c r="S34" s="632">
        <f t="shared" si="12"/>
        <v>100</v>
      </c>
      <c r="T34" s="631" t="s">
        <v>25</v>
      </c>
      <c r="U34" s="632">
        <f t="shared" si="13"/>
        <v>100</v>
      </c>
      <c r="V34" s="631" t="s">
        <v>25</v>
      </c>
      <c r="W34" s="632">
        <f t="shared" si="14"/>
        <v>100</v>
      </c>
      <c r="X34" s="1263"/>
      <c r="Y34" s="363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38"/>
      <c r="Q35" s="633">
        <f t="shared" si="11"/>
        <v>111</v>
      </c>
      <c r="R35" s="634" t="s">
        <v>25</v>
      </c>
      <c r="S35" s="635">
        <f t="shared" si="12"/>
        <v>100</v>
      </c>
      <c r="T35" s="634" t="s">
        <v>25</v>
      </c>
      <c r="U35" s="635">
        <f t="shared" si="13"/>
        <v>100</v>
      </c>
      <c r="V35" s="634" t="s">
        <v>25</v>
      </c>
      <c r="W35" s="635">
        <f t="shared" si="14"/>
        <v>100</v>
      </c>
      <c r="X35" s="636"/>
      <c r="Y35" s="363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38"/>
      <c r="Q36" s="1262">
        <f t="shared" si="11"/>
        <v>111</v>
      </c>
      <c r="R36" s="631" t="s">
        <v>25</v>
      </c>
      <c r="S36" s="632">
        <f t="shared" si="12"/>
        <v>100</v>
      </c>
      <c r="T36" s="631" t="s">
        <v>25</v>
      </c>
      <c r="U36" s="632">
        <f t="shared" si="13"/>
        <v>100</v>
      </c>
      <c r="V36" s="631" t="s">
        <v>25</v>
      </c>
      <c r="W36" s="632">
        <f t="shared" si="14"/>
        <v>100</v>
      </c>
      <c r="X36" s="1263"/>
      <c r="Y36" s="363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32" t="str">
        <f>A37</f>
        <v>成交单价</v>
      </c>
      <c r="Q37" s="3632"/>
      <c r="R37" s="3633">
        <f>E37</f>
        <v>0</v>
      </c>
      <c r="S37" s="3633"/>
      <c r="T37" s="3633">
        <f>G37</f>
        <v>0</v>
      </c>
      <c r="U37" s="3633"/>
      <c r="V37" s="3633">
        <f>I37</f>
        <v>0</v>
      </c>
      <c r="W37" s="3633"/>
      <c r="X37" s="618"/>
      <c r="Y37" s="638"/>
      <c r="Z37" s="618"/>
      <c r="AA37" s="618"/>
      <c r="AB37" s="618"/>
      <c r="AC37" s="618"/>
    </row>
    <row r="38" spans="1:29" ht="15.75" thickBot="1">
      <c r="A38" s="374" t="s">
        <v>2181</v>
      </c>
      <c r="B38" s="375" t="str">
        <f>B37</f>
        <v>元/平方米</v>
      </c>
      <c r="C38" s="1088" t="e">
        <f>R39</f>
        <v>#DIV/0!</v>
      </c>
      <c r="D38" s="1724" t="s">
        <v>2503</v>
      </c>
      <c r="E38" s="1089" t="e">
        <f>R38</f>
        <v>#DIV/0!</v>
      </c>
      <c r="F38" s="1726"/>
      <c r="G38" s="1088" t="e">
        <f>T38</f>
        <v>#DIV/0!</v>
      </c>
      <c r="H38" s="1726"/>
      <c r="I38" s="1089" t="e">
        <f>V38</f>
        <v>#DIV/0!</v>
      </c>
      <c r="J38" s="1726"/>
      <c r="K38" s="2428">
        <f>F38+H38+J38</f>
        <v>0</v>
      </c>
      <c r="L38" s="2954"/>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71.38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44817</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2" t="s">
        <v>2026</v>
      </c>
      <c r="Q9" s="1255"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2"/>
      <c r="Q10" s="1255"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2"/>
      <c r="Q11" s="1255">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49" t="s">
        <v>2031</v>
      </c>
      <c r="Q14" s="1262" t="str">
        <f t="shared" si="6"/>
        <v>交通便捷度</v>
      </c>
      <c r="R14" s="631" t="s">
        <v>25</v>
      </c>
      <c r="S14" s="632">
        <f t="shared" si="0"/>
        <v>100</v>
      </c>
      <c r="T14" s="631" t="s">
        <v>25</v>
      </c>
      <c r="U14" s="632">
        <f t="shared" si="1"/>
        <v>100</v>
      </c>
      <c r="V14" s="631" t="s">
        <v>25</v>
      </c>
      <c r="W14" s="632">
        <f t="shared" si="2"/>
        <v>100</v>
      </c>
      <c r="X14" s="1263"/>
      <c r="Y14" s="3649"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50"/>
      <c r="Q15" s="1262"/>
      <c r="R15" s="631"/>
      <c r="S15" s="632"/>
      <c r="T15" s="631"/>
      <c r="U15" s="632"/>
      <c r="V15" s="631"/>
      <c r="W15" s="632"/>
      <c r="X15" s="1263"/>
      <c r="Y15" s="3650"/>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0"/>
      <c r="Q16" s="1262" t="str">
        <f>B16</f>
        <v>公共配套设施</v>
      </c>
      <c r="R16" s="631" t="s">
        <v>25</v>
      </c>
      <c r="S16" s="632">
        <f>F16</f>
        <v>100</v>
      </c>
      <c r="T16" s="631" t="s">
        <v>25</v>
      </c>
      <c r="U16" s="632">
        <f>H16</f>
        <v>100</v>
      </c>
      <c r="V16" s="631" t="s">
        <v>25</v>
      </c>
      <c r="W16" s="632">
        <f>J16</f>
        <v>100</v>
      </c>
      <c r="X16" s="1263"/>
      <c r="Y16" s="3650"/>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50"/>
      <c r="Q17" s="1262"/>
      <c r="R17" s="631"/>
      <c r="S17" s="632"/>
      <c r="T17" s="631"/>
      <c r="U17" s="632"/>
      <c r="V17" s="631"/>
      <c r="W17" s="632"/>
      <c r="X17" s="1263"/>
      <c r="Y17" s="3650"/>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0"/>
      <c r="Q18" s="1262" t="str">
        <f>B18</f>
        <v>基础设施水平</v>
      </c>
      <c r="R18" s="631" t="s">
        <v>25</v>
      </c>
      <c r="S18" s="632">
        <f>F18</f>
        <v>100</v>
      </c>
      <c r="T18" s="631" t="s">
        <v>25</v>
      </c>
      <c r="U18" s="632">
        <f>H18</f>
        <v>100</v>
      </c>
      <c r="V18" s="631" t="s">
        <v>25</v>
      </c>
      <c r="W18" s="632">
        <f>J18</f>
        <v>100</v>
      </c>
      <c r="X18" s="1263"/>
      <c r="Y18" s="3650"/>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50"/>
      <c r="Q19" s="1262"/>
      <c r="R19" s="631"/>
      <c r="S19" s="632"/>
      <c r="T19" s="631"/>
      <c r="U19" s="632"/>
      <c r="V19" s="631"/>
      <c r="W19" s="632"/>
      <c r="X19" s="1263"/>
      <c r="Y19" s="3650"/>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0"/>
      <c r="Q20" s="1262" t="str">
        <f>B20</f>
        <v>自然及人文环境</v>
      </c>
      <c r="R20" s="631" t="s">
        <v>25</v>
      </c>
      <c r="S20" s="632">
        <f>F20</f>
        <v>100</v>
      </c>
      <c r="T20" s="631" t="s">
        <v>25</v>
      </c>
      <c r="U20" s="632">
        <f>H20</f>
        <v>100</v>
      </c>
      <c r="V20" s="631" t="s">
        <v>25</v>
      </c>
      <c r="W20" s="632">
        <f>J20</f>
        <v>100</v>
      </c>
      <c r="X20" s="1263"/>
      <c r="Y20" s="3650"/>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50"/>
      <c r="Q21" s="1262"/>
      <c r="R21" s="631"/>
      <c r="S21" s="632"/>
      <c r="T21" s="631"/>
      <c r="U21" s="632"/>
      <c r="V21" s="631"/>
      <c r="W21" s="632"/>
      <c r="X21" s="1263"/>
      <c r="Y21" s="3650"/>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0"/>
      <c r="Q22" s="1262" t="str">
        <f>B22</f>
        <v>楼层</v>
      </c>
      <c r="R22" s="631" t="s">
        <v>25</v>
      </c>
      <c r="S22" s="632">
        <f>F22</f>
        <v>100</v>
      </c>
      <c r="T22" s="631" t="s">
        <v>25</v>
      </c>
      <c r="U22" s="632">
        <f>H22</f>
        <v>100</v>
      </c>
      <c r="V22" s="631" t="s">
        <v>25</v>
      </c>
      <c r="W22" s="632">
        <f>J22</f>
        <v>100</v>
      </c>
      <c r="X22" s="1263"/>
      <c r="Y22" s="3650"/>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0"/>
      <c r="Q23" s="1262">
        <f>B23</f>
        <v>111</v>
      </c>
      <c r="R23" s="631" t="s">
        <v>25</v>
      </c>
      <c r="S23" s="632">
        <f>F23</f>
        <v>100</v>
      </c>
      <c r="T23" s="631" t="s">
        <v>25</v>
      </c>
      <c r="U23" s="632">
        <f>H23</f>
        <v>100</v>
      </c>
      <c r="V23" s="631" t="s">
        <v>25</v>
      </c>
      <c r="W23" s="632">
        <f>J23</f>
        <v>100</v>
      </c>
      <c r="X23" s="1263"/>
      <c r="Y23" s="3650"/>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0"/>
      <c r="Q24" s="1262">
        <f t="shared" ref="Q24:Q34" si="11">B24</f>
        <v>111</v>
      </c>
      <c r="R24" s="631" t="s">
        <v>25</v>
      </c>
      <c r="S24" s="632">
        <f>F24</f>
        <v>100</v>
      </c>
      <c r="T24" s="631" t="s">
        <v>25</v>
      </c>
      <c r="U24" s="632">
        <f>H24</f>
        <v>100</v>
      </c>
      <c r="V24" s="631" t="s">
        <v>25</v>
      </c>
      <c r="W24" s="632">
        <f>J24</f>
        <v>100</v>
      </c>
      <c r="X24" s="1263"/>
      <c r="Y24" s="3650"/>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50"/>
      <c r="Q25" s="1255">
        <f t="shared" si="11"/>
        <v>111</v>
      </c>
      <c r="R25" s="627" t="s">
        <v>25</v>
      </c>
      <c r="S25" s="628">
        <f>F25</f>
        <v>100</v>
      </c>
      <c r="T25" s="627" t="s">
        <v>25</v>
      </c>
      <c r="U25" s="628">
        <f>H25</f>
        <v>100</v>
      </c>
      <c r="V25" s="627" t="s">
        <v>25</v>
      </c>
      <c r="W25" s="628">
        <f>J25</f>
        <v>100</v>
      </c>
      <c r="X25" s="629"/>
      <c r="Y25" s="3650"/>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3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38"/>
      <c r="Q27" s="633" t="str">
        <f t="shared" si="11"/>
        <v>成新率</v>
      </c>
      <c r="R27" s="634" t="s">
        <v>25</v>
      </c>
      <c r="S27" s="635" t="e">
        <f t="shared" si="12"/>
        <v>#N/A</v>
      </c>
      <c r="T27" s="634" t="s">
        <v>25</v>
      </c>
      <c r="U27" s="635" t="e">
        <f t="shared" si="13"/>
        <v>#N/A</v>
      </c>
      <c r="V27" s="634" t="s">
        <v>25</v>
      </c>
      <c r="W27" s="635" t="e">
        <f t="shared" si="14"/>
        <v>#N/A</v>
      </c>
      <c r="X27" s="636"/>
      <c r="Y27" s="363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38"/>
      <c r="Q28" s="1262" t="str">
        <f t="shared" si="11"/>
        <v>物业等级</v>
      </c>
      <c r="R28" s="631" t="s">
        <v>25</v>
      </c>
      <c r="S28" s="632">
        <f t="shared" si="12"/>
        <v>100</v>
      </c>
      <c r="T28" s="631" t="s">
        <v>25</v>
      </c>
      <c r="U28" s="632">
        <f t="shared" si="13"/>
        <v>100</v>
      </c>
      <c r="V28" s="631" t="s">
        <v>25</v>
      </c>
      <c r="W28" s="632">
        <f t="shared" si="14"/>
        <v>100</v>
      </c>
      <c r="X28" s="1263"/>
      <c r="Y28" s="363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38"/>
      <c r="Q29" s="1262" t="str">
        <f t="shared" si="11"/>
        <v>有无电梯</v>
      </c>
      <c r="R29" s="631" t="s">
        <v>25</v>
      </c>
      <c r="S29" s="632">
        <f t="shared" si="12"/>
        <v>100</v>
      </c>
      <c r="T29" s="631" t="s">
        <v>25</v>
      </c>
      <c r="U29" s="632">
        <f t="shared" si="13"/>
        <v>100</v>
      </c>
      <c r="V29" s="631" t="s">
        <v>25</v>
      </c>
      <c r="W29" s="632">
        <f t="shared" si="14"/>
        <v>100</v>
      </c>
      <c r="X29" s="1263"/>
      <c r="Y29" s="363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38"/>
      <c r="Q30" s="1262" t="str">
        <f t="shared" si="11"/>
        <v>建筑面积</v>
      </c>
      <c r="R30" s="631" t="s">
        <v>25</v>
      </c>
      <c r="S30" s="632" t="e">
        <f t="shared" si="12"/>
        <v>#N/A</v>
      </c>
      <c r="T30" s="631" t="s">
        <v>25</v>
      </c>
      <c r="U30" s="632" t="e">
        <f t="shared" si="13"/>
        <v>#N/A</v>
      </c>
      <c r="V30" s="631" t="s">
        <v>25</v>
      </c>
      <c r="W30" s="632" t="e">
        <f t="shared" si="14"/>
        <v>#N/A</v>
      </c>
      <c r="X30" s="1263"/>
      <c r="Y30" s="363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38"/>
      <c r="Q31" s="1255" t="str">
        <f t="shared" si="11"/>
        <v>是否封闭</v>
      </c>
      <c r="R31" s="627" t="s">
        <v>25</v>
      </c>
      <c r="S31" s="628">
        <f t="shared" si="12"/>
        <v>100</v>
      </c>
      <c r="T31" s="627" t="s">
        <v>25</v>
      </c>
      <c r="U31" s="628">
        <f t="shared" si="13"/>
        <v>100</v>
      </c>
      <c r="V31" s="627" t="s">
        <v>25</v>
      </c>
      <c r="W31" s="628">
        <f t="shared" si="14"/>
        <v>100</v>
      </c>
      <c r="X31" s="629"/>
      <c r="Y31" s="363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38" t="s">
        <v>2037</v>
      </c>
      <c r="Q32" s="1262">
        <f t="shared" si="11"/>
        <v>111</v>
      </c>
      <c r="R32" s="631" t="s">
        <v>25</v>
      </c>
      <c r="S32" s="632">
        <f t="shared" si="12"/>
        <v>100</v>
      </c>
      <c r="T32" s="631" t="s">
        <v>25</v>
      </c>
      <c r="U32" s="632">
        <f t="shared" si="13"/>
        <v>100</v>
      </c>
      <c r="V32" s="631" t="s">
        <v>25</v>
      </c>
      <c r="W32" s="632">
        <f t="shared" si="14"/>
        <v>100</v>
      </c>
      <c r="X32" s="1263"/>
      <c r="Y32" s="363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38"/>
      <c r="Q33" s="1262">
        <f t="shared" si="11"/>
        <v>111</v>
      </c>
      <c r="R33" s="631" t="s">
        <v>25</v>
      </c>
      <c r="S33" s="632">
        <f t="shared" si="12"/>
        <v>100</v>
      </c>
      <c r="T33" s="631" t="s">
        <v>25</v>
      </c>
      <c r="U33" s="632">
        <f t="shared" si="13"/>
        <v>100</v>
      </c>
      <c r="V33" s="631" t="s">
        <v>25</v>
      </c>
      <c r="W33" s="632">
        <f t="shared" si="14"/>
        <v>100</v>
      </c>
      <c r="X33" s="1263"/>
      <c r="Y33" s="363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38"/>
      <c r="Q34" s="1262">
        <f t="shared" si="11"/>
        <v>111</v>
      </c>
      <c r="R34" s="631" t="s">
        <v>25</v>
      </c>
      <c r="S34" s="632">
        <f t="shared" si="12"/>
        <v>100</v>
      </c>
      <c r="T34" s="631" t="s">
        <v>25</v>
      </c>
      <c r="U34" s="632">
        <f t="shared" si="13"/>
        <v>100</v>
      </c>
      <c r="V34" s="631" t="s">
        <v>25</v>
      </c>
      <c r="W34" s="632">
        <f t="shared" si="14"/>
        <v>100</v>
      </c>
      <c r="X34" s="1263"/>
      <c r="Y34" s="363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32" t="str">
        <f>A35</f>
        <v>成交单价（元/平方米）</v>
      </c>
      <c r="Q35" s="3632"/>
      <c r="R35" s="3633">
        <f>E35</f>
        <v>0</v>
      </c>
      <c r="S35" s="3633"/>
      <c r="T35" s="3633">
        <f>G35</f>
        <v>0</v>
      </c>
      <c r="U35" s="3633"/>
      <c r="V35" s="3633">
        <f>I35</f>
        <v>0</v>
      </c>
      <c r="W35" s="3633"/>
      <c r="X35" s="618"/>
      <c r="Y35" s="638"/>
      <c r="Z35" s="618"/>
      <c r="AA35" s="618"/>
      <c r="AB35" s="618"/>
      <c r="AC35" s="618"/>
    </row>
    <row r="36" spans="1:29" ht="15.75" thickBot="1">
      <c r="A36" s="374" t="s">
        <v>2132</v>
      </c>
      <c r="B36" s="375"/>
      <c r="C36" s="1088" t="e">
        <f>R37</f>
        <v>#DIV/0!</v>
      </c>
      <c r="D36" s="1724" t="s">
        <v>2503</v>
      </c>
      <c r="E36" s="1089" t="e">
        <f>R36</f>
        <v>#DIV/0!</v>
      </c>
      <c r="F36" s="1726"/>
      <c r="G36" s="1088" t="e">
        <f>T36</f>
        <v>#DIV/0!</v>
      </c>
      <c r="H36" s="1726"/>
      <c r="I36" s="1089" t="e">
        <f>V36</f>
        <v>#DIV/0!</v>
      </c>
      <c r="J36" s="1726"/>
      <c r="K36" s="2428">
        <f>F36+H36+J36</f>
        <v>0</v>
      </c>
      <c r="L36" s="2954"/>
      <c r="N36" s="2943"/>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5"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7" t="s">
        <v>1675</v>
      </c>
      <c r="B3" s="1890" t="e">
        <f>ROUND(B2/'数据-取费表'!B5,0)</f>
        <v>#DIV/0!</v>
      </c>
      <c r="C3" s="1585"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1" t="s">
        <v>2006</v>
      </c>
      <c r="B4" s="1592"/>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1594"/>
      <c r="Y4" s="3605" t="s">
        <v>2012</v>
      </c>
      <c r="Z4" s="3606"/>
      <c r="AA4" s="3613" t="s">
        <v>2008</v>
      </c>
      <c r="AB4" s="3614" t="s">
        <v>2009</v>
      </c>
      <c r="AC4" s="3613" t="s">
        <v>2010</v>
      </c>
    </row>
    <row r="5" spans="1:30" ht="15">
      <c r="A5" s="1596"/>
      <c r="B5" s="1597"/>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1594"/>
      <c r="Y5" s="3607"/>
      <c r="Z5" s="3608"/>
      <c r="AA5" s="3614"/>
      <c r="AB5" s="3614"/>
      <c r="AC5" s="3614"/>
    </row>
    <row r="6" spans="1:30" ht="15.75" thickBot="1">
      <c r="A6" s="1599"/>
      <c r="B6" s="1600"/>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1594"/>
      <c r="Y6" s="3609"/>
      <c r="Z6" s="3610"/>
      <c r="AA6" s="3615"/>
      <c r="AB6" s="3615"/>
      <c r="AC6" s="3615"/>
    </row>
    <row r="7" spans="1:30" s="1613" customFormat="1" ht="15.75" thickBot="1">
      <c r="A7" s="1601" t="s">
        <v>2019</v>
      </c>
      <c r="B7" s="1602"/>
      <c r="C7" s="1603">
        <f>'数据-取费表'!B2</f>
        <v>44817</v>
      </c>
      <c r="D7" s="1604">
        <v>100</v>
      </c>
      <c r="E7" s="1605"/>
      <c r="F7" s="1606">
        <f>SUMIF(69:69,YEAR(E7)&amp;"-"&amp;INT((MONTH(E7)+2)/3),70:70)</f>
        <v>0</v>
      </c>
      <c r="G7" s="1894"/>
      <c r="H7" s="1604">
        <f>SUMIF(69:69,YEAR(G7)&amp;"-"&amp;INT((MONTH(G7)+2)/3),70:70)</f>
        <v>0</v>
      </c>
      <c r="I7" s="1894"/>
      <c r="J7" s="1604">
        <f>SUMIF(69:69,YEAR(I7)&amp;"-"&amp;INT((MONTH(I7)+2)/3),70:70)</f>
        <v>0</v>
      </c>
      <c r="K7" s="1895"/>
      <c r="L7" s="2914"/>
      <c r="M7" s="2887"/>
      <c r="N7" s="2887"/>
      <c r="O7" s="2887"/>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5"/>
      <c r="L8" s="2914"/>
      <c r="M8" s="2887"/>
      <c r="N8" s="2887"/>
      <c r="O8" s="2887"/>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5" si="3">D8/F8</f>
        <v>#DIV/0!</v>
      </c>
      <c r="AB8" s="1612" t="e">
        <f t="shared" ref="AB8:AB45" si="4">D8/H8</f>
        <v>#DIV/0!</v>
      </c>
      <c r="AC8" s="1612" t="e">
        <f t="shared" ref="AC8:AC45" si="5">D8/J8</f>
        <v>#DIV/0!</v>
      </c>
    </row>
    <row r="9" spans="1:30" s="1613" customFormat="1">
      <c r="A9" s="1564" t="s">
        <v>2024</v>
      </c>
      <c r="B9" s="1615" t="s">
        <v>2025</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89" t="s">
        <v>2026</v>
      </c>
      <c r="Q9" s="1563" t="str">
        <f t="shared" ref="Q9:Q15" si="6">B9</f>
        <v>用途</v>
      </c>
      <c r="R9" s="1609" t="s">
        <v>25</v>
      </c>
      <c r="S9" s="1610">
        <f t="shared" si="0"/>
        <v>100</v>
      </c>
      <c r="T9" s="1609" t="s">
        <v>25</v>
      </c>
      <c r="U9" s="1610">
        <f t="shared" si="1"/>
        <v>100</v>
      </c>
      <c r="V9" s="1609" t="s">
        <v>25</v>
      </c>
      <c r="W9" s="1610">
        <f t="shared" si="2"/>
        <v>100</v>
      </c>
      <c r="X9" s="1611"/>
      <c r="Y9" s="3449"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110</v>
      </c>
      <c r="G10" s="1685"/>
      <c r="H10" s="1625">
        <f>ROUND(100/'数据-取费表'!B14,0)</f>
        <v>110</v>
      </c>
      <c r="I10" s="1685"/>
      <c r="J10" s="1625">
        <f>ROUND(100/'数据-取费表'!B14,0)</f>
        <v>110</v>
      </c>
      <c r="K10" s="1897"/>
      <c r="L10" s="2916"/>
      <c r="M10" s="2917"/>
      <c r="N10" s="2917"/>
      <c r="O10" s="2962"/>
      <c r="P10" s="3589"/>
      <c r="Q10" s="1563" t="str">
        <f t="shared" si="6"/>
        <v>土地使用年限（年）</v>
      </c>
      <c r="R10" s="1609" t="s">
        <v>25</v>
      </c>
      <c r="S10" s="1610">
        <f t="shared" si="0"/>
        <v>110</v>
      </c>
      <c r="T10" s="1609" t="s">
        <v>25</v>
      </c>
      <c r="U10" s="1610">
        <f t="shared" si="1"/>
        <v>110</v>
      </c>
      <c r="V10" s="1609" t="s">
        <v>25</v>
      </c>
      <c r="W10" s="1610">
        <f t="shared" si="2"/>
        <v>110</v>
      </c>
      <c r="X10" s="1611"/>
      <c r="Y10" s="3449"/>
      <c r="Z10" s="1621" t="str">
        <f t="shared" si="7"/>
        <v>土地使用年限（年）</v>
      </c>
      <c r="AA10" s="1612">
        <f t="shared" si="3"/>
        <v>0.90909090909090906</v>
      </c>
      <c r="AB10" s="1612">
        <f t="shared" si="4"/>
        <v>0.90909090909090906</v>
      </c>
      <c r="AC10" s="1612">
        <f t="shared" si="5"/>
        <v>0.90909090909090906</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89"/>
      <c r="Q11" s="1563" t="str">
        <f t="shared" si="6"/>
        <v>容积率</v>
      </c>
      <c r="R11" s="1609" t="s">
        <v>25</v>
      </c>
      <c r="S11" s="1610" t="e">
        <f t="shared" si="0"/>
        <v>#N/A</v>
      </c>
      <c r="T11" s="1609" t="s">
        <v>25</v>
      </c>
      <c r="U11" s="1610" t="e">
        <f t="shared" si="1"/>
        <v>#N/A</v>
      </c>
      <c r="V11" s="1609" t="s">
        <v>25</v>
      </c>
      <c r="W11" s="1610" t="e">
        <f t="shared" si="2"/>
        <v>#N/A</v>
      </c>
      <c r="X11" s="1611"/>
      <c r="Y11" s="3449"/>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89"/>
      <c r="Q12" s="1563" t="str">
        <f t="shared" si="6"/>
        <v>配建</v>
      </c>
      <c r="R12" s="1609" t="s">
        <v>25</v>
      </c>
      <c r="S12" s="1610">
        <f t="shared" si="0"/>
        <v>100</v>
      </c>
      <c r="T12" s="1609" t="s">
        <v>25</v>
      </c>
      <c r="U12" s="1610">
        <f t="shared" si="1"/>
        <v>100</v>
      </c>
      <c r="V12" s="1609" t="s">
        <v>25</v>
      </c>
      <c r="W12" s="1610">
        <f t="shared" si="2"/>
        <v>100</v>
      </c>
      <c r="X12" s="1611"/>
      <c r="Y12" s="3449"/>
      <c r="Z12" s="1621" t="str">
        <f t="shared" si="7"/>
        <v>配建</v>
      </c>
      <c r="AA12" s="1612">
        <f>D12/F12</f>
        <v>1</v>
      </c>
      <c r="AB12" s="1612">
        <f>D12/H12</f>
        <v>1</v>
      </c>
      <c r="AC12" s="1612">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89"/>
      <c r="Q13" s="1563">
        <f t="shared" si="6"/>
        <v>111</v>
      </c>
      <c r="R13" s="1609" t="s">
        <v>25</v>
      </c>
      <c r="S13" s="1610">
        <f t="shared" si="0"/>
        <v>100</v>
      </c>
      <c r="T13" s="1609" t="s">
        <v>25</v>
      </c>
      <c r="U13" s="1610">
        <f t="shared" si="1"/>
        <v>100</v>
      </c>
      <c r="V13" s="1609" t="s">
        <v>25</v>
      </c>
      <c r="W13" s="1610">
        <f t="shared" si="2"/>
        <v>100</v>
      </c>
      <c r="X13" s="1611"/>
      <c r="Y13" s="3449"/>
      <c r="Z13" s="1621">
        <f t="shared" si="7"/>
        <v>111</v>
      </c>
      <c r="AA13" s="1612">
        <f>D13/F13</f>
        <v>1</v>
      </c>
      <c r="AB13" s="1612">
        <f>D13/H13</f>
        <v>1</v>
      </c>
      <c r="AC13" s="1612">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89"/>
      <c r="Q14" s="1563">
        <f t="shared" si="6"/>
        <v>111</v>
      </c>
      <c r="R14" s="1609" t="s">
        <v>25</v>
      </c>
      <c r="S14" s="1610">
        <f t="shared" si="0"/>
        <v>100</v>
      </c>
      <c r="T14" s="1609" t="s">
        <v>25</v>
      </c>
      <c r="U14" s="1610">
        <f t="shared" si="1"/>
        <v>100</v>
      </c>
      <c r="V14" s="1609" t="s">
        <v>25</v>
      </c>
      <c r="W14" s="1610">
        <f t="shared" si="2"/>
        <v>100</v>
      </c>
      <c r="X14" s="1611"/>
      <c r="Y14" s="3449"/>
      <c r="Z14" s="1621">
        <f t="shared" si="7"/>
        <v>111</v>
      </c>
      <c r="AA14" s="1612">
        <f>D14/F14</f>
        <v>1</v>
      </c>
      <c r="AB14" s="1612">
        <f>D14/H14</f>
        <v>1</v>
      </c>
      <c r="AC14" s="1612">
        <f>D14/J14</f>
        <v>1</v>
      </c>
    </row>
    <row r="15" spans="1:30" ht="99.75">
      <c r="A15" s="1591" t="s">
        <v>2030</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592" t="s">
        <v>2031</v>
      </c>
      <c r="Q15" s="1544" t="str">
        <f t="shared" si="6"/>
        <v>居住社区成熟度</v>
      </c>
      <c r="R15" s="1653" t="s">
        <v>25</v>
      </c>
      <c r="S15" s="1654">
        <f t="shared" si="0"/>
        <v>100</v>
      </c>
      <c r="T15" s="1653" t="s">
        <v>25</v>
      </c>
      <c r="U15" s="1654">
        <f t="shared" si="1"/>
        <v>100</v>
      </c>
      <c r="V15" s="1653" t="s">
        <v>25</v>
      </c>
      <c r="W15" s="1654">
        <f t="shared" si="2"/>
        <v>100</v>
      </c>
      <c r="X15" s="1594"/>
      <c r="Y15" s="3592" t="s">
        <v>2031</v>
      </c>
      <c r="Z15" s="1655" t="str">
        <f t="shared" si="7"/>
        <v>居住社区成熟度</v>
      </c>
      <c r="AA15" s="1656">
        <f t="shared" si="3"/>
        <v>1</v>
      </c>
      <c r="AB15" s="1656">
        <f t="shared" si="4"/>
        <v>1</v>
      </c>
      <c r="AC15" s="1656">
        <f t="shared" si="5"/>
        <v>1</v>
      </c>
    </row>
    <row r="16" spans="1:30" ht="15">
      <c r="A16" s="1596"/>
      <c r="B16" s="1902"/>
      <c r="C16" s="1903"/>
      <c r="D16" s="1659"/>
      <c r="E16" s="1660"/>
      <c r="F16" s="1659"/>
      <c r="G16" s="1660"/>
      <c r="H16" s="1663"/>
      <c r="I16" s="1662"/>
      <c r="J16" s="1659"/>
      <c r="K16" s="1897"/>
      <c r="L16" s="2919"/>
      <c r="M16" s="2915"/>
      <c r="N16" s="2915"/>
      <c r="O16" s="2963"/>
      <c r="P16" s="3593"/>
      <c r="Q16" s="1544"/>
      <c r="R16" s="1653"/>
      <c r="S16" s="1654"/>
      <c r="T16" s="1653"/>
      <c r="U16" s="1654"/>
      <c r="V16" s="1653"/>
      <c r="W16" s="1654"/>
      <c r="X16" s="1594"/>
      <c r="Y16" s="3593"/>
      <c r="Z16" s="1655"/>
      <c r="AA16" s="1656">
        <v>1</v>
      </c>
      <c r="AB16" s="1656">
        <v>1</v>
      </c>
      <c r="AC16" s="1656">
        <v>1</v>
      </c>
    </row>
    <row r="17" spans="1:29" ht="71.25">
      <c r="A17" s="1596"/>
      <c r="B17" s="1904" t="s">
        <v>2116</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593"/>
      <c r="Q17" s="1544" t="str">
        <f>B17</f>
        <v>商业繁华度</v>
      </c>
      <c r="R17" s="1653" t="s">
        <v>25</v>
      </c>
      <c r="S17" s="1654">
        <f>F17</f>
        <v>100</v>
      </c>
      <c r="T17" s="1653" t="s">
        <v>25</v>
      </c>
      <c r="U17" s="1654">
        <f>H17</f>
        <v>100</v>
      </c>
      <c r="V17" s="1653" t="s">
        <v>25</v>
      </c>
      <c r="W17" s="1654">
        <f>J17</f>
        <v>100</v>
      </c>
      <c r="X17" s="1594"/>
      <c r="Y17" s="3593"/>
      <c r="Z17" s="1655" t="str">
        <f>Q17</f>
        <v>商业繁华度</v>
      </c>
      <c r="AA17" s="1656">
        <f t="shared" si="3"/>
        <v>1</v>
      </c>
      <c r="AB17" s="1656">
        <f t="shared" si="4"/>
        <v>1</v>
      </c>
      <c r="AC17" s="1656">
        <f t="shared" si="5"/>
        <v>1</v>
      </c>
    </row>
    <row r="18" spans="1:29" ht="15">
      <c r="A18" s="1596"/>
      <c r="B18" s="1906"/>
      <c r="C18" s="1907"/>
      <c r="D18" s="1663"/>
      <c r="E18" s="1673"/>
      <c r="F18" s="1663"/>
      <c r="G18" s="1673"/>
      <c r="H18" s="1659"/>
      <c r="I18" s="1674"/>
      <c r="J18" s="1659"/>
      <c r="K18" s="1897"/>
      <c r="L18" s="2919"/>
      <c r="M18" s="2915"/>
      <c r="N18" s="2915"/>
      <c r="O18" s="2963"/>
      <c r="P18" s="3593"/>
      <c r="Q18" s="1544"/>
      <c r="R18" s="1653"/>
      <c r="S18" s="1654"/>
      <c r="T18" s="1653"/>
      <c r="U18" s="1654"/>
      <c r="V18" s="1653"/>
      <c r="W18" s="1654"/>
      <c r="X18" s="1594"/>
      <c r="Y18" s="3593"/>
      <c r="Z18" s="1655"/>
      <c r="AA18" s="1656">
        <v>1</v>
      </c>
      <c r="AB18" s="1656">
        <v>1</v>
      </c>
      <c r="AC18" s="1656">
        <v>1</v>
      </c>
    </row>
    <row r="19" spans="1:29" ht="71.25">
      <c r="A19" s="1596"/>
      <c r="B19" s="1904" t="s">
        <v>2145</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593"/>
      <c r="Q19" s="1544" t="str">
        <f>B19</f>
        <v>办公集聚程度</v>
      </c>
      <c r="R19" s="1653" t="s">
        <v>25</v>
      </c>
      <c r="S19" s="1654">
        <f>F19</f>
        <v>100</v>
      </c>
      <c r="T19" s="1653" t="s">
        <v>25</v>
      </c>
      <c r="U19" s="1654">
        <f>H19</f>
        <v>100</v>
      </c>
      <c r="V19" s="1653" t="s">
        <v>25</v>
      </c>
      <c r="W19" s="1654">
        <f>J19</f>
        <v>100</v>
      </c>
      <c r="X19" s="1594"/>
      <c r="Y19" s="3593"/>
      <c r="Z19" s="1655" t="str">
        <f>Q19</f>
        <v>办公集聚程度</v>
      </c>
      <c r="AA19" s="1656">
        <f t="shared" si="3"/>
        <v>1</v>
      </c>
      <c r="AB19" s="1656">
        <f t="shared" si="4"/>
        <v>1</v>
      </c>
      <c r="AC19" s="1656">
        <f t="shared" si="5"/>
        <v>1</v>
      </c>
    </row>
    <row r="20" spans="1:29" ht="15">
      <c r="A20" s="1596"/>
      <c r="B20" s="1906"/>
      <c r="C20" s="1903"/>
      <c r="D20" s="1659"/>
      <c r="E20" s="1660"/>
      <c r="F20" s="1659"/>
      <c r="G20" s="1660"/>
      <c r="H20" s="1659"/>
      <c r="I20" s="1662"/>
      <c r="J20" s="1659"/>
      <c r="K20" s="1897"/>
      <c r="L20" s="2919"/>
      <c r="M20" s="2915"/>
      <c r="N20" s="2915"/>
      <c r="O20" s="2963"/>
      <c r="P20" s="3593"/>
      <c r="Q20" s="1544"/>
      <c r="R20" s="1653"/>
      <c r="S20" s="1654"/>
      <c r="T20" s="1653"/>
      <c r="U20" s="1654"/>
      <c r="V20" s="1653"/>
      <c r="W20" s="1654"/>
      <c r="X20" s="1594"/>
      <c r="Y20" s="3593"/>
      <c r="Z20" s="1655"/>
      <c r="AA20" s="1656">
        <v>1</v>
      </c>
      <c r="AB20" s="1656">
        <v>1</v>
      </c>
      <c r="AC20" s="1656">
        <v>1</v>
      </c>
    </row>
    <row r="21" spans="1:29" ht="85.5">
      <c r="A21" s="1596"/>
      <c r="B21" s="1904" t="s">
        <v>2168</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593"/>
      <c r="Q21" s="1544" t="str">
        <f>B21</f>
        <v>交通便捷度</v>
      </c>
      <c r="R21" s="1653" t="s">
        <v>25</v>
      </c>
      <c r="S21" s="1654">
        <f>F21</f>
        <v>100</v>
      </c>
      <c r="T21" s="1653" t="s">
        <v>25</v>
      </c>
      <c r="U21" s="1654">
        <f>H21</f>
        <v>100</v>
      </c>
      <c r="V21" s="1653" t="s">
        <v>25</v>
      </c>
      <c r="W21" s="1654">
        <f>J21</f>
        <v>100</v>
      </c>
      <c r="X21" s="1594"/>
      <c r="Y21" s="3593"/>
      <c r="Z21" s="1655" t="str">
        <f>Q21</f>
        <v>交通便捷度</v>
      </c>
      <c r="AA21" s="1656">
        <f t="shared" si="3"/>
        <v>1</v>
      </c>
      <c r="AB21" s="1656">
        <f t="shared" si="4"/>
        <v>1</v>
      </c>
      <c r="AC21" s="1656">
        <f t="shared" si="5"/>
        <v>1</v>
      </c>
    </row>
    <row r="22" spans="1:29" ht="15">
      <c r="A22" s="1596"/>
      <c r="B22" s="1909"/>
      <c r="C22" s="1903"/>
      <c r="D22" s="1663"/>
      <c r="E22" s="1660"/>
      <c r="F22" s="1659"/>
      <c r="G22" s="1660"/>
      <c r="H22" s="1659"/>
      <c r="I22" s="1662"/>
      <c r="J22" s="1659"/>
      <c r="K22" s="1897"/>
      <c r="L22" s="2919"/>
      <c r="M22" s="2915"/>
      <c r="N22" s="2915"/>
      <c r="O22" s="2963"/>
      <c r="P22" s="3593"/>
      <c r="Q22" s="1544"/>
      <c r="R22" s="1653"/>
      <c r="S22" s="1654"/>
      <c r="T22" s="1653"/>
      <c r="U22" s="1654"/>
      <c r="V22" s="1653"/>
      <c r="W22" s="1654"/>
      <c r="X22" s="1594"/>
      <c r="Y22" s="3593"/>
      <c r="Z22" s="1655"/>
      <c r="AA22" s="1656">
        <v>1</v>
      </c>
      <c r="AB22" s="1656">
        <v>1</v>
      </c>
      <c r="AC22" s="1656">
        <v>1</v>
      </c>
    </row>
    <row r="23" spans="1:29" ht="15">
      <c r="A23" s="1596"/>
      <c r="B23" s="1386" t="s">
        <v>2208</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593"/>
      <c r="Q23" s="1544" t="str">
        <f t="shared" ref="Q23:Q37" si="8">B23</f>
        <v>区域土地利用方向</v>
      </c>
      <c r="R23" s="1653" t="s">
        <v>25</v>
      </c>
      <c r="S23" s="1654">
        <f>F23</f>
        <v>100</v>
      </c>
      <c r="T23" s="1653" t="s">
        <v>25</v>
      </c>
      <c r="U23" s="1654">
        <f>H23</f>
        <v>100</v>
      </c>
      <c r="V23" s="1653" t="s">
        <v>25</v>
      </c>
      <c r="W23" s="1654">
        <f>J23</f>
        <v>100</v>
      </c>
      <c r="X23" s="1594"/>
      <c r="Y23" s="3593"/>
      <c r="Z23" s="1655" t="str">
        <f>Q23</f>
        <v>区域土地利用方向</v>
      </c>
      <c r="AA23" s="1656">
        <f t="shared" si="3"/>
        <v>1</v>
      </c>
      <c r="AB23" s="1656">
        <f t="shared" si="4"/>
        <v>1</v>
      </c>
      <c r="AC23" s="1656">
        <f t="shared" si="5"/>
        <v>1</v>
      </c>
    </row>
    <row r="24" spans="1:29" ht="15">
      <c r="A24" s="1596"/>
      <c r="B24" s="1387"/>
      <c r="C24" s="1911"/>
      <c r="D24" s="1659"/>
      <c r="E24" s="1660"/>
      <c r="F24" s="1659"/>
      <c r="G24" s="1662"/>
      <c r="H24" s="1659"/>
      <c r="I24" s="1662"/>
      <c r="J24" s="1659"/>
      <c r="K24" s="1912"/>
      <c r="L24" s="2919"/>
      <c r="M24" s="2915"/>
      <c r="N24" s="2915"/>
      <c r="O24" s="2963"/>
      <c r="P24" s="3593"/>
      <c r="Q24" s="1544"/>
      <c r="R24" s="1653"/>
      <c r="S24" s="1654"/>
      <c r="T24" s="1653"/>
      <c r="U24" s="1654"/>
      <c r="V24" s="1653"/>
      <c r="W24" s="1654"/>
      <c r="X24" s="1594"/>
      <c r="Y24" s="3593"/>
      <c r="Z24" s="1655"/>
      <c r="AA24" s="1656"/>
      <c r="AB24" s="1656"/>
      <c r="AC24" s="1656"/>
    </row>
    <row r="25" spans="1:29" ht="57">
      <c r="A25" s="1596"/>
      <c r="B25" s="1909" t="s">
        <v>2209</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593"/>
      <c r="Q25" s="1544" t="str">
        <f t="shared" si="8"/>
        <v>自然及人文环境状况</v>
      </c>
      <c r="R25" s="1653" t="s">
        <v>25</v>
      </c>
      <c r="S25" s="1654">
        <f>F25</f>
        <v>100</v>
      </c>
      <c r="T25" s="1653" t="s">
        <v>25</v>
      </c>
      <c r="U25" s="1654">
        <f>H25</f>
        <v>100</v>
      </c>
      <c r="V25" s="1653" t="s">
        <v>25</v>
      </c>
      <c r="W25" s="1654">
        <f>J25</f>
        <v>100</v>
      </c>
      <c r="X25" s="1594"/>
      <c r="Y25" s="3593"/>
      <c r="Z25" s="1655" t="str">
        <f>Q25</f>
        <v>自然及人文环境状况</v>
      </c>
      <c r="AA25" s="1656">
        <f t="shared" si="3"/>
        <v>1</v>
      </c>
      <c r="AB25" s="1656">
        <f t="shared" si="4"/>
        <v>1</v>
      </c>
      <c r="AC25" s="1656">
        <f t="shared" si="5"/>
        <v>1</v>
      </c>
    </row>
    <row r="26" spans="1:29" ht="15">
      <c r="A26" s="1596"/>
      <c r="B26" s="1906"/>
      <c r="C26" s="1903"/>
      <c r="D26" s="1659"/>
      <c r="E26" s="1903"/>
      <c r="F26" s="1659"/>
      <c r="G26" s="1903"/>
      <c r="H26" s="1659"/>
      <c r="I26" s="1658"/>
      <c r="J26" s="1659"/>
      <c r="K26" s="1897"/>
      <c r="L26" s="2919"/>
      <c r="M26" s="2915"/>
      <c r="N26" s="2915"/>
      <c r="O26" s="2963"/>
      <c r="P26" s="3593"/>
      <c r="Q26" s="1544"/>
      <c r="R26" s="1653"/>
      <c r="S26" s="1654"/>
      <c r="T26" s="1653"/>
      <c r="U26" s="1654"/>
      <c r="V26" s="1653"/>
      <c r="W26" s="1654"/>
      <c r="X26" s="1594"/>
      <c r="Y26" s="3593"/>
      <c r="Z26" s="1655"/>
      <c r="AA26" s="1656">
        <v>1</v>
      </c>
      <c r="AB26" s="1656">
        <v>1</v>
      </c>
      <c r="AC26" s="1656">
        <v>1</v>
      </c>
    </row>
    <row r="27" spans="1:29" ht="42.75">
      <c r="A27" s="1596"/>
      <c r="B27" s="1909" t="s">
        <v>2117</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593"/>
      <c r="Q27" s="1563" t="str">
        <f t="shared" ref="Q27" si="9">B27</f>
        <v>公共配套设施</v>
      </c>
      <c r="R27" s="1609" t="s">
        <v>25</v>
      </c>
      <c r="S27" s="1610">
        <f>F27</f>
        <v>100</v>
      </c>
      <c r="T27" s="1609" t="s">
        <v>25</v>
      </c>
      <c r="U27" s="1610">
        <f>H27</f>
        <v>100</v>
      </c>
      <c r="V27" s="1609" t="s">
        <v>25</v>
      </c>
      <c r="W27" s="1610">
        <f>J27</f>
        <v>100</v>
      </c>
      <c r="X27" s="1594"/>
      <c r="Y27" s="3593"/>
      <c r="Z27" s="1621" t="str">
        <f>Q27</f>
        <v>公共配套设施</v>
      </c>
      <c r="AA27" s="1656">
        <f>D27/F27</f>
        <v>1</v>
      </c>
      <c r="AB27" s="1656">
        <f>D27/H27</f>
        <v>1</v>
      </c>
      <c r="AC27" s="1656">
        <f>D27/J27</f>
        <v>1</v>
      </c>
    </row>
    <row r="28" spans="1:29" ht="15">
      <c r="A28" s="1596"/>
      <c r="B28" s="1906"/>
      <c r="C28" s="1914"/>
      <c r="D28" s="1659"/>
      <c r="E28" s="1914"/>
      <c r="F28" s="1659"/>
      <c r="G28" s="1914"/>
      <c r="H28" s="1659"/>
      <c r="I28" s="1914"/>
      <c r="J28" s="1659"/>
      <c r="K28" s="1897"/>
      <c r="L28" s="2919"/>
      <c r="M28" s="2915"/>
      <c r="N28" s="2915"/>
      <c r="O28" s="2963"/>
      <c r="P28" s="3593"/>
      <c r="Q28" s="1544"/>
      <c r="R28" s="1653"/>
      <c r="S28" s="1654"/>
      <c r="T28" s="1653"/>
      <c r="U28" s="1654"/>
      <c r="V28" s="1653"/>
      <c r="W28" s="1654"/>
      <c r="X28" s="1594"/>
      <c r="Y28" s="3593"/>
      <c r="Z28" s="1621"/>
      <c r="AA28" s="1656">
        <v>1</v>
      </c>
      <c r="AB28" s="1656">
        <v>1</v>
      </c>
      <c r="AC28" s="1656">
        <v>1</v>
      </c>
    </row>
    <row r="29" spans="1:29" s="1613" customFormat="1" ht="28.5">
      <c r="A29" s="1915"/>
      <c r="B29" s="1909" t="s">
        <v>2118</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593"/>
      <c r="Q29" s="1563" t="str">
        <f t="shared" si="8"/>
        <v>基础设施水平</v>
      </c>
      <c r="R29" s="1609" t="s">
        <v>25</v>
      </c>
      <c r="S29" s="1610">
        <f>F29</f>
        <v>100</v>
      </c>
      <c r="T29" s="1609" t="s">
        <v>25</v>
      </c>
      <c r="U29" s="1610">
        <f>H29</f>
        <v>100</v>
      </c>
      <c r="V29" s="1609" t="s">
        <v>25</v>
      </c>
      <c r="W29" s="1610">
        <f>J29</f>
        <v>100</v>
      </c>
      <c r="X29" s="1611"/>
      <c r="Y29" s="3593"/>
      <c r="Z29" s="1621" t="str">
        <f>Q29</f>
        <v>基础设施水平</v>
      </c>
      <c r="AA29" s="1656">
        <f>D29/F29</f>
        <v>1</v>
      </c>
      <c r="AB29" s="1656">
        <f>D29/H29</f>
        <v>1</v>
      </c>
      <c r="AC29" s="1656">
        <f>D29/J29</f>
        <v>1</v>
      </c>
    </row>
    <row r="30" spans="1:29" s="1613" customFormat="1" ht="15">
      <c r="A30" s="1915"/>
      <c r="B30" s="1906"/>
      <c r="C30" s="1914"/>
      <c r="D30" s="1659"/>
      <c r="E30" s="1914"/>
      <c r="F30" s="1659"/>
      <c r="G30" s="1914"/>
      <c r="H30" s="1659"/>
      <c r="I30" s="1914"/>
      <c r="J30" s="1659"/>
      <c r="K30" s="1897"/>
      <c r="L30" s="2914"/>
      <c r="M30" s="2887"/>
      <c r="N30" s="2887"/>
      <c r="O30" s="2961"/>
      <c r="P30" s="3593"/>
      <c r="Q30" s="1563"/>
      <c r="R30" s="1609"/>
      <c r="S30" s="1610"/>
      <c r="T30" s="1609"/>
      <c r="U30" s="1610"/>
      <c r="V30" s="1609"/>
      <c r="W30" s="1610"/>
      <c r="X30" s="1611"/>
      <c r="Y30" s="3593"/>
      <c r="Z30" s="1621"/>
      <c r="AA30" s="1656">
        <v>1</v>
      </c>
      <c r="AB30" s="1656">
        <v>1</v>
      </c>
      <c r="AC30" s="1656">
        <v>1</v>
      </c>
    </row>
    <row r="31" spans="1:29" ht="15">
      <c r="A31" s="1596"/>
      <c r="B31" s="1906" t="s">
        <v>2119</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593"/>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593"/>
      <c r="Z31" s="1655" t="str">
        <f t="shared" ref="Z31:Z45" si="13">Q31</f>
        <v>临街状况</v>
      </c>
      <c r="AA31" s="1656">
        <f t="shared" si="3"/>
        <v>1</v>
      </c>
      <c r="AB31" s="1656">
        <f t="shared" si="4"/>
        <v>1</v>
      </c>
      <c r="AC31" s="1656">
        <f t="shared" si="5"/>
        <v>1</v>
      </c>
    </row>
    <row r="32" spans="1:29" ht="27">
      <c r="A32" s="1596"/>
      <c r="B32" s="1909"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593"/>
      <c r="Q32" s="1544" t="str">
        <f t="shared" si="8"/>
        <v>毗邻道路的类型与等级</v>
      </c>
      <c r="R32" s="1653" t="s">
        <v>25</v>
      </c>
      <c r="S32" s="1654">
        <f t="shared" si="10"/>
        <v>100</v>
      </c>
      <c r="T32" s="1653" t="s">
        <v>25</v>
      </c>
      <c r="U32" s="1654">
        <f t="shared" si="11"/>
        <v>100</v>
      </c>
      <c r="V32" s="1653" t="s">
        <v>25</v>
      </c>
      <c r="W32" s="1654">
        <f t="shared" si="12"/>
        <v>100</v>
      </c>
      <c r="X32" s="1594"/>
      <c r="Y32" s="3593"/>
      <c r="Z32" s="1655" t="str">
        <f t="shared" si="13"/>
        <v>毗邻道路的类型与等级</v>
      </c>
      <c r="AA32" s="1656">
        <f t="shared" si="3"/>
        <v>1</v>
      </c>
      <c r="AB32" s="1656">
        <f t="shared" si="4"/>
        <v>1</v>
      </c>
      <c r="AC32" s="1656">
        <f t="shared" si="5"/>
        <v>1</v>
      </c>
    </row>
    <row r="33" spans="1:29" ht="15">
      <c r="A33" s="1596"/>
      <c r="B33" s="1906"/>
      <c r="C33" s="1903"/>
      <c r="D33" s="1659"/>
      <c r="E33" s="1903"/>
      <c r="F33" s="1659"/>
      <c r="G33" s="1903"/>
      <c r="H33" s="1659"/>
      <c r="I33" s="1658"/>
      <c r="J33" s="1659"/>
      <c r="K33" s="1917"/>
      <c r="L33" s="2919"/>
      <c r="M33" s="2915"/>
      <c r="N33" s="2915"/>
      <c r="O33" s="2963"/>
      <c r="P33" s="3593"/>
      <c r="Q33" s="1544"/>
      <c r="R33" s="1653"/>
      <c r="S33" s="1654"/>
      <c r="T33" s="1653"/>
      <c r="U33" s="1654"/>
      <c r="V33" s="1653"/>
      <c r="W33" s="1654"/>
      <c r="X33" s="1594"/>
      <c r="Y33" s="3593"/>
      <c r="Z33" s="1655"/>
      <c r="AA33" s="1656">
        <v>1</v>
      </c>
      <c r="AB33" s="1656">
        <v>1</v>
      </c>
      <c r="AC33" s="1656">
        <v>1</v>
      </c>
    </row>
    <row r="34" spans="1:29" ht="15">
      <c r="A34" s="1596"/>
      <c r="B34" s="1918" t="s">
        <v>2210</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593"/>
      <c r="Q34" s="1544" t="str">
        <f t="shared" si="8"/>
        <v>土地级别</v>
      </c>
      <c r="R34" s="1653" t="s">
        <v>25</v>
      </c>
      <c r="S34" s="1654">
        <f t="shared" si="10"/>
        <v>100</v>
      </c>
      <c r="T34" s="1653" t="s">
        <v>25</v>
      </c>
      <c r="U34" s="1654">
        <f t="shared" si="11"/>
        <v>100</v>
      </c>
      <c r="V34" s="1653" t="s">
        <v>25</v>
      </c>
      <c r="W34" s="1654">
        <f t="shared" si="12"/>
        <v>100</v>
      </c>
      <c r="X34" s="1594"/>
      <c r="Y34" s="3593"/>
      <c r="Z34" s="1655" t="str">
        <f t="shared" si="13"/>
        <v>土地级别</v>
      </c>
      <c r="AA34" s="1656">
        <f t="shared" si="3"/>
        <v>1</v>
      </c>
      <c r="AB34" s="1656">
        <f t="shared" si="4"/>
        <v>1</v>
      </c>
      <c r="AC34" s="1656">
        <f t="shared" si="5"/>
        <v>1</v>
      </c>
    </row>
    <row r="35" spans="1:29" ht="15">
      <c r="A35" s="1596"/>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593"/>
      <c r="Q35" s="1544">
        <f t="shared" si="8"/>
        <v>111</v>
      </c>
      <c r="R35" s="1653" t="s">
        <v>25</v>
      </c>
      <c r="S35" s="1654">
        <f t="shared" si="10"/>
        <v>100</v>
      </c>
      <c r="T35" s="1653" t="s">
        <v>25</v>
      </c>
      <c r="U35" s="1654">
        <f t="shared" si="11"/>
        <v>100</v>
      </c>
      <c r="V35" s="1653" t="s">
        <v>25</v>
      </c>
      <c r="W35" s="1654">
        <f t="shared" si="12"/>
        <v>100</v>
      </c>
      <c r="X35" s="1594"/>
      <c r="Y35" s="3593"/>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1" t="s">
        <v>2037</v>
      </c>
      <c r="Q36" s="1544">
        <f t="shared" si="8"/>
        <v>111</v>
      </c>
      <c r="R36" s="1653" t="s">
        <v>25</v>
      </c>
      <c r="S36" s="1654">
        <f t="shared" si="10"/>
        <v>100</v>
      </c>
      <c r="T36" s="1653" t="s">
        <v>25</v>
      </c>
      <c r="U36" s="1654">
        <f t="shared" si="11"/>
        <v>100</v>
      </c>
      <c r="V36" s="1653" t="s">
        <v>25</v>
      </c>
      <c r="W36" s="1654">
        <f t="shared" si="12"/>
        <v>100</v>
      </c>
      <c r="X36" s="1594"/>
      <c r="Y36" s="3597" t="s">
        <v>2037</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597"/>
      <c r="Q37" s="1544">
        <f t="shared" si="8"/>
        <v>111</v>
      </c>
      <c r="R37" s="1695" t="s">
        <v>25</v>
      </c>
      <c r="S37" s="1696">
        <f t="shared" si="10"/>
        <v>100</v>
      </c>
      <c r="T37" s="1695" t="s">
        <v>25</v>
      </c>
      <c r="U37" s="1696">
        <f t="shared" si="11"/>
        <v>100</v>
      </c>
      <c r="V37" s="1695" t="s">
        <v>25</v>
      </c>
      <c r="W37" s="1696">
        <f t="shared" si="12"/>
        <v>100</v>
      </c>
      <c r="X37" s="1697"/>
      <c r="Y37" s="3597"/>
      <c r="Z37" s="1698">
        <f t="shared" si="13"/>
        <v>111</v>
      </c>
      <c r="AA37" s="1656">
        <f t="shared" si="3"/>
        <v>1</v>
      </c>
      <c r="AB37" s="1656">
        <f t="shared" si="4"/>
        <v>1</v>
      </c>
      <c r="AC37" s="1656">
        <f t="shared" si="5"/>
        <v>1</v>
      </c>
    </row>
    <row r="38" spans="1:29" ht="15">
      <c r="A38" s="1591" t="s">
        <v>2035</v>
      </c>
      <c r="B38" s="1671" t="s">
        <v>2211</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597"/>
      <c r="Q38" s="1544" t="str">
        <f>B38</f>
        <v>宗地面积</v>
      </c>
      <c r="R38" s="1653" t="s">
        <v>25</v>
      </c>
      <c r="S38" s="1654" t="e">
        <f t="shared" si="10"/>
        <v>#N/A</v>
      </c>
      <c r="T38" s="1653" t="s">
        <v>25</v>
      </c>
      <c r="U38" s="1654" t="e">
        <f t="shared" si="11"/>
        <v>#N/A</v>
      </c>
      <c r="V38" s="1653" t="s">
        <v>25</v>
      </c>
      <c r="W38" s="1654" t="e">
        <f t="shared" si="12"/>
        <v>#N/A</v>
      </c>
      <c r="X38" s="1594"/>
      <c r="Y38" s="3597"/>
      <c r="Z38" s="1655" t="str">
        <f t="shared" si="13"/>
        <v>宗地面积</v>
      </c>
      <c r="AA38" s="1656" t="e">
        <f t="shared" si="3"/>
        <v>#N/A</v>
      </c>
      <c r="AB38" s="1656" t="e">
        <f t="shared" si="4"/>
        <v>#N/A</v>
      </c>
      <c r="AC38" s="1656" t="e">
        <f t="shared" si="5"/>
        <v>#N/A</v>
      </c>
    </row>
    <row r="39" spans="1:29" ht="15">
      <c r="A39" s="1700"/>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597"/>
      <c r="Q39" s="1544" t="str">
        <f t="shared" ref="Q39:Q45" si="14">B39</f>
        <v>宗地形状</v>
      </c>
      <c r="R39" s="1653" t="s">
        <v>25</v>
      </c>
      <c r="S39" s="1654">
        <f t="shared" si="10"/>
        <v>100</v>
      </c>
      <c r="T39" s="1653" t="s">
        <v>25</v>
      </c>
      <c r="U39" s="1654">
        <f t="shared" si="11"/>
        <v>100</v>
      </c>
      <c r="V39" s="1653" t="s">
        <v>25</v>
      </c>
      <c r="W39" s="1654">
        <f t="shared" si="12"/>
        <v>100</v>
      </c>
      <c r="X39" s="1594"/>
      <c r="Y39" s="3597"/>
      <c r="Z39" s="1655" t="str">
        <f t="shared" si="13"/>
        <v>宗地形状</v>
      </c>
      <c r="AA39" s="1656">
        <f t="shared" si="3"/>
        <v>1</v>
      </c>
      <c r="AB39" s="1656">
        <f t="shared" si="4"/>
        <v>1</v>
      </c>
      <c r="AC39" s="1656">
        <f t="shared" si="5"/>
        <v>1</v>
      </c>
    </row>
    <row r="40" spans="1:29" ht="15">
      <c r="A40" s="1700"/>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597"/>
      <c r="Q40" s="1544" t="str">
        <f t="shared" si="14"/>
        <v>临街宽度及深度</v>
      </c>
      <c r="R40" s="1653" t="s">
        <v>25</v>
      </c>
      <c r="S40" s="1654">
        <f t="shared" si="10"/>
        <v>100</v>
      </c>
      <c r="T40" s="1653" t="s">
        <v>25</v>
      </c>
      <c r="U40" s="1654">
        <f t="shared" si="11"/>
        <v>100</v>
      </c>
      <c r="V40" s="1653" t="s">
        <v>25</v>
      </c>
      <c r="W40" s="1654">
        <f t="shared" si="12"/>
        <v>100</v>
      </c>
      <c r="X40" s="1594"/>
      <c r="Y40" s="3597"/>
      <c r="Z40" s="1655" t="str">
        <f t="shared" si="13"/>
        <v>临街宽度及深度</v>
      </c>
      <c r="AA40" s="1656">
        <f t="shared" si="3"/>
        <v>1</v>
      </c>
      <c r="AB40" s="1656">
        <f t="shared" si="4"/>
        <v>1</v>
      </c>
      <c r="AC40" s="1656">
        <f t="shared" si="5"/>
        <v>1</v>
      </c>
    </row>
    <row r="41" spans="1:29" s="1613" customFormat="1" ht="15">
      <c r="A41" s="1703"/>
      <c r="B41" s="1623" t="s">
        <v>2214</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1" t="str">
        <f t="shared" si="13"/>
        <v>宗地开发程度</v>
      </c>
      <c r="AA41" s="1612">
        <f t="shared" si="3"/>
        <v>1</v>
      </c>
      <c r="AB41" s="1612">
        <f t="shared" si="4"/>
        <v>1</v>
      </c>
      <c r="AC41" s="1612">
        <f t="shared" si="5"/>
        <v>1</v>
      </c>
    </row>
    <row r="42" spans="1:29" ht="15">
      <c r="A42" s="1700"/>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597" t="s">
        <v>2037</v>
      </c>
      <c r="Q42" s="1544" t="str">
        <f t="shared" si="14"/>
        <v>工程地质条件</v>
      </c>
      <c r="R42" s="1653" t="s">
        <v>25</v>
      </c>
      <c r="S42" s="1654">
        <f t="shared" si="10"/>
        <v>100</v>
      </c>
      <c r="T42" s="1653" t="s">
        <v>25</v>
      </c>
      <c r="U42" s="1654">
        <f t="shared" si="11"/>
        <v>100</v>
      </c>
      <c r="V42" s="1653" t="s">
        <v>25</v>
      </c>
      <c r="W42" s="1654">
        <f t="shared" si="12"/>
        <v>100</v>
      </c>
      <c r="X42" s="1594"/>
      <c r="Y42" s="3597" t="s">
        <v>2037</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597"/>
      <c r="Q43" s="1544">
        <f t="shared" si="14"/>
        <v>111</v>
      </c>
      <c r="R43" s="1653" t="s">
        <v>25</v>
      </c>
      <c r="S43" s="1654">
        <f t="shared" si="10"/>
        <v>100</v>
      </c>
      <c r="T43" s="1653" t="s">
        <v>25</v>
      </c>
      <c r="U43" s="1654">
        <f t="shared" si="11"/>
        <v>100</v>
      </c>
      <c r="V43" s="1653" t="s">
        <v>25</v>
      </c>
      <c r="W43" s="1654">
        <f t="shared" si="12"/>
        <v>100</v>
      </c>
      <c r="X43" s="1594"/>
      <c r="Y43" s="3597"/>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597"/>
      <c r="Q44" s="1544">
        <f t="shared" si="14"/>
        <v>111</v>
      </c>
      <c r="R44" s="1653" t="s">
        <v>25</v>
      </c>
      <c r="S44" s="1654">
        <f t="shared" si="10"/>
        <v>100</v>
      </c>
      <c r="T44" s="1653" t="s">
        <v>25</v>
      </c>
      <c r="U44" s="1654">
        <f t="shared" si="11"/>
        <v>100</v>
      </c>
      <c r="V44" s="1653" t="s">
        <v>25</v>
      </c>
      <c r="W44" s="1654">
        <f t="shared" si="12"/>
        <v>100</v>
      </c>
      <c r="X44" s="1594"/>
      <c r="Y44" s="3597"/>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597"/>
      <c r="Q45" s="1544">
        <f t="shared" si="14"/>
        <v>111</v>
      </c>
      <c r="R45" s="1695" t="s">
        <v>25</v>
      </c>
      <c r="S45" s="1696">
        <f t="shared" si="10"/>
        <v>100</v>
      </c>
      <c r="T45" s="1695" t="s">
        <v>25</v>
      </c>
      <c r="U45" s="1696">
        <f t="shared" si="11"/>
        <v>100</v>
      </c>
      <c r="V45" s="1695" t="s">
        <v>25</v>
      </c>
      <c r="W45" s="1696">
        <f t="shared" si="12"/>
        <v>100</v>
      </c>
      <c r="X45" s="1697"/>
      <c r="Y45" s="3597"/>
      <c r="Z45" s="1698">
        <f t="shared" si="13"/>
        <v>111</v>
      </c>
      <c r="AA45" s="1656">
        <f t="shared" si="3"/>
        <v>1</v>
      </c>
      <c r="AB45" s="1656">
        <f t="shared" si="4"/>
        <v>1</v>
      </c>
      <c r="AC45" s="1656">
        <f t="shared" si="5"/>
        <v>1</v>
      </c>
    </row>
    <row r="46" spans="1:29" ht="15">
      <c r="A46" s="1709" t="s">
        <v>2179</v>
      </c>
      <c r="B46" s="1934" t="s">
        <v>2216</v>
      </c>
      <c r="C46" s="1935" t="s">
        <v>1</v>
      </c>
      <c r="D46" s="1936"/>
      <c r="E46" s="1937"/>
      <c r="F46" s="1938"/>
      <c r="G46" s="1939"/>
      <c r="H46" s="1940"/>
      <c r="I46" s="1937"/>
      <c r="J46" s="1940"/>
      <c r="K46" s="1941"/>
      <c r="L46" s="2920"/>
      <c r="N46" s="2915"/>
      <c r="P46" s="3589" t="str">
        <f>A46</f>
        <v>成交单价</v>
      </c>
      <c r="Q46" s="3589"/>
      <c r="R46" s="3626">
        <f>E46</f>
        <v>0</v>
      </c>
      <c r="S46" s="3626"/>
      <c r="T46" s="3626">
        <f>G46</f>
        <v>0</v>
      </c>
      <c r="U46" s="3626"/>
      <c r="V46" s="3626">
        <f>I46</f>
        <v>0</v>
      </c>
      <c r="W46" s="3626"/>
      <c r="X46" s="1719"/>
      <c r="Y46" s="1720"/>
      <c r="Z46" s="1719"/>
      <c r="AA46" s="1719"/>
      <c r="AB46" s="1719"/>
      <c r="AC46" s="1719"/>
    </row>
    <row r="47" spans="1:29" ht="15.75" thickBot="1">
      <c r="A47" s="1721" t="s">
        <v>2132</v>
      </c>
      <c r="B47" s="1942"/>
      <c r="C47" s="1943" t="e">
        <f>R48</f>
        <v>#DIV/0!</v>
      </c>
      <c r="D47" s="1724" t="s">
        <v>2503</v>
      </c>
      <c r="E47" s="1943" t="e">
        <f>R47</f>
        <v>#DIV/0!</v>
      </c>
      <c r="F47" s="1726"/>
      <c r="G47" s="1944" t="e">
        <f>T47</f>
        <v>#DIV/0!</v>
      </c>
      <c r="H47" s="1726"/>
      <c r="I47" s="1943" t="e">
        <f>V47</f>
        <v>#DIV/0!</v>
      </c>
      <c r="J47" s="1726"/>
      <c r="K47" s="2428">
        <f>F47+H47+J47</f>
        <v>0</v>
      </c>
      <c r="L47" s="2920"/>
      <c r="P47" s="3589" t="str">
        <f>A47</f>
        <v>比较价值（元/平方米）</v>
      </c>
      <c r="Q47" s="3589"/>
      <c r="R47" s="3674" t="e">
        <f>ROUND(PRODUCT(R46,AA7:AA45),0)</f>
        <v>#DIV/0!</v>
      </c>
      <c r="S47" s="3674"/>
      <c r="T47" s="3674" t="e">
        <f>ROUND(PRODUCT(T46,AB7:AB45),0)</f>
        <v>#DIV/0!</v>
      </c>
      <c r="U47" s="3674"/>
      <c r="V47" s="3674" t="e">
        <f>ROUND(PRODUCT(V46,AC7:AC45),0)</f>
        <v>#DIV/0!</v>
      </c>
      <c r="W47" s="3674"/>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586" t="str">
        <f>A48</f>
        <v>估价对象XX用房的比较价值（楼面单价，元/平方米）</v>
      </c>
      <c r="Q48" s="3587"/>
      <c r="R48" s="3675" t="e">
        <f>ROUND(IF(D47="简单平均",AVERAGE(R47:W47),R47*F47+T47*H47+V47*J47),0)</f>
        <v>#DIV/0!</v>
      </c>
      <c r="S48" s="3675"/>
      <c r="T48" s="3675"/>
      <c r="U48" s="3675"/>
      <c r="V48" s="3675"/>
      <c r="W48" s="3675"/>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t="str">
        <f>项目基本情况!G8</f>
        <v>XX</v>
      </c>
      <c r="I55" s="1522"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5"/>
      <c r="J57" s="1837"/>
      <c r="K57" s="1838"/>
      <c r="L57" s="1838"/>
      <c r="M57" s="1595"/>
      <c r="N57" s="1595"/>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5"/>
      <c r="J59" s="1837"/>
      <c r="K59" s="1838"/>
      <c r="L59" s="1838"/>
      <c r="M59" s="1595"/>
      <c r="N59" s="1595"/>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5"/>
      <c r="J60" s="1837"/>
      <c r="K60" s="1838"/>
      <c r="L60" s="1838"/>
      <c r="M60" s="1595"/>
      <c r="N60" s="1595"/>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5"/>
      <c r="J62" s="1837"/>
      <c r="K62" s="1838"/>
      <c r="L62" s="1838"/>
      <c r="M62" s="1595"/>
      <c r="N62" s="1595"/>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5"/>
      <c r="J64" s="1837"/>
      <c r="K64" s="1838"/>
      <c r="L64" s="1838"/>
      <c r="M64" s="1595"/>
      <c r="N64" s="1595"/>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2022-9-1</v>
      </c>
      <c r="D67" s="1968">
        <f>EDATE(C67,-3)</f>
        <v>44713</v>
      </c>
      <c r="E67" s="1968">
        <f t="shared" ref="E67:O67" si="18">EDATE(D67,-3)</f>
        <v>44621</v>
      </c>
      <c r="F67" s="1968">
        <f t="shared" si="18"/>
        <v>44531</v>
      </c>
      <c r="G67" s="1968">
        <f t="shared" si="18"/>
        <v>44440</v>
      </c>
      <c r="H67" s="1968">
        <f t="shared" si="18"/>
        <v>44348</v>
      </c>
      <c r="I67" s="1968">
        <f t="shared" si="18"/>
        <v>44256</v>
      </c>
      <c r="J67" s="1968">
        <f t="shared" si="18"/>
        <v>44166</v>
      </c>
      <c r="K67" s="1968">
        <f t="shared" si="18"/>
        <v>44075</v>
      </c>
      <c r="L67" s="1968">
        <f t="shared" si="18"/>
        <v>43983</v>
      </c>
      <c r="M67" s="1968">
        <f t="shared" si="18"/>
        <v>43891</v>
      </c>
      <c r="N67" s="1968">
        <f t="shared" si="18"/>
        <v>43800</v>
      </c>
      <c r="O67" s="1968">
        <f t="shared" si="18"/>
        <v>43709</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3" customFormat="1" ht="29.25" customHeight="1">
      <c r="A70" s="1979" t="s">
        <v>2236</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3"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3"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3"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3"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3"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3"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3"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3"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3"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6"/>
      <c r="I105" s="1506"/>
      <c r="J105" s="1506"/>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6"/>
      <c r="D107" s="1506"/>
      <c r="E107" s="1506"/>
      <c r="F107" s="1506"/>
      <c r="G107" s="1506"/>
      <c r="H107" s="1506"/>
      <c r="I107" s="1506"/>
      <c r="J107" s="1506"/>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6"/>
      <c r="H111" s="1506"/>
      <c r="I111" s="1506"/>
      <c r="J111" s="1506"/>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6"/>
      <c r="D118" s="1506"/>
      <c r="E118" s="1506"/>
      <c r="F118" s="1506"/>
      <c r="G118" s="1506"/>
      <c r="H118" s="1506"/>
      <c r="I118" s="1506"/>
      <c r="J118" s="1506"/>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6"/>
      <c r="G120" s="1506"/>
      <c r="H120" s="1506"/>
      <c r="I120" s="1506"/>
      <c r="J120" s="1506"/>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6"/>
      <c r="I122" s="1506"/>
      <c r="J122" s="1506"/>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6"/>
      <c r="F124" s="1506"/>
      <c r="G124" s="1506"/>
      <c r="H124" s="1506"/>
      <c r="I124" s="1506"/>
      <c r="J124" s="1506"/>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6"/>
      <c r="I126" s="1506"/>
      <c r="J126" s="1506"/>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6"/>
      <c r="H128" s="1506"/>
      <c r="I128" s="1506"/>
      <c r="J128" s="1506"/>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44817</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32" t="s">
        <v>2026</v>
      </c>
      <c r="Q9" s="1255"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110</v>
      </c>
      <c r="G10" s="322"/>
      <c r="H10" s="29">
        <f>ROUND(100/'数据-取费表'!B14,0)</f>
        <v>110</v>
      </c>
      <c r="I10" s="322"/>
      <c r="J10" s="29">
        <f>ROUND(100/'数据-取费表'!B14,0)</f>
        <v>110</v>
      </c>
      <c r="K10" s="553"/>
      <c r="L10" s="2947"/>
      <c r="M10" s="2948"/>
      <c r="N10" s="2948"/>
      <c r="O10" s="2949"/>
      <c r="P10" s="3632"/>
      <c r="Q10" s="1255" t="str">
        <f t="shared" si="6"/>
        <v>土地使用年限（年）</v>
      </c>
      <c r="R10" s="627" t="s">
        <v>25</v>
      </c>
      <c r="S10" s="628">
        <f t="shared" si="0"/>
        <v>110</v>
      </c>
      <c r="T10" s="627" t="s">
        <v>25</v>
      </c>
      <c r="U10" s="628">
        <f t="shared" si="1"/>
        <v>110</v>
      </c>
      <c r="V10" s="627" t="s">
        <v>25</v>
      </c>
      <c r="W10" s="628">
        <f t="shared" si="2"/>
        <v>110</v>
      </c>
      <c r="X10" s="629"/>
      <c r="Y10" s="3651"/>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2"/>
      <c r="Q11" s="1255"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2"/>
      <c r="Q14" s="1255">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49" t="s">
        <v>2031</v>
      </c>
      <c r="Q15" s="1262" t="str">
        <f t="shared" si="6"/>
        <v>产业集聚程度</v>
      </c>
      <c r="R15" s="631" t="s">
        <v>25</v>
      </c>
      <c r="S15" s="632">
        <f t="shared" si="0"/>
        <v>100</v>
      </c>
      <c r="T15" s="631" t="s">
        <v>25</v>
      </c>
      <c r="U15" s="632">
        <f t="shared" si="1"/>
        <v>100</v>
      </c>
      <c r="V15" s="631" t="s">
        <v>25</v>
      </c>
      <c r="W15" s="632">
        <f t="shared" si="2"/>
        <v>100</v>
      </c>
      <c r="X15" s="1263"/>
      <c r="Y15" s="3649"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50"/>
      <c r="Q16" s="1262"/>
      <c r="R16" s="631"/>
      <c r="S16" s="632"/>
      <c r="T16" s="631"/>
      <c r="U16" s="632"/>
      <c r="V16" s="631"/>
      <c r="W16" s="632"/>
      <c r="X16" s="1263"/>
      <c r="Y16" s="3650"/>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0"/>
      <c r="Q17" s="1262" t="str">
        <f>B17</f>
        <v>交通便捷度</v>
      </c>
      <c r="R17" s="631" t="s">
        <v>25</v>
      </c>
      <c r="S17" s="632">
        <f>F17</f>
        <v>100</v>
      </c>
      <c r="T17" s="631" t="s">
        <v>25</v>
      </c>
      <c r="U17" s="632">
        <f>H17</f>
        <v>100</v>
      </c>
      <c r="V17" s="631" t="s">
        <v>25</v>
      </c>
      <c r="W17" s="632">
        <f>J17</f>
        <v>100</v>
      </c>
      <c r="X17" s="1263"/>
      <c r="Y17" s="3650"/>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50"/>
      <c r="Q18" s="1262"/>
      <c r="R18" s="631"/>
      <c r="S18" s="632"/>
      <c r="T18" s="631"/>
      <c r="U18" s="632"/>
      <c r="V18" s="631"/>
      <c r="W18" s="632"/>
      <c r="X18" s="1263"/>
      <c r="Y18" s="3650"/>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0"/>
      <c r="Q19" s="1262" t="str">
        <f t="shared" ref="Q19:Q33" si="8">B19</f>
        <v>区域土地利用方向</v>
      </c>
      <c r="R19" s="631" t="s">
        <v>25</v>
      </c>
      <c r="S19" s="632">
        <f>F19</f>
        <v>100</v>
      </c>
      <c r="T19" s="631" t="s">
        <v>25</v>
      </c>
      <c r="U19" s="632">
        <f>H19</f>
        <v>100</v>
      </c>
      <c r="V19" s="631" t="s">
        <v>25</v>
      </c>
      <c r="W19" s="632">
        <f>J19</f>
        <v>100</v>
      </c>
      <c r="X19" s="1263"/>
      <c r="Y19" s="3650"/>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50"/>
      <c r="Q20" s="1262"/>
      <c r="R20" s="631"/>
      <c r="S20" s="632"/>
      <c r="T20" s="631"/>
      <c r="U20" s="632"/>
      <c r="V20" s="631"/>
      <c r="W20" s="632"/>
      <c r="X20" s="1263"/>
      <c r="Y20" s="3650"/>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0"/>
      <c r="Q21" s="1262" t="str">
        <f t="shared" si="8"/>
        <v>环境状况</v>
      </c>
      <c r="R21" s="631" t="s">
        <v>25</v>
      </c>
      <c r="S21" s="632">
        <f>F21</f>
        <v>100</v>
      </c>
      <c r="T21" s="631" t="s">
        <v>25</v>
      </c>
      <c r="U21" s="632">
        <f>H21</f>
        <v>100</v>
      </c>
      <c r="V21" s="631" t="s">
        <v>25</v>
      </c>
      <c r="W21" s="632">
        <f>J21</f>
        <v>100</v>
      </c>
      <c r="X21" s="1263"/>
      <c r="Y21" s="3650"/>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50"/>
      <c r="Q22" s="1262"/>
      <c r="R22" s="631"/>
      <c r="S22" s="632"/>
      <c r="T22" s="631"/>
      <c r="U22" s="632"/>
      <c r="V22" s="631"/>
      <c r="W22" s="632"/>
      <c r="X22" s="1263"/>
      <c r="Y22" s="3650"/>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0"/>
      <c r="Q23" s="1255" t="str">
        <f t="shared" si="8"/>
        <v>公共配套设施</v>
      </c>
      <c r="R23" s="627" t="s">
        <v>25</v>
      </c>
      <c r="S23" s="628">
        <f>F23</f>
        <v>100</v>
      </c>
      <c r="T23" s="627" t="s">
        <v>25</v>
      </c>
      <c r="U23" s="628">
        <f>H23</f>
        <v>100</v>
      </c>
      <c r="V23" s="627" t="s">
        <v>25</v>
      </c>
      <c r="W23" s="628">
        <f>J23</f>
        <v>100</v>
      </c>
      <c r="X23" s="629"/>
      <c r="Y23" s="3650"/>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50"/>
      <c r="Q24" s="1255"/>
      <c r="R24" s="627"/>
      <c r="S24" s="628"/>
      <c r="T24" s="627"/>
      <c r="U24" s="628"/>
      <c r="V24" s="627"/>
      <c r="W24" s="628"/>
      <c r="X24" s="629"/>
      <c r="Y24" s="3650"/>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0"/>
      <c r="Q25" s="1255" t="str">
        <f t="shared" ref="Q25" si="9">B25</f>
        <v>基础设施水平</v>
      </c>
      <c r="R25" s="627" t="s">
        <v>25</v>
      </c>
      <c r="S25" s="628">
        <f>F25</f>
        <v>100</v>
      </c>
      <c r="T25" s="627" t="s">
        <v>25</v>
      </c>
      <c r="U25" s="628">
        <f>H25</f>
        <v>100</v>
      </c>
      <c r="V25" s="627" t="s">
        <v>25</v>
      </c>
      <c r="W25" s="628">
        <f>J25</f>
        <v>100</v>
      </c>
      <c r="X25" s="629"/>
      <c r="Y25" s="3650"/>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50"/>
      <c r="Q26" s="1255"/>
      <c r="R26" s="627"/>
      <c r="S26" s="628"/>
      <c r="T26" s="627"/>
      <c r="U26" s="628"/>
      <c r="V26" s="627"/>
      <c r="W26" s="628"/>
      <c r="X26" s="629"/>
      <c r="Y26" s="3650"/>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0"/>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0"/>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0"/>
      <c r="Q28" s="1262" t="str">
        <f t="shared" si="8"/>
        <v>毗邻道路的类型与等级</v>
      </c>
      <c r="R28" s="631" t="s">
        <v>25</v>
      </c>
      <c r="S28" s="632">
        <f t="shared" si="10"/>
        <v>100</v>
      </c>
      <c r="T28" s="631" t="s">
        <v>25</v>
      </c>
      <c r="U28" s="632">
        <f t="shared" si="11"/>
        <v>100</v>
      </c>
      <c r="V28" s="631" t="s">
        <v>25</v>
      </c>
      <c r="W28" s="632">
        <f t="shared" si="12"/>
        <v>100</v>
      </c>
      <c r="X28" s="1263"/>
      <c r="Y28" s="3650"/>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50"/>
      <c r="Q29" s="1262"/>
      <c r="R29" s="631"/>
      <c r="S29" s="632"/>
      <c r="T29" s="631"/>
      <c r="U29" s="632"/>
      <c r="V29" s="631"/>
      <c r="W29" s="632"/>
      <c r="X29" s="1263"/>
      <c r="Y29" s="3650"/>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0"/>
      <c r="Q30" s="1262" t="str">
        <f t="shared" si="8"/>
        <v>土地级别</v>
      </c>
      <c r="R30" s="631" t="s">
        <v>25</v>
      </c>
      <c r="S30" s="632">
        <f t="shared" si="10"/>
        <v>100</v>
      </c>
      <c r="T30" s="631" t="s">
        <v>25</v>
      </c>
      <c r="U30" s="632">
        <f t="shared" si="11"/>
        <v>100</v>
      </c>
      <c r="V30" s="631" t="s">
        <v>25</v>
      </c>
      <c r="W30" s="632">
        <f t="shared" si="12"/>
        <v>100</v>
      </c>
      <c r="X30" s="1263"/>
      <c r="Y30" s="3650"/>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0"/>
      <c r="Q31" s="1262">
        <f t="shared" si="8"/>
        <v>111</v>
      </c>
      <c r="R31" s="631" t="s">
        <v>25</v>
      </c>
      <c r="S31" s="632">
        <f t="shared" si="10"/>
        <v>100</v>
      </c>
      <c r="T31" s="631" t="s">
        <v>25</v>
      </c>
      <c r="U31" s="632">
        <f t="shared" si="11"/>
        <v>100</v>
      </c>
      <c r="V31" s="631" t="s">
        <v>25</v>
      </c>
      <c r="W31" s="632">
        <f t="shared" si="12"/>
        <v>100</v>
      </c>
      <c r="X31" s="1263"/>
      <c r="Y31" s="3650"/>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37" t="s">
        <v>2037</v>
      </c>
      <c r="Q32" s="1262">
        <f t="shared" si="8"/>
        <v>111</v>
      </c>
      <c r="R32" s="631" t="s">
        <v>25</v>
      </c>
      <c r="S32" s="632">
        <f t="shared" si="10"/>
        <v>100</v>
      </c>
      <c r="T32" s="631" t="s">
        <v>25</v>
      </c>
      <c r="U32" s="632">
        <f t="shared" si="11"/>
        <v>100</v>
      </c>
      <c r="V32" s="631" t="s">
        <v>25</v>
      </c>
      <c r="W32" s="632">
        <f t="shared" si="12"/>
        <v>100</v>
      </c>
      <c r="X32" s="1263"/>
      <c r="Y32" s="363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38"/>
      <c r="Q33" s="1262">
        <f t="shared" si="8"/>
        <v>111</v>
      </c>
      <c r="R33" s="634" t="s">
        <v>25</v>
      </c>
      <c r="S33" s="635">
        <f t="shared" si="10"/>
        <v>100</v>
      </c>
      <c r="T33" s="634" t="s">
        <v>25</v>
      </c>
      <c r="U33" s="635">
        <f t="shared" si="11"/>
        <v>100</v>
      </c>
      <c r="V33" s="634" t="s">
        <v>25</v>
      </c>
      <c r="W33" s="635">
        <f t="shared" si="12"/>
        <v>100</v>
      </c>
      <c r="X33" s="636"/>
      <c r="Y33" s="363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38"/>
      <c r="Q34" s="1262" t="str">
        <f>B34</f>
        <v>宗地面积</v>
      </c>
      <c r="R34" s="631" t="s">
        <v>25</v>
      </c>
      <c r="S34" s="632" t="e">
        <f t="shared" si="10"/>
        <v>#N/A</v>
      </c>
      <c r="T34" s="631" t="s">
        <v>25</v>
      </c>
      <c r="U34" s="632" t="e">
        <f t="shared" si="11"/>
        <v>#N/A</v>
      </c>
      <c r="V34" s="631" t="s">
        <v>25</v>
      </c>
      <c r="W34" s="632" t="e">
        <f t="shared" si="12"/>
        <v>#N/A</v>
      </c>
      <c r="X34" s="1263"/>
      <c r="Y34" s="363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38"/>
      <c r="Q35" s="1262" t="str">
        <f t="shared" ref="Q35:Q40" si="14">B35</f>
        <v>宗地形状</v>
      </c>
      <c r="R35" s="631" t="s">
        <v>25</v>
      </c>
      <c r="S35" s="632">
        <f t="shared" si="10"/>
        <v>100</v>
      </c>
      <c r="T35" s="631" t="s">
        <v>25</v>
      </c>
      <c r="U35" s="632">
        <f t="shared" si="11"/>
        <v>100</v>
      </c>
      <c r="V35" s="631" t="s">
        <v>25</v>
      </c>
      <c r="W35" s="632">
        <f t="shared" si="12"/>
        <v>100</v>
      </c>
      <c r="X35" s="1263"/>
      <c r="Y35" s="363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38"/>
      <c r="Q36" s="1262" t="str">
        <f t="shared" si="14"/>
        <v>宗地开发程度</v>
      </c>
      <c r="R36" s="627" t="s">
        <v>25</v>
      </c>
      <c r="S36" s="628">
        <f t="shared" si="10"/>
        <v>100</v>
      </c>
      <c r="T36" s="627" t="s">
        <v>25</v>
      </c>
      <c r="U36" s="628">
        <f t="shared" si="11"/>
        <v>100</v>
      </c>
      <c r="V36" s="627" t="s">
        <v>25</v>
      </c>
      <c r="W36" s="628">
        <f t="shared" si="12"/>
        <v>100</v>
      </c>
      <c r="X36" s="629"/>
      <c r="Y36" s="363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38" t="s">
        <v>2037</v>
      </c>
      <c r="Q37" s="1262" t="str">
        <f t="shared" si="14"/>
        <v>工程地质条件</v>
      </c>
      <c r="R37" s="631" t="s">
        <v>25</v>
      </c>
      <c r="S37" s="632">
        <f t="shared" si="10"/>
        <v>100</v>
      </c>
      <c r="T37" s="631" t="s">
        <v>25</v>
      </c>
      <c r="U37" s="632">
        <f t="shared" si="11"/>
        <v>100</v>
      </c>
      <c r="V37" s="631" t="s">
        <v>25</v>
      </c>
      <c r="W37" s="632">
        <f t="shared" si="12"/>
        <v>100</v>
      </c>
      <c r="X37" s="1263"/>
      <c r="Y37" s="363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38"/>
      <c r="Q38" s="1262">
        <f t="shared" si="14"/>
        <v>111</v>
      </c>
      <c r="R38" s="631" t="s">
        <v>25</v>
      </c>
      <c r="S38" s="632">
        <f t="shared" si="10"/>
        <v>100</v>
      </c>
      <c r="T38" s="631" t="s">
        <v>25</v>
      </c>
      <c r="U38" s="632">
        <f t="shared" si="11"/>
        <v>100</v>
      </c>
      <c r="V38" s="631" t="s">
        <v>25</v>
      </c>
      <c r="W38" s="632">
        <f t="shared" si="12"/>
        <v>100</v>
      </c>
      <c r="X38" s="1263"/>
      <c r="Y38" s="363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38"/>
      <c r="Q39" s="1262">
        <f t="shared" si="14"/>
        <v>111</v>
      </c>
      <c r="R39" s="631" t="s">
        <v>25</v>
      </c>
      <c r="S39" s="632">
        <f t="shared" si="10"/>
        <v>100</v>
      </c>
      <c r="T39" s="631" t="s">
        <v>25</v>
      </c>
      <c r="U39" s="632">
        <f t="shared" si="11"/>
        <v>100</v>
      </c>
      <c r="V39" s="631" t="s">
        <v>25</v>
      </c>
      <c r="W39" s="632">
        <f t="shared" si="12"/>
        <v>100</v>
      </c>
      <c r="X39" s="1263"/>
      <c r="Y39" s="363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38"/>
      <c r="Q40" s="1262">
        <f t="shared" si="14"/>
        <v>111</v>
      </c>
      <c r="R40" s="634" t="s">
        <v>25</v>
      </c>
      <c r="S40" s="635">
        <f t="shared" si="10"/>
        <v>100</v>
      </c>
      <c r="T40" s="634" t="s">
        <v>25</v>
      </c>
      <c r="U40" s="635">
        <f t="shared" si="11"/>
        <v>100</v>
      </c>
      <c r="V40" s="634" t="s">
        <v>25</v>
      </c>
      <c r="W40" s="635">
        <f t="shared" si="12"/>
        <v>100</v>
      </c>
      <c r="X40" s="636"/>
      <c r="Y40" s="363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32" t="str">
        <f>A41</f>
        <v>成交单价</v>
      </c>
      <c r="Q41" s="3632"/>
      <c r="R41" s="3665">
        <f>E41</f>
        <v>0</v>
      </c>
      <c r="S41" s="3665"/>
      <c r="T41" s="3665">
        <f>G41</f>
        <v>0</v>
      </c>
      <c r="U41" s="3665"/>
      <c r="V41" s="3665">
        <f>I41</f>
        <v>0</v>
      </c>
      <c r="W41" s="3665"/>
      <c r="X41" s="618"/>
      <c r="Y41" s="638"/>
      <c r="Z41" s="618"/>
      <c r="AA41" s="618"/>
      <c r="AB41" s="618"/>
      <c r="AC41" s="618"/>
    </row>
    <row r="42" spans="1:29" ht="15.75" thickBot="1">
      <c r="A42" s="374" t="s">
        <v>2132</v>
      </c>
      <c r="B42" s="563"/>
      <c r="C42" s="377" t="e">
        <f>R43</f>
        <v>#DIV/0!</v>
      </c>
      <c r="D42" s="1724" t="s">
        <v>2503</v>
      </c>
      <c r="E42" s="377" t="e">
        <f>R42</f>
        <v>#DIV/0!</v>
      </c>
      <c r="F42" s="1726"/>
      <c r="G42" s="376" t="e">
        <f>T42</f>
        <v>#DIV/0!</v>
      </c>
      <c r="H42" s="1726"/>
      <c r="I42" s="377" t="e">
        <f>V42</f>
        <v>#DIV/0!</v>
      </c>
      <c r="J42" s="1726"/>
      <c r="K42" s="2428">
        <f>F42+H42+J42</f>
        <v>0</v>
      </c>
      <c r="L42" s="2954"/>
      <c r="M42" s="2943"/>
      <c r="N42" s="2943"/>
      <c r="P42" s="3632" t="str">
        <f>A42</f>
        <v>比较价值（元/平方米）</v>
      </c>
      <c r="Q42" s="3632"/>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34" t="str">
        <f>A43</f>
        <v>估价对象XX用房的比较价值（楼面单价，元/平方米）</v>
      </c>
      <c r="Q43" s="3635"/>
      <c r="R43" s="3676" t="e">
        <f>ROUND(IF(D42="简单平均",AVERAGE(R42:W42),R42*F42+T42*H42+V42*J42),0)</f>
        <v>#DIV/0!</v>
      </c>
      <c r="S43" s="3676"/>
      <c r="T43" s="3676"/>
      <c r="U43" s="3676"/>
      <c r="V43" s="3676"/>
      <c r="W43" s="3676"/>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估价对象为北京市房地产，为XX所有。根据《房屋所有权证》[]，估价对象建筑面积为71.38平方米。根据《》[]，估价对象（分摊）出让国有建设用地使用权面积为平方米。估价对象用途为。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本次估价的“房地产价值”是指在正常市场情况下，在价值时点2022年9月13日，估价对象规划用途为，假定未设立法定优先受偿款下的房地产市场价值。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2" customWidth="1"/>
    <col min="33" max="38" width="9.375" style="1552" customWidth="1"/>
    <col min="39" max="16384" width="9" style="1552"/>
  </cols>
  <sheetData>
    <row r="1" spans="1:36" ht="28.5">
      <c r="A1" s="2024" t="s">
        <v>2256</v>
      </c>
      <c r="B1" s="2025"/>
      <c r="C1" s="2026" t="s">
        <v>2257</v>
      </c>
      <c r="D1" s="2027">
        <f>SUM(D29:D30,D33:D39)</f>
        <v>71.38</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7" t="e">
        <f>C26</f>
        <v>#REF!</v>
      </c>
      <c r="C2" s="2035" t="s">
        <v>2265</v>
      </c>
      <c r="D2" s="1530" t="s">
        <v>2266</v>
      </c>
      <c r="E2" s="2036" t="s">
        <v>2643</v>
      </c>
      <c r="F2" s="1530" t="s">
        <v>2267</v>
      </c>
      <c r="G2" s="2037">
        <f>项目基本情况!F9</f>
        <v>0</v>
      </c>
      <c r="H2" s="1531"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7" t="s">
        <v>2270</v>
      </c>
      <c r="B3" s="1587" t="e">
        <f>ROUND(B2/D1,0)</f>
        <v>#REF!</v>
      </c>
      <c r="C3" s="2035" t="s">
        <v>2271</v>
      </c>
      <c r="D3" s="1530" t="s">
        <v>2272</v>
      </c>
      <c r="E3" s="2036" t="s">
        <v>2645</v>
      </c>
      <c r="F3" s="1532"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80"/>
      <c r="B4" s="3681"/>
      <c r="C4" s="3681"/>
      <c r="D4" s="3682"/>
      <c r="E4" s="3682"/>
      <c r="F4" s="3682"/>
      <c r="G4" s="3682"/>
      <c r="H4" s="3682"/>
      <c r="I4" s="3682"/>
      <c r="J4" s="3683"/>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3" t="s">
        <v>2278</v>
      </c>
      <c r="B5" s="1533" t="s">
        <v>2279</v>
      </c>
      <c r="C5" s="2045">
        <f>ROUND(IF(E2="商业",C6*C7+C16,(IF(E2="住宅",C6*C12+C16,C6+C16))),0)</f>
        <v>0</v>
      </c>
      <c r="D5" s="2046">
        <f>ROUND(C6+C16,0)</f>
        <v>0</v>
      </c>
      <c r="E5" s="2046"/>
      <c r="F5" s="2047"/>
      <c r="G5" s="2048"/>
      <c r="H5" s="2048"/>
      <c r="I5" s="2048"/>
      <c r="J5" s="2005"/>
      <c r="K5" s="1595"/>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4" t="s">
        <v>2281</v>
      </c>
      <c r="C6" s="2054">
        <f>SUMIF(L1:L12,G2,M1:M12)</f>
        <v>0</v>
      </c>
      <c r="D6" s="2055" t="s">
        <v>2282</v>
      </c>
      <c r="E6" s="1534"/>
      <c r="F6" s="1534"/>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84" t="str">
        <f>IF(E2="商业",IF(C8="不临58条商业街","",2),"")</f>
        <v/>
      </c>
      <c r="B7" s="1535"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685"/>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78" t="s">
        <v>2292</v>
      </c>
      <c r="X8" s="3679"/>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685"/>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79"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85"/>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79"/>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85"/>
      <c r="B11" s="1536" t="s">
        <v>2313</v>
      </c>
      <c r="C11" s="1536">
        <f>C10/4</f>
        <v>0</v>
      </c>
      <c r="D11" s="1536" t="s">
        <v>92</v>
      </c>
      <c r="E11" s="1536"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79"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84">
        <f>IF(E2="住宅",2,"")</f>
        <v>2</v>
      </c>
      <c r="B12" s="1537"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79"/>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86"/>
      <c r="B13" s="1538" t="s">
        <v>2322</v>
      </c>
      <c r="C13" s="2089" t="s">
        <v>2323</v>
      </c>
      <c r="D13" s="1539" t="s">
        <v>2324</v>
      </c>
      <c r="E13" s="1539"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679"/>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86"/>
      <c r="B14" s="1539"/>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87"/>
      <c r="B15" s="1540"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8">
        <f>IF(E2="办公",2,IF(E2="工业",2,IF(E2="住宅",3,IF(E2="商业",IF(C8="不临58条商业街",2,3)))))</f>
        <v>3</v>
      </c>
      <c r="B16" s="1559" t="s">
        <v>2338</v>
      </c>
      <c r="C16" s="1535">
        <f>ROUND(IF(F17="与级别开发程度一致",0,(G17-E17)/C17),0)</f>
        <v>0</v>
      </c>
      <c r="D16" s="3701" t="s">
        <v>2342</v>
      </c>
      <c r="E16" s="3702"/>
      <c r="F16" s="3701" t="s">
        <v>2339</v>
      </c>
      <c r="G16" s="370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9"/>
      <c r="B17" s="1560" t="s">
        <v>2341</v>
      </c>
      <c r="C17" s="2105">
        <f>SUMPRODUCT((修正!A2:A7=E2)*(修正!B1:M1=G2)*(修正!B2:M7))</f>
        <v>0</v>
      </c>
      <c r="D17" s="2099" t="str">
        <f>IF(OR(G2="八级",G2="九级",G2="十级",G2="十一级",G2="十二级"),"五通一平","七通一平")</f>
        <v>七通一平</v>
      </c>
      <c r="E17" s="2106">
        <f>SUMPRODUCT((修正!B1:M1=G2)*(修正!B17:M17))</f>
        <v>0</v>
      </c>
      <c r="F17" s="2107" t="s">
        <v>2646</v>
      </c>
      <c r="G17" s="1549">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2" customFormat="1" ht="15.75" thickBot="1">
      <c r="A18" s="2110" t="s">
        <v>2344</v>
      </c>
      <c r="B18" s="1558"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2" customFormat="1" ht="29.25" thickBot="1">
      <c r="A19" s="2110" t="s">
        <v>2346</v>
      </c>
      <c r="B19" s="1541"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44817</v>
      </c>
      <c r="H19" s="2120" t="s">
        <v>2484</v>
      </c>
      <c r="I19" s="2121" t="str">
        <f>IF(H19="季度增幅（自定义）",SUMIF(N21:N24,E2,O21:O24),"")</f>
        <v/>
      </c>
      <c r="J19" s="2122"/>
      <c r="K19" s="2969"/>
      <c r="L19" s="2003" t="s">
        <v>2350</v>
      </c>
      <c r="M19" s="2123">
        <f>ROUND(SUMIF(地价!B2:F2,E2,地价!B41:F41),0)</f>
        <v>423</v>
      </c>
      <c r="N19" s="2124" t="s">
        <v>2351</v>
      </c>
      <c r="O19" s="2125">
        <f>ROUNDDOWN(DATEDIF(E19,G19,"M")/3,0)</f>
        <v>34</v>
      </c>
      <c r="P19" s="2967"/>
      <c r="Q19" s="2969"/>
      <c r="R19" s="2967"/>
      <c r="S19" s="2967"/>
      <c r="T19" s="2967"/>
      <c r="U19" s="2967"/>
      <c r="V19" s="2967"/>
      <c r="W19" s="2967"/>
      <c r="X19" s="1551"/>
      <c r="Y19" s="1551"/>
      <c r="Z19" s="1551"/>
      <c r="AA19" s="1551"/>
      <c r="AB19" s="1551"/>
      <c r="AC19" s="1551"/>
      <c r="AD19" s="1551"/>
      <c r="AE19" s="2115"/>
      <c r="AF19" s="2126"/>
      <c r="AG19" s="2127"/>
      <c r="AH19" s="1552"/>
    </row>
    <row r="20" spans="1:35" s="2052" customFormat="1" ht="27.75" thickBot="1">
      <c r="A20" s="1645" t="s">
        <v>2352</v>
      </c>
      <c r="B20" s="1542" t="s">
        <v>2353</v>
      </c>
      <c r="C20" s="2128">
        <f>ROUND(POWER(1+G20,J20-I20)*(POWER(1+G20,I20)-1)/(POWER(1+G20,J20)-1),4)</f>
        <v>0.85550000000000004</v>
      </c>
      <c r="D20" s="2129" t="s">
        <v>2354</v>
      </c>
      <c r="E20" s="3071">
        <f>存贷款利率!E22/100</f>
        <v>4.3499999999999997E-2</v>
      </c>
      <c r="F20" s="2129" t="s">
        <v>2343</v>
      </c>
      <c r="G20" s="3072">
        <f>SUMIF(M26:P26,E2,M28:P28)</f>
        <v>0.05</v>
      </c>
      <c r="H20" s="2129" t="s">
        <v>2355</v>
      </c>
      <c r="I20" s="2130">
        <f>'数据-取费表'!B13</f>
        <v>36</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1"/>
      <c r="Y20" s="1551"/>
      <c r="Z20" s="1551"/>
      <c r="AA20" s="1551"/>
      <c r="AB20" s="1551"/>
      <c r="AC20" s="1551"/>
      <c r="AD20" s="1551"/>
      <c r="AE20" s="2115"/>
      <c r="AF20" s="2115"/>
    </row>
    <row r="21" spans="1:35" s="2052" customFormat="1" ht="14.25">
      <c r="A21" s="2137" t="s">
        <v>2360</v>
      </c>
      <c r="B21" s="1543"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8"/>
      <c r="I23" s="1999"/>
      <c r="J23" s="2143"/>
      <c r="K23" s="2967"/>
      <c r="L23" s="2967"/>
      <c r="M23" s="2967"/>
      <c r="N23" s="2140" t="s">
        <v>2367</v>
      </c>
      <c r="O23" s="2141"/>
      <c r="P23" s="2142">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2" customFormat="1" ht="15.75" thickBot="1">
      <c r="A24" s="2147" t="s">
        <v>2368</v>
      </c>
      <c r="B24" s="1545"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5"/>
      <c r="AF24" s="2115"/>
    </row>
    <row r="25" spans="1:35" ht="15" thickBot="1">
      <c r="A25" s="1645" t="s">
        <v>2371</v>
      </c>
      <c r="B25" s="1546"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0"/>
      <c r="B26" s="1999" t="s">
        <v>2374</v>
      </c>
      <c r="C26" s="2807" t="e">
        <f>IF(B21="容积率修正",E29+SUM(E33:E39),SUM(V2:V16)+SUM(E33:E39))</f>
        <v>#REF!</v>
      </c>
      <c r="D26" s="2157"/>
      <c r="E26" s="2096"/>
      <c r="F26" s="1406"/>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0"/>
      <c r="B27" s="1547"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1"/>
      <c r="Y27" s="1551"/>
      <c r="Z27" s="1551"/>
      <c r="AA27" s="1551"/>
      <c r="AB27" s="1551"/>
      <c r="AC27" s="1551"/>
      <c r="AD27" s="1551"/>
      <c r="AE27" s="1551"/>
      <c r="AF27" s="1551"/>
    </row>
    <row r="28" spans="1:35" ht="15.75" thickBot="1">
      <c r="A28" s="1645"/>
      <c r="B28" s="2165" t="s">
        <v>2376</v>
      </c>
      <c r="C28" s="2166" t="s">
        <v>2377</v>
      </c>
      <c r="D28" s="2166" t="s">
        <v>2378</v>
      </c>
      <c r="E28" s="1546"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0"/>
      <c r="B29" s="1548" t="s">
        <v>2380</v>
      </c>
      <c r="C29" s="54">
        <f>ROUND(C5*C18*C19*C20*C21*C24,0)</f>
        <v>0</v>
      </c>
      <c r="D29" s="2171">
        <f>项目基本情况!C12</f>
        <v>71.38</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5"/>
      <c r="B30" s="1549"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0"/>
      <c r="B31" s="1550"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698"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699"/>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699"/>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0"/>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2"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2" customFormat="1">
      <c r="A41" s="1551"/>
      <c r="B41" s="2193" t="s">
        <v>2476</v>
      </c>
      <c r="C41" s="50">
        <f>ROUND(POWER(1+E41,H41-G41)*(POWER(1+E41,G41)-1)/(POWER(1+E41,H41)-1),4)</f>
        <v>0</v>
      </c>
      <c r="D41" s="50" t="s">
        <v>2474</v>
      </c>
      <c r="E41" s="2194">
        <f>G20</f>
        <v>0.05</v>
      </c>
      <c r="F41" s="50" t="s">
        <v>2475</v>
      </c>
      <c r="G41" s="2195"/>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2" customFormat="1" ht="15.75" thickBot="1">
      <c r="A45" s="2196" t="s">
        <v>2398</v>
      </c>
      <c r="B45" s="2197"/>
      <c r="C45" s="608"/>
      <c r="D45" s="608"/>
      <c r="E45" s="608"/>
      <c r="F45" s="608"/>
      <c r="G45" s="608"/>
      <c r="H45" s="608"/>
      <c r="I45" s="608"/>
      <c r="J45" s="608"/>
      <c r="K45" s="608"/>
      <c r="L45" s="608"/>
      <c r="M45" s="608"/>
      <c r="N45" s="2027"/>
      <c r="O45" s="1551"/>
      <c r="P45" s="1551"/>
      <c r="Q45" s="2967"/>
      <c r="R45" s="2967"/>
      <c r="S45" s="2967"/>
      <c r="T45" s="2967"/>
      <c r="U45" s="2967"/>
      <c r="V45" s="2967"/>
      <c r="W45" s="2967"/>
      <c r="X45" s="1551"/>
      <c r="Y45" s="1551"/>
      <c r="Z45" s="1551"/>
      <c r="AA45" s="1551"/>
      <c r="AB45" s="1551"/>
      <c r="AC45" s="1551"/>
      <c r="AD45" s="1551"/>
      <c r="AE45" s="1551"/>
      <c r="AF45" s="1551"/>
    </row>
    <row r="46" spans="1:33" s="2192" customFormat="1" ht="15">
      <c r="A46" s="2198" t="s">
        <v>2399</v>
      </c>
      <c r="B46" s="2199">
        <f>1+E48</f>
        <v>1</v>
      </c>
      <c r="C46" s="2200"/>
      <c r="D46" s="2201"/>
      <c r="E46" s="2202"/>
      <c r="F46" s="2203"/>
      <c r="G46" s="608"/>
      <c r="H46" s="608"/>
      <c r="I46" s="608"/>
      <c r="J46" s="608"/>
      <c r="K46" s="608"/>
      <c r="L46" s="608"/>
      <c r="M46" s="2027"/>
      <c r="N46" s="2204"/>
      <c r="O46" s="1551"/>
      <c r="P46" s="1551"/>
      <c r="Q46" s="2967"/>
      <c r="R46" s="2967"/>
      <c r="S46" s="2967"/>
      <c r="T46" s="2967"/>
      <c r="U46" s="2967"/>
      <c r="V46" s="2967"/>
      <c r="W46" s="2967"/>
      <c r="X46" s="1551"/>
      <c r="Y46" s="1551"/>
      <c r="Z46" s="1551"/>
      <c r="AA46" s="1551"/>
      <c r="AB46" s="1551"/>
      <c r="AC46" s="1551"/>
      <c r="AD46" s="1551"/>
      <c r="AE46" s="1551"/>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2" customFormat="1" ht="15">
      <c r="A57" s="2198" t="s">
        <v>2425</v>
      </c>
      <c r="B57" s="2227">
        <f>1+E59</f>
        <v>1</v>
      </c>
      <c r="C57" s="2201"/>
      <c r="D57" s="2201"/>
      <c r="E57" s="2202"/>
      <c r="F57" s="2203"/>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2" customFormat="1" ht="15">
      <c r="A68" s="2198" t="s">
        <v>2430</v>
      </c>
      <c r="B68" s="2227">
        <f>1+E70</f>
        <v>1</v>
      </c>
      <c r="C68" s="2201"/>
      <c r="D68" s="2201"/>
      <c r="E68" s="2202"/>
      <c r="F68" s="2203"/>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2"/>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2"/>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2"/>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2"/>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2"/>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2"/>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2"/>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2"/>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2"/>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2"/>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2"/>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2"/>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2"/>
      <c r="AG88" s="2192"/>
    </row>
    <row r="89" spans="1:33">
      <c r="Q89" s="2975"/>
      <c r="R89" s="2975"/>
      <c r="S89" s="2975"/>
      <c r="T89" s="2975"/>
      <c r="U89" s="2975"/>
      <c r="V89" s="2975"/>
      <c r="W89" s="2975"/>
    </row>
    <row r="90" spans="1:33">
      <c r="A90" s="3690" t="s">
        <v>2437</v>
      </c>
      <c r="B90" s="3690"/>
      <c r="C90" s="3690"/>
      <c r="D90" s="3690"/>
      <c r="E90" s="3690"/>
      <c r="F90" s="3690"/>
      <c r="G90" s="3690"/>
      <c r="H90" s="3690"/>
      <c r="I90" s="3690"/>
      <c r="J90" s="3690"/>
      <c r="K90" s="2233"/>
      <c r="L90" s="2233"/>
      <c r="M90" s="2233"/>
      <c r="N90" s="2233"/>
      <c r="Q90" s="2975"/>
      <c r="R90" s="2975"/>
      <c r="S90" s="2975"/>
      <c r="T90" s="2975"/>
      <c r="U90" s="2975"/>
      <c r="V90" s="2975"/>
      <c r="W90" s="2975"/>
    </row>
    <row r="91" spans="1:33">
      <c r="A91" s="3692" t="s">
        <v>2438</v>
      </c>
      <c r="B91" s="3692"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692"/>
      <c r="B92" s="3692"/>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693"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4"/>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3"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4"/>
      <c r="B108" s="3696"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5"/>
      <c r="B109" s="369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1" t="s">
        <v>2445</v>
      </c>
      <c r="B110" s="3691"/>
      <c r="C110" s="3691"/>
      <c r="D110" s="3691"/>
      <c r="E110" s="3691"/>
      <c r="F110" s="3691"/>
      <c r="G110" s="3691"/>
      <c r="H110" s="3691"/>
      <c r="I110" s="3691"/>
      <c r="J110" s="3691"/>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30" t="s">
        <v>2333</v>
      </c>
      <c r="F113" s="2246" t="str">
        <f>E2</f>
        <v>住宅</v>
      </c>
      <c r="G113" s="1530" t="s">
        <v>2267</v>
      </c>
      <c r="H113" s="2246">
        <f>G2</f>
        <v>0</v>
      </c>
      <c r="I113" s="1530"/>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3" t="s">
        <v>597</v>
      </c>
      <c r="B1" s="370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3" t="s">
        <v>105</v>
      </c>
      <c r="B1" s="3703"/>
      <c r="C1" s="3703"/>
      <c r="D1" s="3703"/>
      <c r="E1" s="3703"/>
      <c r="F1" s="370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4" t="s">
        <v>118</v>
      </c>
      <c r="B2" s="3704"/>
      <c r="C2" s="3704"/>
      <c r="D2" s="3704"/>
      <c r="E2" s="3704"/>
      <c r="F2" s="370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0" t="s">
        <v>2803</v>
      </c>
      <c r="B20" s="3713" t="s">
        <v>2811</v>
      </c>
      <c r="C20" s="3289" t="s">
        <v>2812</v>
      </c>
      <c r="D20" s="3290"/>
      <c r="E20" s="3291">
        <v>1</v>
      </c>
      <c r="F20" s="3292" t="s">
        <v>2813</v>
      </c>
      <c r="G20" s="3292"/>
    </row>
    <row r="21" spans="1:13" ht="19.5" customHeight="1">
      <c r="A21" s="3711"/>
      <c r="B21" s="3708"/>
      <c r="C21" s="740" t="s">
        <v>2814</v>
      </c>
      <c r="D21" s="741"/>
      <c r="E21" s="3293">
        <v>1</v>
      </c>
      <c r="F21" s="3292" t="s">
        <v>2815</v>
      </c>
      <c r="G21" s="3292"/>
    </row>
    <row r="22" spans="1:13" ht="19.5" customHeight="1">
      <c r="A22" s="3711"/>
      <c r="B22" s="3708"/>
      <c r="C22" s="740" t="s">
        <v>2816</v>
      </c>
      <c r="D22" s="741"/>
      <c r="E22" s="3293">
        <v>0.9</v>
      </c>
      <c r="F22" s="3292" t="s">
        <v>2817</v>
      </c>
      <c r="G22" s="3292"/>
    </row>
    <row r="23" spans="1:13" ht="19.5" customHeight="1">
      <c r="A23" s="3711"/>
      <c r="B23" s="3708"/>
      <c r="C23" s="740" t="s">
        <v>2818</v>
      </c>
      <c r="D23" s="741"/>
      <c r="E23" s="3293">
        <v>0.9</v>
      </c>
      <c r="F23" s="3292" t="s">
        <v>2819</v>
      </c>
      <c r="G23" s="3292"/>
    </row>
    <row r="24" spans="1:13" ht="19.5" customHeight="1">
      <c r="A24" s="3711"/>
      <c r="B24" s="3708"/>
      <c r="C24" s="740" t="s">
        <v>2820</v>
      </c>
      <c r="D24" s="741"/>
      <c r="E24" s="3293">
        <v>0.8</v>
      </c>
      <c r="F24" s="3292" t="s">
        <v>2821</v>
      </c>
      <c r="G24" s="3292"/>
    </row>
    <row r="25" spans="1:13" ht="19.5" customHeight="1" thickBot="1">
      <c r="A25" s="3712"/>
      <c r="B25" s="3714"/>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15" t="s">
        <v>2808</v>
      </c>
      <c r="B27" s="3713" t="s">
        <v>2808</v>
      </c>
      <c r="C27" s="3289" t="s">
        <v>2825</v>
      </c>
      <c r="D27" s="3290"/>
      <c r="E27" s="3291">
        <v>1</v>
      </c>
      <c r="F27" s="3292" t="s">
        <v>2866</v>
      </c>
      <c r="G27" s="3292"/>
    </row>
    <row r="28" spans="1:13" ht="19.5" customHeight="1">
      <c r="A28" s="3716"/>
      <c r="B28" s="3708"/>
      <c r="C28" s="740" t="s">
        <v>2826</v>
      </c>
      <c r="D28" s="741"/>
      <c r="E28" s="3293">
        <v>1</v>
      </c>
      <c r="F28" s="3292" t="s">
        <v>2867</v>
      </c>
      <c r="G28" s="3292"/>
    </row>
    <row r="29" spans="1:13" ht="19.5" customHeight="1">
      <c r="A29" s="3716"/>
      <c r="B29" s="3708"/>
      <c r="C29" s="740" t="s">
        <v>2827</v>
      </c>
      <c r="D29" s="741"/>
      <c r="E29" s="3293">
        <v>0.8</v>
      </c>
      <c r="F29" s="3292" t="s">
        <v>2868</v>
      </c>
      <c r="G29" s="3292"/>
    </row>
    <row r="30" spans="1:13" ht="19.5" customHeight="1">
      <c r="A30" s="3716"/>
      <c r="B30" s="3708"/>
      <c r="C30" s="740" t="s">
        <v>2828</v>
      </c>
      <c r="D30" s="741"/>
      <c r="E30" s="3293">
        <v>0.8</v>
      </c>
      <c r="F30" s="3292" t="s">
        <v>2869</v>
      </c>
      <c r="G30" s="3292"/>
    </row>
    <row r="31" spans="1:13" ht="19.5" customHeight="1">
      <c r="A31" s="3716"/>
      <c r="B31" s="3708"/>
      <c r="C31" s="740" t="s">
        <v>2829</v>
      </c>
      <c r="D31" s="741"/>
      <c r="E31" s="3293">
        <v>0.8</v>
      </c>
      <c r="F31" s="3292" t="s">
        <v>2870</v>
      </c>
      <c r="G31" s="3292"/>
    </row>
    <row r="32" spans="1:13" ht="19.5" customHeight="1">
      <c r="A32" s="3716"/>
      <c r="B32" s="3708"/>
      <c r="C32" s="740" t="s">
        <v>2830</v>
      </c>
      <c r="D32" s="741"/>
      <c r="E32" s="3293">
        <v>0.7</v>
      </c>
      <c r="F32" s="3292" t="s">
        <v>2871</v>
      </c>
      <c r="G32" s="3292"/>
    </row>
    <row r="33" spans="1:7" ht="19.5" customHeight="1">
      <c r="A33" s="3716"/>
      <c r="B33" s="3708"/>
      <c r="C33" s="740" t="s">
        <v>2831</v>
      </c>
      <c r="D33" s="741"/>
      <c r="E33" s="3293">
        <v>0.8</v>
      </c>
      <c r="F33" s="3292" t="s">
        <v>2872</v>
      </c>
      <c r="G33" s="3292"/>
    </row>
    <row r="34" spans="1:7" ht="19.5" customHeight="1">
      <c r="A34" s="3716"/>
      <c r="B34" s="3708"/>
      <c r="C34" s="740" t="s">
        <v>2832</v>
      </c>
      <c r="D34" s="741"/>
      <c r="E34" s="3293">
        <v>0.6</v>
      </c>
      <c r="F34" s="3292" t="s">
        <v>2873</v>
      </c>
      <c r="G34" s="3292"/>
    </row>
    <row r="35" spans="1:7" ht="19.5" customHeight="1">
      <c r="A35" s="3716"/>
      <c r="B35" s="3708"/>
      <c r="C35" s="740" t="s">
        <v>2833</v>
      </c>
      <c r="D35" s="741"/>
      <c r="E35" s="3293">
        <v>0.2</v>
      </c>
      <c r="F35" s="3292" t="s">
        <v>2874</v>
      </c>
      <c r="G35" s="3292"/>
    </row>
    <row r="36" spans="1:7" ht="19.5" customHeight="1">
      <c r="A36" s="3716"/>
      <c r="B36" s="3708"/>
      <c r="C36" s="740" t="s">
        <v>2834</v>
      </c>
      <c r="D36" s="741"/>
      <c r="E36" s="3293">
        <v>0.2</v>
      </c>
      <c r="F36" s="3292" t="s">
        <v>2875</v>
      </c>
      <c r="G36" s="3292"/>
    </row>
    <row r="37" spans="1:7" ht="19.5" customHeight="1">
      <c r="A37" s="3716"/>
      <c r="B37" s="3707" t="s">
        <v>2835</v>
      </c>
      <c r="C37" s="740" t="s">
        <v>2836</v>
      </c>
      <c r="D37" s="741"/>
      <c r="E37" s="3293">
        <v>0.6</v>
      </c>
      <c r="F37" s="3292" t="s">
        <v>2876</v>
      </c>
      <c r="G37" s="3292"/>
    </row>
    <row r="38" spans="1:7" ht="19.5" customHeight="1">
      <c r="A38" s="3716"/>
      <c r="B38" s="3708"/>
      <c r="C38" s="740" t="s">
        <v>2837</v>
      </c>
      <c r="D38" s="741"/>
      <c r="E38" s="3293">
        <v>0.6</v>
      </c>
      <c r="F38" s="3292" t="s">
        <v>2877</v>
      </c>
      <c r="G38" s="3292"/>
    </row>
    <row r="39" spans="1:7" ht="19.5" customHeight="1" thickBot="1">
      <c r="A39" s="3717"/>
      <c r="B39" s="3714"/>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0" t="s">
        <v>2841</v>
      </c>
      <c r="B41" s="3713" t="s">
        <v>2842</v>
      </c>
      <c r="C41" s="3289" t="s">
        <v>2843</v>
      </c>
      <c r="D41" s="3290"/>
      <c r="E41" s="3291">
        <v>1</v>
      </c>
      <c r="F41" s="3292" t="s">
        <v>2844</v>
      </c>
      <c r="G41" s="3292"/>
    </row>
    <row r="42" spans="1:7" ht="19.5" customHeight="1">
      <c r="A42" s="3711"/>
      <c r="B42" s="3708"/>
      <c r="C42" s="740" t="s">
        <v>2845</v>
      </c>
      <c r="D42" s="741"/>
      <c r="E42" s="3293">
        <v>1</v>
      </c>
      <c r="F42" s="3292" t="s">
        <v>2846</v>
      </c>
      <c r="G42" s="3292"/>
    </row>
    <row r="43" spans="1:7" ht="19.5" customHeight="1">
      <c r="A43" s="3711"/>
      <c r="B43" s="3709"/>
      <c r="C43" s="740" t="s">
        <v>2847</v>
      </c>
      <c r="D43" s="741"/>
      <c r="E43" s="3293">
        <v>1.5</v>
      </c>
      <c r="F43" s="3292" t="s">
        <v>2848</v>
      </c>
      <c r="G43" s="3292"/>
    </row>
    <row r="44" spans="1:7" ht="19.5" customHeight="1">
      <c r="A44" s="3711"/>
      <c r="B44" s="3302" t="s">
        <v>2808</v>
      </c>
      <c r="C44" s="740" t="s">
        <v>2807</v>
      </c>
      <c r="D44" s="741"/>
      <c r="E44" s="3293">
        <v>2</v>
      </c>
      <c r="F44" s="3292" t="s">
        <v>2849</v>
      </c>
      <c r="G44" s="3292"/>
    </row>
    <row r="45" spans="1:7" ht="19.5" customHeight="1">
      <c r="A45" s="3711"/>
      <c r="B45" s="3707" t="s">
        <v>2850</v>
      </c>
      <c r="C45" s="740" t="s">
        <v>2851</v>
      </c>
      <c r="D45" s="741"/>
      <c r="E45" s="3293">
        <v>1</v>
      </c>
      <c r="F45" s="3292" t="s">
        <v>2852</v>
      </c>
      <c r="G45" s="3292"/>
    </row>
    <row r="46" spans="1:7" ht="19.5" customHeight="1">
      <c r="A46" s="3711"/>
      <c r="B46" s="3708"/>
      <c r="C46" s="740" t="s">
        <v>2853</v>
      </c>
      <c r="D46" s="741"/>
      <c r="E46" s="3293">
        <v>1</v>
      </c>
      <c r="F46" s="3292" t="s">
        <v>2854</v>
      </c>
      <c r="G46" s="3292"/>
    </row>
    <row r="47" spans="1:7" ht="19.5" customHeight="1">
      <c r="A47" s="3711"/>
      <c r="B47" s="3708"/>
      <c r="C47" s="740" t="s">
        <v>2855</v>
      </c>
      <c r="D47" s="741"/>
      <c r="E47" s="3293">
        <v>1</v>
      </c>
      <c r="F47" s="3292" t="s">
        <v>2856</v>
      </c>
      <c r="G47" s="3292"/>
    </row>
    <row r="48" spans="1:7" ht="19.5" customHeight="1">
      <c r="A48" s="3711"/>
      <c r="B48" s="3708"/>
      <c r="C48" s="740" t="s">
        <v>2857</v>
      </c>
      <c r="D48" s="741"/>
      <c r="E48" s="3293">
        <v>1</v>
      </c>
      <c r="F48" s="3292" t="s">
        <v>2858</v>
      </c>
      <c r="G48" s="3292"/>
    </row>
    <row r="49" spans="1:7" ht="19.5" customHeight="1">
      <c r="A49" s="3711"/>
      <c r="B49" s="3708"/>
      <c r="C49" s="740" t="s">
        <v>2859</v>
      </c>
      <c r="D49" s="741"/>
      <c r="E49" s="3293">
        <v>1</v>
      </c>
      <c r="F49" s="3292" t="s">
        <v>2860</v>
      </c>
      <c r="G49" s="3292"/>
    </row>
    <row r="50" spans="1:7" ht="19.5" customHeight="1">
      <c r="A50" s="3711"/>
      <c r="B50" s="3708"/>
      <c r="C50" s="740" t="s">
        <v>2861</v>
      </c>
      <c r="D50" s="741"/>
      <c r="E50" s="3293">
        <v>1</v>
      </c>
      <c r="F50" s="3292" t="s">
        <v>2862</v>
      </c>
      <c r="G50" s="3292"/>
    </row>
    <row r="51" spans="1:7" ht="19.5" customHeight="1" thickBot="1">
      <c r="A51" s="3712"/>
      <c r="B51" s="3714"/>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07" t="s">
        <v>2881</v>
      </c>
      <c r="C73" s="3283" t="s">
        <v>2882</v>
      </c>
      <c r="D73" s="3283" t="s">
        <v>2883</v>
      </c>
      <c r="E73" s="3308">
        <v>0.2</v>
      </c>
      <c r="F73" s="3302">
        <v>25</v>
      </c>
    </row>
    <row r="74" spans="1:7" ht="24">
      <c r="A74" s="3302">
        <v>2</v>
      </c>
      <c r="B74" s="3708"/>
      <c r="C74" s="3283" t="s">
        <v>2884</v>
      </c>
      <c r="D74" s="3283" t="s">
        <v>2885</v>
      </c>
      <c r="E74" s="3308">
        <v>0.2</v>
      </c>
      <c r="F74" s="3302">
        <v>25</v>
      </c>
    </row>
    <row r="75" spans="1:7" ht="24">
      <c r="A75" s="3302">
        <v>3</v>
      </c>
      <c r="B75" s="3708"/>
      <c r="C75" s="3283" t="s">
        <v>2886</v>
      </c>
      <c r="D75" s="3283" t="s">
        <v>2887</v>
      </c>
      <c r="E75" s="3308">
        <v>0.2</v>
      </c>
      <c r="F75" s="3302">
        <v>25</v>
      </c>
    </row>
    <row r="76" spans="1:7" ht="13.5">
      <c r="A76" s="3302">
        <v>4</v>
      </c>
      <c r="B76" s="3708"/>
      <c r="C76" s="3283" t="s">
        <v>2888</v>
      </c>
      <c r="D76" s="3283" t="s">
        <v>2889</v>
      </c>
      <c r="E76" s="3308">
        <v>0.15</v>
      </c>
      <c r="F76" s="3302">
        <v>20</v>
      </c>
    </row>
    <row r="77" spans="1:7" ht="24">
      <c r="A77" s="3302">
        <v>5</v>
      </c>
      <c r="B77" s="3708"/>
      <c r="C77" s="3283" t="s">
        <v>2890</v>
      </c>
      <c r="D77" s="3283" t="s">
        <v>2891</v>
      </c>
      <c r="E77" s="3308">
        <v>0.15</v>
      </c>
      <c r="F77" s="3302">
        <v>20</v>
      </c>
    </row>
    <row r="78" spans="1:7" ht="24">
      <c r="A78" s="3302">
        <v>6</v>
      </c>
      <c r="B78" s="3708"/>
      <c r="C78" s="3283" t="s">
        <v>2892</v>
      </c>
      <c r="D78" s="3283" t="s">
        <v>2893</v>
      </c>
      <c r="E78" s="3308">
        <v>0.15</v>
      </c>
      <c r="F78" s="3302">
        <v>20</v>
      </c>
    </row>
    <row r="79" spans="1:7" ht="24">
      <c r="A79" s="3302">
        <v>7</v>
      </c>
      <c r="B79" s="3708"/>
      <c r="C79" s="3283" t="s">
        <v>2894</v>
      </c>
      <c r="D79" s="3283" t="s">
        <v>2895</v>
      </c>
      <c r="E79" s="3308">
        <v>0.15</v>
      </c>
      <c r="F79" s="3302">
        <v>20</v>
      </c>
    </row>
    <row r="80" spans="1:7" ht="24">
      <c r="A80" s="3302">
        <v>8</v>
      </c>
      <c r="B80" s="3708"/>
      <c r="C80" s="3283" t="s">
        <v>2896</v>
      </c>
      <c r="D80" s="3283" t="s">
        <v>2897</v>
      </c>
      <c r="E80" s="3308">
        <v>0.1</v>
      </c>
      <c r="F80" s="3302">
        <v>15</v>
      </c>
    </row>
    <row r="81" spans="1:6" ht="24">
      <c r="A81" s="3302">
        <v>9</v>
      </c>
      <c r="B81" s="3708"/>
      <c r="C81" s="3283" t="s">
        <v>2898</v>
      </c>
      <c r="D81" s="3283" t="s">
        <v>2899</v>
      </c>
      <c r="E81" s="3308">
        <v>0.1</v>
      </c>
      <c r="F81" s="3302">
        <v>15</v>
      </c>
    </row>
    <row r="82" spans="1:6" ht="24">
      <c r="A82" s="3302">
        <v>10</v>
      </c>
      <c r="B82" s="3708"/>
      <c r="C82" s="3283" t="s">
        <v>2900</v>
      </c>
      <c r="D82" s="3283" t="s">
        <v>2901</v>
      </c>
      <c r="E82" s="3308">
        <v>0.1</v>
      </c>
      <c r="F82" s="3302">
        <v>15</v>
      </c>
    </row>
    <row r="83" spans="1:6" ht="24">
      <c r="A83" s="3302">
        <v>11</v>
      </c>
      <c r="B83" s="3708"/>
      <c r="C83" s="3283" t="s">
        <v>2902</v>
      </c>
      <c r="D83" s="3283" t="s">
        <v>2903</v>
      </c>
      <c r="E83" s="3308">
        <v>0.1</v>
      </c>
      <c r="F83" s="3302">
        <v>15</v>
      </c>
    </row>
    <row r="84" spans="1:6" ht="24">
      <c r="A84" s="3302">
        <v>12</v>
      </c>
      <c r="B84" s="3708"/>
      <c r="C84" s="3283" t="s">
        <v>2904</v>
      </c>
      <c r="D84" s="3283" t="s">
        <v>2905</v>
      </c>
      <c r="E84" s="3308">
        <v>0.1</v>
      </c>
      <c r="F84" s="3302">
        <v>15</v>
      </c>
    </row>
    <row r="85" spans="1:6" ht="13.5">
      <c r="A85" s="3302">
        <v>13</v>
      </c>
      <c r="B85" s="3708"/>
      <c r="C85" s="3283" t="s">
        <v>2906</v>
      </c>
      <c r="D85" s="3283" t="s">
        <v>2907</v>
      </c>
      <c r="E85" s="3308">
        <v>0.1</v>
      </c>
      <c r="F85" s="3302">
        <v>15</v>
      </c>
    </row>
    <row r="86" spans="1:6" ht="13.5">
      <c r="A86" s="3302">
        <v>14</v>
      </c>
      <c r="B86" s="3708"/>
      <c r="C86" s="3283" t="s">
        <v>2908</v>
      </c>
      <c r="D86" s="3283" t="s">
        <v>2909</v>
      </c>
      <c r="E86" s="3308">
        <v>0.1</v>
      </c>
      <c r="F86" s="3302">
        <v>15</v>
      </c>
    </row>
    <row r="87" spans="1:6" ht="13.5">
      <c r="A87" s="3302">
        <v>15</v>
      </c>
      <c r="B87" s="3708"/>
      <c r="C87" s="3283" t="s">
        <v>2910</v>
      </c>
      <c r="D87" s="3283" t="s">
        <v>2911</v>
      </c>
      <c r="E87" s="3308">
        <v>0.1</v>
      </c>
      <c r="F87" s="3302">
        <v>15</v>
      </c>
    </row>
    <row r="88" spans="1:6" ht="24">
      <c r="A88" s="3302">
        <v>16</v>
      </c>
      <c r="B88" s="3708"/>
      <c r="C88" s="3283" t="s">
        <v>2912</v>
      </c>
      <c r="D88" s="3283" t="s">
        <v>2913</v>
      </c>
      <c r="E88" s="3308">
        <v>0.1</v>
      </c>
      <c r="F88" s="3302">
        <v>15</v>
      </c>
    </row>
    <row r="89" spans="1:6" ht="24">
      <c r="A89" s="3302">
        <v>17</v>
      </c>
      <c r="B89" s="3709"/>
      <c r="C89" s="3283" t="s">
        <v>2914</v>
      </c>
      <c r="D89" s="3283" t="s">
        <v>2915</v>
      </c>
      <c r="E89" s="3308">
        <v>0.1</v>
      </c>
      <c r="F89" s="3302">
        <v>15</v>
      </c>
    </row>
    <row r="90" spans="1:6" ht="13.5">
      <c r="A90" s="3302">
        <v>18</v>
      </c>
      <c r="B90" s="3707" t="s">
        <v>2916</v>
      </c>
      <c r="C90" s="3283" t="s">
        <v>2917</v>
      </c>
      <c r="D90" s="3283" t="s">
        <v>2918</v>
      </c>
      <c r="E90" s="3308">
        <v>0.2</v>
      </c>
      <c r="F90" s="3302">
        <v>25</v>
      </c>
    </row>
    <row r="91" spans="1:6" ht="24">
      <c r="A91" s="3302">
        <v>19</v>
      </c>
      <c r="B91" s="3708"/>
      <c r="C91" s="3283" t="s">
        <v>2919</v>
      </c>
      <c r="D91" s="3283" t="s">
        <v>2920</v>
      </c>
      <c r="E91" s="3308">
        <v>0.2</v>
      </c>
      <c r="F91" s="3302">
        <v>25</v>
      </c>
    </row>
    <row r="92" spans="1:6" ht="13.5">
      <c r="A92" s="3302">
        <v>20</v>
      </c>
      <c r="B92" s="3708"/>
      <c r="C92" s="3283" t="s">
        <v>2921</v>
      </c>
      <c r="D92" s="3283" t="s">
        <v>2922</v>
      </c>
      <c r="E92" s="3308">
        <v>0.15</v>
      </c>
      <c r="F92" s="3302">
        <v>20</v>
      </c>
    </row>
    <row r="93" spans="1:6" ht="24">
      <c r="A93" s="3302">
        <v>21</v>
      </c>
      <c r="B93" s="3708"/>
      <c r="C93" s="3283" t="s">
        <v>2923</v>
      </c>
      <c r="D93" s="3283" t="s">
        <v>2924</v>
      </c>
      <c r="E93" s="3308">
        <v>0.15</v>
      </c>
      <c r="F93" s="3302">
        <v>20</v>
      </c>
    </row>
    <row r="94" spans="1:6" ht="24">
      <c r="A94" s="3302">
        <v>22</v>
      </c>
      <c r="B94" s="3708"/>
      <c r="C94" s="3283" t="s">
        <v>2925</v>
      </c>
      <c r="D94" s="3283" t="s">
        <v>2926</v>
      </c>
      <c r="E94" s="3308">
        <v>0.15</v>
      </c>
      <c r="F94" s="3302">
        <v>20</v>
      </c>
    </row>
    <row r="95" spans="1:6" ht="36">
      <c r="A95" s="3302">
        <v>23</v>
      </c>
      <c r="B95" s="3708"/>
      <c r="C95" s="3283" t="s">
        <v>2927</v>
      </c>
      <c r="D95" s="3283" t="s">
        <v>2928</v>
      </c>
      <c r="E95" s="3308">
        <v>0.15</v>
      </c>
      <c r="F95" s="3302">
        <v>20</v>
      </c>
    </row>
    <row r="96" spans="1:6" ht="13.5">
      <c r="A96" s="3302">
        <v>24</v>
      </c>
      <c r="B96" s="3708"/>
      <c r="C96" s="3283" t="s">
        <v>2929</v>
      </c>
      <c r="D96" s="3283" t="s">
        <v>2930</v>
      </c>
      <c r="E96" s="3308">
        <v>0.1</v>
      </c>
      <c r="F96" s="3302">
        <v>15</v>
      </c>
    </row>
    <row r="97" spans="1:6" ht="24">
      <c r="A97" s="3302">
        <v>25</v>
      </c>
      <c r="B97" s="3708"/>
      <c r="C97" s="3283" t="s">
        <v>2931</v>
      </c>
      <c r="D97" s="3283" t="s">
        <v>2932</v>
      </c>
      <c r="E97" s="3308">
        <v>0.1</v>
      </c>
      <c r="F97" s="3302">
        <v>15</v>
      </c>
    </row>
    <row r="98" spans="1:6" ht="24">
      <c r="A98" s="3302">
        <v>26</v>
      </c>
      <c r="B98" s="3708"/>
      <c r="C98" s="3283" t="s">
        <v>2933</v>
      </c>
      <c r="D98" s="3283" t="s">
        <v>2934</v>
      </c>
      <c r="E98" s="3308">
        <v>0.1</v>
      </c>
      <c r="F98" s="3302">
        <v>15</v>
      </c>
    </row>
    <row r="99" spans="1:6" ht="24">
      <c r="A99" s="3302">
        <v>27</v>
      </c>
      <c r="B99" s="3708"/>
      <c r="C99" s="3283" t="s">
        <v>2935</v>
      </c>
      <c r="D99" s="3283" t="s">
        <v>2936</v>
      </c>
      <c r="E99" s="3308">
        <v>0.1</v>
      </c>
      <c r="F99" s="3302">
        <v>15</v>
      </c>
    </row>
    <row r="100" spans="1:6" ht="24">
      <c r="A100" s="3302">
        <v>28</v>
      </c>
      <c r="B100" s="3708"/>
      <c r="C100" s="3283" t="s">
        <v>2937</v>
      </c>
      <c r="D100" s="3283" t="s">
        <v>2938</v>
      </c>
      <c r="E100" s="3308">
        <v>0.1</v>
      </c>
      <c r="F100" s="3302">
        <v>15</v>
      </c>
    </row>
    <row r="101" spans="1:6" ht="24">
      <c r="A101" s="3302">
        <v>29</v>
      </c>
      <c r="B101" s="3708"/>
      <c r="C101" s="3283" t="s">
        <v>2939</v>
      </c>
      <c r="D101" s="3283" t="s">
        <v>2940</v>
      </c>
      <c r="E101" s="3308">
        <v>0.1</v>
      </c>
      <c r="F101" s="3302">
        <v>15</v>
      </c>
    </row>
    <row r="102" spans="1:6" ht="24">
      <c r="A102" s="3302">
        <v>30</v>
      </c>
      <c r="B102" s="3708"/>
      <c r="C102" s="3283" t="s">
        <v>2941</v>
      </c>
      <c r="D102" s="3283" t="s">
        <v>2942</v>
      </c>
      <c r="E102" s="3308">
        <v>0.1</v>
      </c>
      <c r="F102" s="3302">
        <v>15</v>
      </c>
    </row>
    <row r="103" spans="1:6" ht="24">
      <c r="A103" s="3302">
        <v>31</v>
      </c>
      <c r="B103" s="3708"/>
      <c r="C103" s="3283" t="s">
        <v>2943</v>
      </c>
      <c r="D103" s="3283" t="s">
        <v>2944</v>
      </c>
      <c r="E103" s="3308">
        <v>0.1</v>
      </c>
      <c r="F103" s="3302">
        <v>15</v>
      </c>
    </row>
    <row r="104" spans="1:6" ht="24">
      <c r="A104" s="3302">
        <v>32</v>
      </c>
      <c r="B104" s="3708"/>
      <c r="C104" s="3283" t="s">
        <v>2945</v>
      </c>
      <c r="D104" s="3283" t="s">
        <v>2946</v>
      </c>
      <c r="E104" s="3308">
        <v>0.1</v>
      </c>
      <c r="F104" s="3302">
        <v>15</v>
      </c>
    </row>
    <row r="105" spans="1:6" ht="24">
      <c r="A105" s="3302">
        <v>33</v>
      </c>
      <c r="B105" s="3708"/>
      <c r="C105" s="3283" t="s">
        <v>2947</v>
      </c>
      <c r="D105" s="3283" t="s">
        <v>2948</v>
      </c>
      <c r="E105" s="3308">
        <v>0.1</v>
      </c>
      <c r="F105" s="3302">
        <v>15</v>
      </c>
    </row>
    <row r="106" spans="1:6" ht="24">
      <c r="A106" s="3302">
        <v>34</v>
      </c>
      <c r="B106" s="3709"/>
      <c r="C106" s="3283" t="s">
        <v>2949</v>
      </c>
      <c r="D106" s="3283" t="s">
        <v>2950</v>
      </c>
      <c r="E106" s="3308">
        <v>0.1</v>
      </c>
      <c r="F106" s="3302">
        <v>15</v>
      </c>
    </row>
    <row r="107" spans="1:6" ht="24">
      <c r="A107" s="3302">
        <v>35</v>
      </c>
      <c r="B107" s="3707" t="s">
        <v>2951</v>
      </c>
      <c r="C107" s="3302" t="s">
        <v>2952</v>
      </c>
      <c r="D107" s="3283" t="s">
        <v>2953</v>
      </c>
      <c r="E107" s="3308">
        <v>0.15</v>
      </c>
      <c r="F107" s="3302">
        <v>20</v>
      </c>
    </row>
    <row r="108" spans="1:6" ht="24">
      <c r="A108" s="3302">
        <v>36</v>
      </c>
      <c r="B108" s="3708"/>
      <c r="C108" s="3302" t="s">
        <v>2954</v>
      </c>
      <c r="D108" s="3283" t="s">
        <v>2955</v>
      </c>
      <c r="E108" s="3308">
        <v>0.15</v>
      </c>
      <c r="F108" s="3302">
        <v>20</v>
      </c>
    </row>
    <row r="109" spans="1:6" ht="24">
      <c r="A109" s="3302">
        <v>37</v>
      </c>
      <c r="B109" s="3708"/>
      <c r="C109" s="3302" t="s">
        <v>2956</v>
      </c>
      <c r="D109" s="3283" t="s">
        <v>2957</v>
      </c>
      <c r="E109" s="3308">
        <v>0.15</v>
      </c>
      <c r="F109" s="3302">
        <v>20</v>
      </c>
    </row>
    <row r="110" spans="1:6" ht="13.5">
      <c r="A110" s="3302">
        <v>38</v>
      </c>
      <c r="B110" s="3708"/>
      <c r="C110" s="3302" t="s">
        <v>2958</v>
      </c>
      <c r="D110" s="3283" t="s">
        <v>2959</v>
      </c>
      <c r="E110" s="3308">
        <v>0.1</v>
      </c>
      <c r="F110" s="3302">
        <v>15</v>
      </c>
    </row>
    <row r="111" spans="1:6" ht="24">
      <c r="A111" s="3302">
        <v>39</v>
      </c>
      <c r="B111" s="3708"/>
      <c r="C111" s="3302" t="s">
        <v>2960</v>
      </c>
      <c r="D111" s="3283" t="s">
        <v>2961</v>
      </c>
      <c r="E111" s="3308">
        <v>0.1</v>
      </c>
      <c r="F111" s="3302">
        <v>15</v>
      </c>
    </row>
    <row r="112" spans="1:6" ht="24">
      <c r="A112" s="3302">
        <v>40</v>
      </c>
      <c r="B112" s="3709"/>
      <c r="C112" s="3302" t="s">
        <v>2962</v>
      </c>
      <c r="D112" s="3283" t="s">
        <v>2963</v>
      </c>
      <c r="E112" s="3308">
        <v>0.1</v>
      </c>
      <c r="F112" s="3302">
        <v>15</v>
      </c>
    </row>
    <row r="113" spans="1:6" ht="24">
      <c r="A113" s="3302">
        <v>41</v>
      </c>
      <c r="B113" s="3718" t="s">
        <v>2964</v>
      </c>
      <c r="C113" s="3302" t="s">
        <v>2965</v>
      </c>
      <c r="D113" s="3283" t="s">
        <v>2966</v>
      </c>
      <c r="E113" s="3308">
        <v>0.1</v>
      </c>
      <c r="F113" s="3302">
        <v>15</v>
      </c>
    </row>
    <row r="114" spans="1:6" ht="13.5">
      <c r="A114" s="3302">
        <v>42</v>
      </c>
      <c r="B114" s="3718"/>
      <c r="C114" s="3302" t="s">
        <v>2967</v>
      </c>
      <c r="D114" s="3283" t="s">
        <v>2968</v>
      </c>
      <c r="E114" s="3308">
        <v>0.1</v>
      </c>
      <c r="F114" s="3302">
        <v>15</v>
      </c>
    </row>
    <row r="115" spans="1:6" ht="24">
      <c r="A115" s="3302">
        <v>43</v>
      </c>
      <c r="B115" s="3718"/>
      <c r="C115" s="3302" t="s">
        <v>2969</v>
      </c>
      <c r="D115" s="3283" t="s">
        <v>2970</v>
      </c>
      <c r="E115" s="3308">
        <v>0.1</v>
      </c>
      <c r="F115" s="3302">
        <v>15</v>
      </c>
    </row>
    <row r="116" spans="1:6" ht="24">
      <c r="A116" s="3302">
        <v>44</v>
      </c>
      <c r="B116" s="3707" t="s">
        <v>2971</v>
      </c>
      <c r="C116" s="3302" t="s">
        <v>2972</v>
      </c>
      <c r="D116" s="3283" t="s">
        <v>2973</v>
      </c>
      <c r="E116" s="3308">
        <v>0.1</v>
      </c>
      <c r="F116" s="3302">
        <v>15</v>
      </c>
    </row>
    <row r="117" spans="1:6" ht="24">
      <c r="A117" s="3302">
        <v>45</v>
      </c>
      <c r="B117" s="3709"/>
      <c r="C117" s="3283" t="s">
        <v>2974</v>
      </c>
      <c r="D117" s="3283" t="s">
        <v>2975</v>
      </c>
      <c r="E117" s="3308">
        <v>0.1</v>
      </c>
      <c r="F117" s="3302">
        <v>15</v>
      </c>
    </row>
    <row r="118" spans="1:6" ht="24">
      <c r="A118" s="3302">
        <v>46</v>
      </c>
      <c r="B118" s="3707" t="s">
        <v>2976</v>
      </c>
      <c r="C118" s="3302" t="s">
        <v>2977</v>
      </c>
      <c r="D118" s="3283" t="s">
        <v>2978</v>
      </c>
      <c r="E118" s="3308">
        <v>0.1</v>
      </c>
      <c r="F118" s="3302">
        <v>15</v>
      </c>
    </row>
    <row r="119" spans="1:6" ht="24">
      <c r="A119" s="3302">
        <v>47</v>
      </c>
      <c r="B119" s="3709"/>
      <c r="C119" s="3302" t="s">
        <v>2979</v>
      </c>
      <c r="D119" s="3283" t="s">
        <v>2980</v>
      </c>
      <c r="E119" s="3308">
        <v>0.1</v>
      </c>
      <c r="F119" s="3302">
        <v>15</v>
      </c>
    </row>
    <row r="120" spans="1:6" ht="24">
      <c r="A120" s="3302">
        <v>48</v>
      </c>
      <c r="B120" s="3707" t="s">
        <v>2981</v>
      </c>
      <c r="C120" s="3302" t="s">
        <v>2982</v>
      </c>
      <c r="D120" s="3283" t="s">
        <v>2983</v>
      </c>
      <c r="E120" s="3308">
        <v>0.1</v>
      </c>
      <c r="F120" s="3302">
        <v>15</v>
      </c>
    </row>
    <row r="121" spans="1:6" ht="13.5">
      <c r="A121" s="3302">
        <v>49</v>
      </c>
      <c r="B121" s="3709"/>
      <c r="C121" s="3302" t="s">
        <v>2984</v>
      </c>
      <c r="D121" s="3283" t="s">
        <v>2985</v>
      </c>
      <c r="E121" s="3308">
        <v>0.1</v>
      </c>
      <c r="F121" s="3302">
        <v>15</v>
      </c>
    </row>
    <row r="122" spans="1:6" ht="24">
      <c r="A122" s="3302">
        <v>50</v>
      </c>
      <c r="B122" s="3718" t="s">
        <v>2986</v>
      </c>
      <c r="C122" s="3302" t="s">
        <v>2987</v>
      </c>
      <c r="D122" s="3283" t="s">
        <v>2988</v>
      </c>
      <c r="E122" s="3308">
        <v>0.1</v>
      </c>
      <c r="F122" s="3302">
        <v>15</v>
      </c>
    </row>
    <row r="123" spans="1:6" ht="24">
      <c r="A123" s="3302">
        <v>51</v>
      </c>
      <c r="B123" s="3718"/>
      <c r="C123" s="3302" t="s">
        <v>2989</v>
      </c>
      <c r="D123" s="3283" t="s">
        <v>2990</v>
      </c>
      <c r="E123" s="3308">
        <v>0.1</v>
      </c>
      <c r="F123" s="3302">
        <v>15</v>
      </c>
    </row>
    <row r="124" spans="1:6" ht="24">
      <c r="A124" s="3302">
        <v>52</v>
      </c>
      <c r="B124" s="3718" t="s">
        <v>2991</v>
      </c>
      <c r="C124" s="3302" t="s">
        <v>2992</v>
      </c>
      <c r="D124" s="3283" t="s">
        <v>2993</v>
      </c>
      <c r="E124" s="3308">
        <v>0.1</v>
      </c>
      <c r="F124" s="3302">
        <v>15</v>
      </c>
    </row>
    <row r="125" spans="1:6" ht="24">
      <c r="A125" s="3302">
        <v>53</v>
      </c>
      <c r="B125" s="3718"/>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18" t="s">
        <v>2999</v>
      </c>
      <c r="C127" s="3302" t="s">
        <v>3000</v>
      </c>
      <c r="D127" s="3283" t="s">
        <v>3001</v>
      </c>
      <c r="E127" s="3308">
        <v>0.1</v>
      </c>
      <c r="F127" s="3302">
        <v>15</v>
      </c>
    </row>
    <row r="128" spans="1:6" ht="13.5">
      <c r="A128" s="3302">
        <v>56</v>
      </c>
      <c r="B128" s="3718"/>
      <c r="C128" s="3302" t="s">
        <v>3002</v>
      </c>
      <c r="D128" s="3283" t="s">
        <v>3003</v>
      </c>
      <c r="E128" s="3308">
        <v>0.1</v>
      </c>
      <c r="F128" s="3302">
        <v>15</v>
      </c>
    </row>
    <row r="129" spans="1:6" ht="24">
      <c r="A129" s="3302">
        <v>57</v>
      </c>
      <c r="B129" s="3718"/>
      <c r="C129" s="3302" t="s">
        <v>3004</v>
      </c>
      <c r="D129" s="3283" t="s">
        <v>3005</v>
      </c>
      <c r="E129" s="3308">
        <v>0.1</v>
      </c>
      <c r="F129" s="3302">
        <v>15</v>
      </c>
    </row>
    <row r="130" spans="1:6" ht="24">
      <c r="A130" s="3302">
        <v>58</v>
      </c>
      <c r="B130" s="3718" t="s">
        <v>3006</v>
      </c>
      <c r="C130" s="3302" t="s">
        <v>3007</v>
      </c>
      <c r="D130" s="3283" t="s">
        <v>3008</v>
      </c>
      <c r="E130" s="3308">
        <v>0.1</v>
      </c>
      <c r="F130" s="3302">
        <v>15</v>
      </c>
    </row>
    <row r="131" spans="1:6" ht="24">
      <c r="A131" s="3302">
        <v>59</v>
      </c>
      <c r="B131" s="3718"/>
      <c r="C131" s="3302" t="s">
        <v>3009</v>
      </c>
      <c r="D131" s="3283" t="s">
        <v>3010</v>
      </c>
      <c r="E131" s="3308">
        <v>0.1</v>
      </c>
      <c r="F131" s="3302">
        <v>15</v>
      </c>
    </row>
    <row r="132" spans="1:6" ht="24">
      <c r="A132" s="3302">
        <v>60</v>
      </c>
      <c r="B132" s="3707" t="s">
        <v>3011</v>
      </c>
      <c r="C132" s="3302" t="s">
        <v>3012</v>
      </c>
      <c r="D132" s="3283" t="s">
        <v>3013</v>
      </c>
      <c r="E132" s="3308">
        <v>0.1</v>
      </c>
      <c r="F132" s="3302">
        <v>15</v>
      </c>
    </row>
    <row r="133" spans="1:6" ht="24">
      <c r="A133" s="3302">
        <v>61</v>
      </c>
      <c r="B133" s="3709"/>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18" t="s">
        <v>3019</v>
      </c>
      <c r="C135" s="3302" t="s">
        <v>3020</v>
      </c>
      <c r="D135" s="3283" t="s">
        <v>3021</v>
      </c>
      <c r="E135" s="3308">
        <v>0.1</v>
      </c>
      <c r="F135" s="3302">
        <v>15</v>
      </c>
    </row>
    <row r="136" spans="1:6" ht="13.5">
      <c r="A136" s="3302">
        <v>64</v>
      </c>
      <c r="B136" s="3718"/>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24" t="s">
        <v>782</v>
      </c>
      <c r="C1" s="3724"/>
      <c r="D1" s="3724"/>
      <c r="E1" s="3724"/>
      <c r="F1" s="3724"/>
      <c r="G1" s="3720" t="s">
        <v>783</v>
      </c>
      <c r="H1" s="3720"/>
      <c r="I1" s="3720"/>
      <c r="J1" s="3720"/>
      <c r="K1" s="3720"/>
      <c r="L1" s="3720"/>
      <c r="N1" s="3720" t="s">
        <v>784</v>
      </c>
      <c r="O1" s="3720"/>
      <c r="P1" s="3720"/>
      <c r="Q1" s="3720"/>
      <c r="S1" s="3720" t="s">
        <v>785</v>
      </c>
      <c r="T1" s="3720"/>
      <c r="U1" s="3720"/>
      <c r="V1" s="3720"/>
      <c r="X1" s="3719" t="s">
        <v>786</v>
      </c>
      <c r="Y1" s="3720"/>
      <c r="Z1" s="3720"/>
      <c r="AA1" s="3720"/>
      <c r="AB1" s="3720"/>
      <c r="AD1" s="3719" t="s">
        <v>787</v>
      </c>
      <c r="AE1" s="3720"/>
      <c r="AF1" s="3720"/>
      <c r="AG1" s="3720"/>
      <c r="AH1" s="3720"/>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2800</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2799</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2798</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2797</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2796</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2795</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2649</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2648</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2647</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2641</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2640</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2495</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2492</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2490</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2488</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2482</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2483</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2477</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2">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2472</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2"/>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2471</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2"/>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2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2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2"/>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2"/>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2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2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2"/>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2"/>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3"/>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1">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2"/>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2"/>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3"/>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1">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2"/>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2"/>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3"/>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2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2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2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2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1">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2"/>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2"/>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3"/>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1">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2">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2">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3">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1">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2">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2">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3">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1">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2">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2">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3">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1">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2">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2">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3">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1">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2">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2">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3">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1">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2">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2">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3">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1">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2">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2">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3">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1">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2">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2">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3">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1">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2">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2">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3">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1">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2">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2">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3">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44817</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2642</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1"/>
      <c r="C2" s="3341"/>
      <c r="D2" s="3341"/>
      <c r="E2" s="3341"/>
    </row>
    <row r="3" spans="1:5" ht="13.5" customHeight="1">
      <c r="A3" s="1290"/>
      <c r="B3" s="1290"/>
      <c r="C3" s="1290"/>
      <c r="D3" s="1290"/>
      <c r="E3" s="1290"/>
    </row>
    <row r="4" spans="1:5" ht="19.5" thickBot="1">
      <c r="A4" s="3342" t="str">
        <f>IF(项目基本情况!D5="房地产市场价值","估价结果一览表（市场价值不需本页表格)","估价结果一览表")</f>
        <v>估价结果一览表</v>
      </c>
      <c r="B4" s="3342"/>
      <c r="C4" s="3342"/>
      <c r="D4" s="3342"/>
      <c r="E4" s="3342"/>
    </row>
    <row r="5" spans="1:5" ht="14.25" customHeight="1" thickTop="1">
      <c r="A5" s="1287"/>
      <c r="B5" s="1291" t="s">
        <v>562</v>
      </c>
      <c r="C5" s="3343" t="s">
        <v>593</v>
      </c>
      <c r="D5" s="3344"/>
      <c r="E5" s="1287"/>
    </row>
    <row r="6" spans="1:5" ht="14.25">
      <c r="A6" s="1287"/>
      <c r="B6" s="1292" t="str">
        <f>项目基本情况!I1</f>
        <v>北京市房地产</v>
      </c>
      <c r="C6" s="3345">
        <f>项目基本情况!C12</f>
        <v>71.38</v>
      </c>
      <c r="D6" s="3345"/>
      <c r="E6" s="1287"/>
    </row>
    <row r="7" spans="1:5" ht="14.25">
      <c r="A7" s="1287"/>
      <c r="B7" s="3339" t="s">
        <v>594</v>
      </c>
      <c r="C7" s="1293" t="str">
        <f>IF('数据-取费表'!B3="万元","总价（万元）","总价（元）")</f>
        <v>总价（万元）</v>
      </c>
      <c r="D7" s="1294">
        <f ca="1">IF('数据-取费表'!E3="否",结果表!I102,'结果表 (1修多)'!I104)</f>
        <v>185</v>
      </c>
      <c r="E7" s="1287"/>
    </row>
    <row r="8" spans="1:5" ht="14.25">
      <c r="A8" s="1287"/>
      <c r="B8" s="3339"/>
      <c r="C8" s="1295" t="s">
        <v>924</v>
      </c>
      <c r="D8" s="1296" t="str">
        <f ca="1">IF('数据-取费表'!B3="万元",NUMBERSTRING(INT(D7*10000),2)&amp;"元整",NUMBERSTRING(INT(D7),2)&amp;"元整")</f>
        <v>壹佰捌拾伍万元整</v>
      </c>
      <c r="E8" s="1287"/>
    </row>
    <row r="9" spans="1:5" ht="14.25">
      <c r="A9" s="1287"/>
      <c r="B9" s="3339"/>
      <c r="C9" s="1297" t="s">
        <v>1020</v>
      </c>
      <c r="D9" s="1294">
        <f ca="1">IF('数据-取费表'!E3="否",结果表!I103,'结果表 (1修多)'!I105)</f>
        <v>25859</v>
      </c>
      <c r="E9" s="1287"/>
    </row>
    <row r="10" spans="1:5" ht="14.25">
      <c r="A10" s="1287"/>
      <c r="B10" s="3346"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6"/>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6" t="str">
        <f>IF('数据-取费表'!E3="否",结果表!F110,'结果表 (1修多)'!F112)</f>
        <v>3.房地产抵押价值</v>
      </c>
      <c r="C15" s="1288" t="str">
        <f>C7</f>
        <v>总价（万元）</v>
      </c>
      <c r="D15" s="1294">
        <f ca="1">IF('数据-取费表'!E3="否",结果表!I110,'结果表 (1修多)'!I112)</f>
        <v>185</v>
      </c>
      <c r="E15" s="1287"/>
    </row>
    <row r="16" spans="1:5" ht="14.25">
      <c r="A16" s="1287"/>
      <c r="B16" s="3346"/>
      <c r="C16" s="1295" t="s">
        <v>924</v>
      </c>
      <c r="D16" s="1294" t="str">
        <f ca="1">IF('数据-取费表'!B3="万元",NUMBERSTRING(INT(D15*10000),2)&amp;"元整",NUMBERSTRING(INT(D15),2)&amp;"元整")</f>
        <v>壹佰捌拾伍万元整</v>
      </c>
      <c r="E16" s="1287"/>
    </row>
    <row r="17" spans="1:5" ht="14.25">
      <c r="A17" s="1287"/>
      <c r="B17" s="3346"/>
      <c r="C17" s="1297" t="s">
        <v>1020</v>
      </c>
      <c r="D17" s="1294">
        <f ca="1">IF('数据-取费表'!E3="否",结果表!I111,'结果表 (1修多)'!I113)</f>
        <v>25859</v>
      </c>
      <c r="E17" s="1287"/>
    </row>
    <row r="18" spans="1:5" ht="14.25">
      <c r="A18" s="1287"/>
      <c r="B18" s="3346" t="str">
        <f>IF('数据-取费表'!E3="否",结果表!F112,'结果表 (1修多)'!F114)</f>
        <v>——</v>
      </c>
      <c r="C18" s="1288" t="str">
        <f>C7</f>
        <v>总价（万元）</v>
      </c>
      <c r="D18" s="1294" t="str">
        <f>IF('数据-取费表'!E3="否",结果表!I112,'结果表 (1修多)'!I114)</f>
        <v>——</v>
      </c>
      <c r="E18" s="1287"/>
    </row>
    <row r="19" spans="1:5" ht="14.25">
      <c r="A19" s="1287"/>
      <c r="B19" s="3346"/>
      <c r="C19" s="1295" t="s">
        <v>924</v>
      </c>
      <c r="D19" s="1294" t="e">
        <f>IF('数据-取费表'!B3="万元",NUMBERSTRING(INT(D18*10000),2)&amp;"元整",NUMBERSTRING(INT(D18),2)&amp;"元整")</f>
        <v>#VALUE!</v>
      </c>
      <c r="E19" s="1287"/>
    </row>
    <row r="20" spans="1:5" ht="14.25">
      <c r="A20" s="1287"/>
      <c r="B20" s="3346"/>
      <c r="C20" s="1297" t="s">
        <v>1020</v>
      </c>
      <c r="D20" s="1294" t="str">
        <f>IF('数据-取费表'!E3="否",结果表!I113,'结果表 (1修多)'!I115)</f>
        <v>——</v>
      </c>
      <c r="E20" s="1287"/>
    </row>
    <row r="21" spans="1:5" ht="14.25">
      <c r="A21" s="1287"/>
      <c r="B21" s="3339" t="str">
        <f>IF('数据-取费表'!E3="否",结果表!F114,'结果表 (1修多)'!F116)</f>
        <v>——</v>
      </c>
      <c r="C21" s="1293" t="str">
        <f>C7</f>
        <v>总价（万元）</v>
      </c>
      <c r="D21" s="1294" t="str">
        <f>IF('数据-取费表'!E3="否",结果表!I114,'结果表 (1修多)'!I116)</f>
        <v>——</v>
      </c>
      <c r="E21" s="1287"/>
    </row>
    <row r="22" spans="1:5" ht="14.25">
      <c r="A22" s="1287"/>
      <c r="B22" s="3339"/>
      <c r="C22" s="1295" t="s">
        <v>924</v>
      </c>
      <c r="D22" s="1296" t="e">
        <f>IF('数据-取费表'!B3="万元",NUMBERSTRING(INT(D21*10000),2)&amp;"元整",NUMBERSTRING(INT(D21),2)&amp;"元整")</f>
        <v>#VALUE!</v>
      </c>
      <c r="E22" s="1287"/>
    </row>
    <row r="23" spans="1:5" ht="15" thickBot="1">
      <c r="A23" s="1287"/>
      <c r="B23" s="334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1" t="s">
        <v>1021</v>
      </c>
      <c r="C25" s="3331"/>
      <c r="D25" s="3331"/>
      <c r="E25" s="1287"/>
    </row>
    <row r="26" spans="1:5" ht="18.75" customHeight="1" thickTop="1">
      <c r="A26" s="1287"/>
      <c r="B26" s="3334" t="s">
        <v>923</v>
      </c>
      <c r="C26" s="3335"/>
      <c r="D26" s="3332" t="s">
        <v>922</v>
      </c>
      <c r="E26" s="1287"/>
    </row>
    <row r="27" spans="1:5" ht="18.75" customHeight="1">
      <c r="A27" s="1287"/>
      <c r="B27" s="3336"/>
      <c r="C27" s="3337"/>
      <c r="D27" s="3333"/>
      <c r="E27" s="1287"/>
    </row>
    <row r="28" spans="1:5" ht="14.25">
      <c r="A28" s="1287"/>
      <c r="B28" s="3324" t="s">
        <v>594</v>
      </c>
      <c r="C28" s="1304" t="s">
        <v>925</v>
      </c>
      <c r="D28" s="1305">
        <f ca="1">IF('数据-取费表'!E3="否",结果表!I102,'结果表 (1修多)'!I104)</f>
        <v>185</v>
      </c>
      <c r="E28" s="1287"/>
    </row>
    <row r="29" spans="1:5" ht="14.25">
      <c r="A29" s="1287"/>
      <c r="B29" s="3325"/>
      <c r="C29" s="1306" t="s">
        <v>924</v>
      </c>
      <c r="D29" s="1307" t="str">
        <f ca="1">IF('数据-取费表'!B3="万元",NUMBERSTRING(INT(D28*10000),2)&amp;"元整",NUMBERSTRING(INT(D28),2)&amp;"元整")</f>
        <v>壹佰捌拾伍万元整</v>
      </c>
      <c r="E29" s="1287"/>
    </row>
    <row r="30" spans="1:5" ht="14.25">
      <c r="A30" s="1287"/>
      <c r="B30" s="3326"/>
      <c r="C30" s="1297" t="s">
        <v>927</v>
      </c>
      <c r="D30" s="1308">
        <f ca="1">IF('数据-取费表'!E3="否",结果表!I103,'结果表 (1修多)'!I105)</f>
        <v>25859</v>
      </c>
      <c r="E30" s="1287"/>
    </row>
    <row r="31" spans="1:5" ht="14.25">
      <c r="A31" s="1287"/>
      <c r="B31" s="3329" t="str">
        <f>B10</f>
        <v>2.估价师所知悉的法定优先受偿款</v>
      </c>
      <c r="C31" s="1309" t="s">
        <v>926</v>
      </c>
      <c r="D31" s="1310">
        <f>IF('数据-取费表'!E3="否",结果表!I105,'结果表 (1修多)'!I107)</f>
        <v>0</v>
      </c>
      <c r="E31" s="1287"/>
    </row>
    <row r="32" spans="1:5" ht="14.25">
      <c r="A32" s="1287"/>
      <c r="B32" s="333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7" t="str">
        <f>B15</f>
        <v>3.房地产抵押价值</v>
      </c>
      <c r="C36" s="1309" t="str">
        <f>C28</f>
        <v>总价</v>
      </c>
      <c r="D36" s="1310">
        <f ca="1">IF('数据-取费表'!E3="否",结果表!I110,'结果表 (1修多)'!I112)</f>
        <v>185</v>
      </c>
      <c r="E36" s="1287"/>
    </row>
    <row r="37" spans="1:5" ht="14.25">
      <c r="A37" s="1287"/>
      <c r="B37" s="3327"/>
      <c r="C37" s="1306" t="s">
        <v>924</v>
      </c>
      <c r="D37" s="1311" t="str">
        <f ca="1">IF('数据-取费表'!B3="万元",NUMBERSTRING(INT(D36*10000),2)&amp;"元整",NUMBERSTRING(INT(D36),2)&amp;"元整")</f>
        <v>壹佰捌拾伍万元整</v>
      </c>
      <c r="E37" s="1287"/>
    </row>
    <row r="38" spans="1:5" ht="14.25">
      <c r="A38" s="1287"/>
      <c r="B38" s="3327"/>
      <c r="C38" s="1297" t="s">
        <v>928</v>
      </c>
      <c r="D38" s="1308">
        <f ca="1">IF('数据-取费表'!E3="否",结果表!D113,'结果表 (1修多)'!D117)</f>
        <v>25859</v>
      </c>
      <c r="E38" s="1287"/>
    </row>
    <row r="39" spans="1:5" ht="14.25">
      <c r="A39" s="1287"/>
      <c r="B39" s="3328" t="str">
        <f>B18</f>
        <v>——</v>
      </c>
      <c r="C39" s="1309" t="str">
        <f>C28</f>
        <v>总价</v>
      </c>
      <c r="D39" s="1310" t="str">
        <f>IF('数据-取费表'!E3="否",结果表!I112,'结果表 (1修多)'!I114)</f>
        <v>——</v>
      </c>
      <c r="E39" s="1287"/>
    </row>
    <row r="40" spans="1:5" ht="14.25">
      <c r="A40" s="1287"/>
      <c r="B40" s="3328"/>
      <c r="C40" s="1306" t="s">
        <v>924</v>
      </c>
      <c r="D40" s="1311" t="e">
        <f>IF('数据-取费表'!B3="万元",NUMBERSTRING(INT(D39*10000),2)&amp;"元整",NUMBERSTRING(INT(D39),2)&amp;"元整")</f>
        <v>#VALUE!</v>
      </c>
      <c r="E40" s="1287"/>
    </row>
    <row r="41" spans="1:5" ht="14.25">
      <c r="A41" s="1287"/>
      <c r="B41" s="3328"/>
      <c r="C41" s="1297" t="s">
        <v>928</v>
      </c>
      <c r="D41" s="1308" t="str">
        <f>IF('数据-取费表'!E3="否",结果表!D115,'结果表 (1修多)'!D119)</f>
        <v>——</v>
      </c>
      <c r="E41" s="1287"/>
    </row>
    <row r="42" spans="1:5" ht="14.25">
      <c r="A42" s="1287"/>
      <c r="B42" s="3327" t="str">
        <f>B21</f>
        <v>——</v>
      </c>
      <c r="C42" s="1309" t="str">
        <f>C28</f>
        <v>总价</v>
      </c>
      <c r="D42" s="1310" t="str">
        <f>IF('数据-取费表'!E3="否",结果表!I114,'结果表 (1修多)'!I116)</f>
        <v>——</v>
      </c>
      <c r="E42" s="1287"/>
    </row>
    <row r="43" spans="1:5" ht="14.25">
      <c r="A43" s="1287"/>
      <c r="B43" s="3329"/>
      <c r="C43" s="1306" t="s">
        <v>924</v>
      </c>
      <c r="D43" s="1312" t="e">
        <f>IF('数据-取费表'!B3="万元",NUMBERSTRING(INT(D42*10000),2)&amp;"元整",NUMBERSTRING(INT(D42),2)&amp;"元整")</f>
        <v>#VALUE!</v>
      </c>
      <c r="E43" s="1287"/>
    </row>
    <row r="44" spans="1:5" ht="15" thickBot="1">
      <c r="A44" s="1287"/>
      <c r="B44" s="333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7"/>
      <c r="B3" s="3347"/>
      <c r="C3" s="3347"/>
      <c r="D3" s="776" t="s">
        <v>1027</v>
      </c>
      <c r="E3" s="776" t="s">
        <v>1028</v>
      </c>
      <c r="F3" s="776" t="s">
        <v>1027</v>
      </c>
      <c r="G3" s="776" t="s">
        <v>1029</v>
      </c>
      <c r="H3" s="776" t="s">
        <v>1027</v>
      </c>
      <c r="I3" s="776" t="s">
        <v>1029</v>
      </c>
    </row>
    <row r="4" spans="1:9" ht="46.5" customHeight="1">
      <c r="A4" s="776" t="str">
        <f>项目基本情况!I1</f>
        <v>北京市房地产</v>
      </c>
      <c r="B4" s="776">
        <f>结果表!B121</f>
        <v>71.38</v>
      </c>
      <c r="C4" s="776">
        <f>结果表!C121</f>
        <v>0</v>
      </c>
      <c r="D4" s="776">
        <f ca="1">IF('数据-取费表'!E3="否",结果表!D121,'结果表 (1修多)'!D125)</f>
        <v>144</v>
      </c>
      <c r="E4" s="776">
        <f ca="1">IF('数据-取费表'!E3="否",结果表!E121,'结果表 (1修多)'!E125)</f>
        <v>20144</v>
      </c>
      <c r="F4" s="776">
        <f ca="1">IF('数据-取费表'!E3="否",结果表!F121,'结果表 (1修多)'!F125)</f>
        <v>41</v>
      </c>
      <c r="G4" s="776">
        <f ca="1">IF('数据-取费表'!E3="否",结果表!G121,'结果表 (1修多)'!G125)</f>
        <v>5715</v>
      </c>
      <c r="H4" s="776">
        <f ca="1">IF('数据-取费表'!E3="否",结果表!H121,'结果表 (1修多)'!H125)</f>
        <v>185</v>
      </c>
      <c r="I4" s="776">
        <f ca="1">IF('数据-取费表'!E3="否",结果表!I121,'结果表 (1修多)'!I125)</f>
        <v>25859</v>
      </c>
    </row>
    <row r="5" spans="1:9" ht="15">
      <c r="A5" s="3347" t="s">
        <v>1030</v>
      </c>
      <c r="B5" s="3347"/>
      <c r="C5" s="3347"/>
      <c r="D5" s="3348" t="str">
        <f ca="1">IF('数据-取费表'!E3="否",结果表!D122,'结果表 (1修多)'!D126)</f>
        <v>壹佰肆拾肆万元整</v>
      </c>
      <c r="E5" s="3348"/>
      <c r="F5" s="3348" t="str">
        <f ca="1">IF('数据-取费表'!E3="否",结果表!F122,'结果表 (1修多)'!F126)</f>
        <v>肆拾壹万元整</v>
      </c>
      <c r="G5" s="3348"/>
      <c r="H5" s="3348" t="str">
        <f ca="1">IF('数据-取费表'!E3="否",结果表!H122,'结果表 (1修多)'!H126)</f>
        <v>壹佰捌拾伍万元整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47" t="s">
        <v>1030</v>
      </c>
      <c r="B7" s="3347"/>
      <c r="C7" s="3347"/>
      <c r="D7" s="3355">
        <f>IF('数据-取费表'!E3="否",结果表!D124,'结果表 (1修多)'!D128)</f>
        <v>0</v>
      </c>
      <c r="E7" s="3356"/>
      <c r="F7" s="3356"/>
      <c r="G7" s="3356"/>
      <c r="H7" s="3356"/>
      <c r="I7" s="3357"/>
    </row>
    <row r="8" spans="1:9" ht="15.75">
      <c r="A8" s="3349" t="str">
        <f>IF('数据-取费表'!E3="否",结果表!A125,'结果表 (1修多)'!A129)</f>
        <v>房地产抵押价值</v>
      </c>
      <c r="B8" s="3349"/>
      <c r="C8" s="3349"/>
      <c r="D8" s="3349">
        <f ca="1">IF('数据-取费表'!E3="否",结果表!D125,'结果表 (1修多)'!D129)</f>
        <v>185</v>
      </c>
      <c r="E8" s="3349"/>
      <c r="F8" s="3349"/>
      <c r="G8" s="3349"/>
      <c r="H8" s="3349"/>
      <c r="I8" s="3349"/>
    </row>
    <row r="9" spans="1:9" ht="15">
      <c r="A9" s="3347" t="s">
        <v>1030</v>
      </c>
      <c r="B9" s="3347"/>
      <c r="C9" s="3347"/>
      <c r="D9" s="3348">
        <f ca="1">IF('数据-取费表'!E3="否",结果表!D126,'结果表 (1修多)'!D130)</f>
        <v>25859</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47" t="s">
        <v>1030</v>
      </c>
      <c r="B11" s="3347"/>
      <c r="C11" s="3347"/>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0" t="s">
        <v>1030</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单位：平方米、万元、元/平方米（币种：人民币）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59" t="s">
        <v>1043</v>
      </c>
      <c r="B1" s="3359"/>
      <c r="C1" s="3359"/>
      <c r="D1" s="3359"/>
    </row>
    <row r="2" spans="1:4" ht="18">
      <c r="A2" s="3358" t="s">
        <v>1032</v>
      </c>
      <c r="B2" s="3358"/>
      <c r="C2" s="3358"/>
      <c r="D2" s="335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8" t="s">
        <v>1037</v>
      </c>
      <c r="B7" s="3358"/>
      <c r="C7" s="3358"/>
      <c r="D7" s="335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0" t="s">
        <v>2496</v>
      </c>
      <c r="B12" s="3361"/>
      <c r="C12" s="3361"/>
      <c r="D12" s="3361"/>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60" t="str">
        <f>IF(项目基本情况!D4="抵押","4.本次评估估价师所知悉的法定优先受偿款情况说明如下：","——")</f>
        <v>4.本次评估估价师所知悉的法定优先受偿款情况说明如下：</v>
      </c>
      <c r="B15" s="3361"/>
      <c r="C15" s="3361"/>
      <c r="D15" s="3361"/>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2" t="s">
        <v>1045</v>
      </c>
      <c r="B17" s="3362"/>
      <c r="C17" s="3362"/>
      <c r="D17" s="3362"/>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2" t="s">
        <v>2497</v>
      </c>
      <c r="B20" s="3362"/>
      <c r="C20" s="3362"/>
      <c r="D20" s="336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40" t="s">
        <v>1129</v>
      </c>
      <c r="B19" s="1341"/>
      <c r="C19" s="1342"/>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3" t="s">
        <v>1135</v>
      </c>
    </row>
    <row r="24" spans="1:3" ht="14.25">
      <c r="A24" s="3366"/>
      <c r="B24" s="3367"/>
      <c r="C24" s="1343" t="s">
        <v>1136</v>
      </c>
    </row>
    <row r="25" spans="1:3" ht="14.25">
      <c r="A25" s="3366"/>
      <c r="B25" s="3367"/>
      <c r="C25" s="1343" t="s">
        <v>1137</v>
      </c>
    </row>
    <row r="26" spans="1:3" ht="14.25">
      <c r="A26" s="3366"/>
      <c r="B26" s="3367"/>
      <c r="C26" s="1343" t="s">
        <v>1138</v>
      </c>
    </row>
    <row r="27" spans="1:3" ht="14.25">
      <c r="A27" s="3366"/>
      <c r="B27" s="3367"/>
      <c r="C27" s="1343" t="s">
        <v>1139</v>
      </c>
    </row>
    <row r="28" spans="1:3" ht="14.25">
      <c r="A28" s="3366"/>
      <c r="B28" s="3367"/>
      <c r="C28" s="1343" t="s">
        <v>1140</v>
      </c>
    </row>
    <row r="29" spans="1:3" ht="14.25">
      <c r="A29" s="3366"/>
      <c r="B29" s="3367"/>
      <c r="C29" s="1343" t="s">
        <v>1141</v>
      </c>
    </row>
    <row r="30" spans="1:3" ht="14.25">
      <c r="A30" s="3366"/>
      <c r="B30" s="3367"/>
      <c r="C30" s="1343" t="s">
        <v>1142</v>
      </c>
    </row>
    <row r="31" spans="1:3" ht="14.25">
      <c r="A31" s="3366"/>
      <c r="B31" s="336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44817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6"/>
      <c r="E18" s="3373" t="s">
        <v>584</v>
      </c>
      <c r="F18" s="3372"/>
      <c r="G18" s="337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本次估价的“房地产价值”是指在正常市场情况下，在价值时点2022年9月13日，估价对象规划用途为，假定未设立法定优先受偿款下的房地产市场价值。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2022-09-13T06:51:08Z</dcterms:modified>
</cp:coreProperties>
</file>