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E:\2025\进行中\2025-1-0469-F01-望京东路4号院-武哥-郑、王-1、2\"/>
    </mc:Choice>
  </mc:AlternateContent>
  <xr:revisionPtr revIDLastSave="0" documentId="13_ncr:1_{BABA2D93-CF1C-426F-A349-E87C6DDCAB5E}" xr6:coauthVersionLast="47" xr6:coauthVersionMax="47" xr10:uidLastSave="{00000000-0000-0000-0000-000000000000}"/>
  <bookViews>
    <workbookView xWindow="-110" yWindow="-110" windowWidth="25820" windowHeight="14020" tabRatio="899" firstSheet="7"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信息表" sheetId="80" r:id="rId42"/>
    <sheet name="租赁台账" sheetId="84" r:id="rId43"/>
    <sheet name="比较法选取案例" sheetId="81" r:id="rId44"/>
    <sheet name="案例中指信息" sheetId="83" r:id="rId45"/>
    <sheet name="Sheet3" sheetId="82" r:id="rId46"/>
    <sheet name="地价-分区" sheetId="79" r:id="rId47"/>
    <sheet name="地价" sheetId="71" r:id="rId48"/>
    <sheet name="区片价" sheetId="44" r:id="rId49"/>
    <sheet name="存贷款利率" sheetId="73" r:id="rId50"/>
  </sheets>
  <externalReferences>
    <externalReference r:id="rId51"/>
    <externalReference r:id="rId52"/>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L10" i="84" l="1"/>
  <c r="L11" i="84" s="1"/>
  <c r="E10" i="84"/>
  <c r="J23" i="84"/>
  <c r="J22" i="84"/>
  <c r="J21" i="84"/>
  <c r="P9" i="84" l="1"/>
  <c r="O9" i="84"/>
  <c r="M9" i="84"/>
  <c r="L9" i="84"/>
  <c r="Q9" i="84" s="1"/>
  <c r="I9" i="84"/>
  <c r="P8" i="84"/>
  <c r="O8" i="84" s="1"/>
  <c r="M8" i="84"/>
  <c r="L8" i="84"/>
  <c r="K8" i="84" s="1"/>
  <c r="I8" i="84"/>
  <c r="P7" i="84"/>
  <c r="O7" i="84" s="1"/>
  <c r="M7" i="84"/>
  <c r="K7" i="84"/>
  <c r="J7" i="84"/>
  <c r="I7" i="84" s="1"/>
  <c r="L6" i="84"/>
  <c r="J6" i="84" s="1"/>
  <c r="I6" i="84" s="1"/>
  <c r="P5" i="84"/>
  <c r="O5" i="84" s="1"/>
  <c r="M5" i="84"/>
  <c r="L5" i="84"/>
  <c r="Q5" i="84" s="1"/>
  <c r="I5" i="84"/>
  <c r="F5" i="84"/>
  <c r="P4" i="84"/>
  <c r="O4" i="84" s="1"/>
  <c r="M4" i="84"/>
  <c r="L4" i="84"/>
  <c r="Q4" i="84" s="1"/>
  <c r="F4" i="84"/>
  <c r="M3" i="84"/>
  <c r="I3" i="84"/>
  <c r="F3" i="84"/>
  <c r="L3" i="84" s="1"/>
  <c r="E67" i="34"/>
  <c r="D67" i="34" s="1"/>
  <c r="C67" i="34" s="1"/>
  <c r="F67" i="34"/>
  <c r="Q7" i="84" l="1"/>
  <c r="P3" i="84"/>
  <c r="O3" i="84" s="1"/>
  <c r="Q3" i="84"/>
  <c r="K3" i="84"/>
  <c r="K4" i="84"/>
  <c r="K5" i="84"/>
  <c r="K6" i="84"/>
  <c r="Q8" i="84"/>
  <c r="Q6" i="84"/>
  <c r="K9" i="84"/>
  <c r="B6" i="82"/>
  <c r="B10" i="82" s="1"/>
  <c r="B5" i="82"/>
  <c r="D5" i="82" s="1"/>
  <c r="B3" i="82"/>
  <c r="D6" i="82" l="1"/>
  <c r="D4" i="82" s="1"/>
  <c r="B4" i="82"/>
  <c r="C4" i="82" l="1"/>
  <c r="B7" i="82"/>
  <c r="D7" i="82" s="1"/>
  <c r="D3" i="82" s="1"/>
  <c r="B12" i="82"/>
  <c r="B9" i="82"/>
  <c r="D9" i="82" s="1"/>
  <c r="C3" i="82" l="1"/>
  <c r="C10" i="82" s="1"/>
  <c r="D10" i="82" s="1"/>
  <c r="D12" i="82" s="1"/>
  <c r="C12" i="82" s="1"/>
  <c r="B14" i="74" l="1"/>
  <c r="J49" i="15"/>
  <c r="AF59" i="34"/>
  <c r="AG59" i="34"/>
  <c r="AH59" i="34" s="1"/>
  <c r="AI59" i="34" s="1"/>
  <c r="AJ59" i="34" s="1"/>
  <c r="AK59" i="34" s="1"/>
  <c r="AL59" i="34" s="1"/>
  <c r="AM59" i="34" s="1"/>
  <c r="AN59" i="34" s="1"/>
  <c r="AO59" i="34" s="1"/>
  <c r="AP59" i="34" s="1"/>
  <c r="AQ59" i="34" s="1"/>
  <c r="AR59" i="34" s="1"/>
  <c r="AC59" i="34"/>
  <c r="AD59" i="34" s="1"/>
  <c r="AE59" i="34" s="1"/>
  <c r="AB59" i="34"/>
  <c r="P59" i="34"/>
  <c r="Q59" i="34" s="1"/>
  <c r="R59" i="34" s="1"/>
  <c r="S59" i="34" s="1"/>
  <c r="T59" i="34" s="1"/>
  <c r="U59" i="34" s="1"/>
  <c r="V59" i="34" s="1"/>
  <c r="W59" i="34" s="1"/>
  <c r="X59" i="34" s="1"/>
  <c r="Y59" i="34" s="1"/>
  <c r="Z59" i="34" s="1"/>
  <c r="AA59" i="34" s="1"/>
  <c r="E105" i="34"/>
  <c r="F105" i="34" s="1"/>
  <c r="G105" i="34" s="1"/>
  <c r="H105" i="34" s="1"/>
  <c r="D105" i="34"/>
  <c r="I48" i="34"/>
  <c r="G48" i="34"/>
  <c r="E48" i="34"/>
  <c r="G34" i="34"/>
  <c r="E34" i="34"/>
  <c r="I7" i="34"/>
  <c r="G7" i="34"/>
  <c r="E7" i="34"/>
  <c r="E6" i="34"/>
  <c r="I6" i="34"/>
  <c r="G6" i="34"/>
  <c r="G5" i="34"/>
  <c r="E5" i="34"/>
  <c r="C34" i="34"/>
  <c r="I37" i="34"/>
  <c r="G37" i="34"/>
  <c r="E37" i="34"/>
  <c r="C37" i="34"/>
  <c r="I14" i="34"/>
  <c r="E13" i="34"/>
  <c r="B58" i="1"/>
  <c r="B21" i="1"/>
  <c r="AH6" i="1"/>
  <c r="Y6" i="1"/>
  <c r="N6" i="1"/>
  <c r="N19" i="1"/>
  <c r="G19" i="6"/>
  <c r="F19" i="6"/>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15" i="3"/>
  <c r="K14" i="3"/>
  <c r="K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13" i="3"/>
  <c r="K49" i="80"/>
  <c r="O18" i="80"/>
  <c r="O17" i="80"/>
  <c r="O19" i="80" s="1"/>
  <c r="Q17" i="80" s="1"/>
  <c r="U9" i="80"/>
  <c r="P9" i="80"/>
  <c r="O9" i="80"/>
  <c r="N9" i="80"/>
  <c r="E9" i="80"/>
  <c r="C9" i="80"/>
  <c r="E8" i="80"/>
  <c r="C8" i="80"/>
  <c r="C7" i="80"/>
  <c r="C6" i="80"/>
  <c r="C10" i="80" s="1"/>
  <c r="Q2" i="80"/>
  <c r="H13" i="4"/>
  <c r="F13" i="4"/>
  <c r="E13" i="4"/>
  <c r="E27" i="45"/>
  <c r="Q18" i="80" l="1"/>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R40" i="79"/>
  <c r="AR41" i="79" s="1"/>
  <c r="AR42" i="79" s="1"/>
  <c r="AR43" i="79" s="1"/>
  <c r="AR44" i="79" s="1"/>
  <c r="AR45" i="79" s="1"/>
  <c r="AR46" i="79" s="1"/>
  <c r="AR47" i="79" s="1"/>
  <c r="AR48" i="79" s="1"/>
  <c r="AR49" i="79" s="1"/>
  <c r="AR50" i="79" s="1"/>
  <c r="AR51" i="79" s="1"/>
  <c r="AR52" i="79" s="1"/>
  <c r="AD37" i="79"/>
  <c r="AD38" i="79"/>
  <c r="AD35" i="79"/>
  <c r="AD36" i="79"/>
  <c r="AA31" i="79"/>
  <c r="AD31" i="79" s="1"/>
  <c r="T40" i="79"/>
  <c r="U46" i="79"/>
  <c r="AI46" i="79" s="1"/>
  <c r="AD47" i="79"/>
  <c r="S48" i="79"/>
  <c r="AG48" i="79" s="1"/>
  <c r="U50" i="79"/>
  <c r="AI50" i="79" s="1"/>
  <c r="AD51" i="79"/>
  <c r="Z3" i="79"/>
  <c r="S33" i="79"/>
  <c r="AG33" i="79" s="1"/>
  <c r="S35" i="79"/>
  <c r="AG35" i="79" s="1"/>
  <c r="S34" i="79"/>
  <c r="AG34" i="79" s="1"/>
  <c r="AR18" i="79"/>
  <c r="AR19" i="79" s="1"/>
  <c r="AR20" i="79" s="1"/>
  <c r="AR21" i="79" s="1"/>
  <c r="AR22" i="79" s="1"/>
  <c r="AR23" i="79" s="1"/>
  <c r="AR24" i="79" s="1"/>
  <c r="T35" i="79"/>
  <c r="T33" i="79"/>
  <c r="T34" i="79"/>
  <c r="N3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2" i="79"/>
  <c r="AK12" i="79" s="1"/>
  <c r="AH12" i="79"/>
  <c r="W21" i="79"/>
  <c r="AK21" i="79" s="1"/>
  <c r="AH21" i="79"/>
  <c r="W47" i="79"/>
  <c r="AK47" i="79" s="1"/>
  <c r="AH47" i="79"/>
  <c r="W45" i="79"/>
  <c r="AK45" i="79" s="1"/>
  <c r="AH45" i="79"/>
  <c r="W35" i="79"/>
  <c r="AK35" i="79" s="1"/>
  <c r="AH35" i="79"/>
  <c r="W11" i="79"/>
  <c r="AK11" i="79" s="1"/>
  <c r="AH11" i="79"/>
  <c r="W17" i="79"/>
  <c r="AK17" i="79" s="1"/>
  <c r="AH17" i="79"/>
  <c r="W10" i="79"/>
  <c r="AK10" i="79" s="1"/>
  <c r="AH10" i="79"/>
  <c r="W18" i="79"/>
  <c r="AK18" i="79" s="1"/>
  <c r="AH18" i="79"/>
  <c r="W20" i="79"/>
  <c r="AK20" i="79" s="1"/>
  <c r="AH2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4" i="79"/>
  <c r="W34" i="79"/>
  <c r="AK34" i="79" s="1"/>
  <c r="W15" i="79"/>
  <c r="AK15" i="79" s="1"/>
  <c r="AH15" i="79"/>
  <c r="W13" i="79"/>
  <c r="AK13" i="79" s="1"/>
  <c r="AH13" i="79"/>
  <c r="W48" i="79"/>
  <c r="AK48" i="79" s="1"/>
  <c r="AH48" i="79"/>
  <c r="W49" i="79"/>
  <c r="AK49" i="79" s="1"/>
  <c r="AH49" i="79"/>
  <c r="W43" i="79"/>
  <c r="AK43" i="79" s="1"/>
  <c r="AH43" i="79"/>
  <c r="W38" i="79"/>
  <c r="AK38" i="79" s="1"/>
  <c r="AH38" i="79"/>
  <c r="W33" i="79"/>
  <c r="AK33" i="79" s="1"/>
  <c r="AH33"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N68" i="71"/>
  <c r="E34" i="71"/>
  <c r="C30" i="71"/>
  <c r="X31" i="71"/>
  <c r="C34" i="71"/>
  <c r="D34" i="71" s="1"/>
  <c r="X34" i="71"/>
  <c r="C38" i="71"/>
  <c r="D38" i="71" s="1"/>
  <c r="F51" i="71"/>
  <c r="F52" i="71" s="1"/>
  <c r="V52" i="71" s="1"/>
  <c r="Y27" i="71"/>
  <c r="Z27" i="71" s="1"/>
  <c r="B28" i="71"/>
  <c r="B27" i="71" s="1"/>
  <c r="B26" i="71"/>
  <c r="D30"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P66" i="71"/>
  <c r="T60"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S25" i="40"/>
  <c r="S18" i="36"/>
  <c r="H25" i="40"/>
  <c r="AB25" i="40" s="1"/>
  <c r="J25" i="40"/>
  <c r="H29" i="39"/>
  <c r="AB29" i="39" s="1"/>
  <c r="J29" i="39"/>
  <c r="AC29" i="39" s="1"/>
  <c r="J18" i="36"/>
  <c r="AC18" i="36" s="1"/>
  <c r="H18" i="35"/>
  <c r="AB18" i="35" s="1"/>
  <c r="J18" i="35"/>
  <c r="AC18" i="35" s="1"/>
  <c r="H21" i="37"/>
  <c r="AB21" i="37" s="1"/>
  <c r="F21" i="37"/>
  <c r="AA21" i="37" s="1"/>
  <c r="H21" i="34"/>
  <c r="AB21" i="34" s="1"/>
  <c r="H21" i="33"/>
  <c r="U21" i="33" s="1"/>
  <c r="F21" i="33"/>
  <c r="S21" i="33" s="1"/>
  <c r="E83" i="21"/>
  <c r="F83" i="21" s="1"/>
  <c r="H1" i="69"/>
  <c r="AC25" i="40"/>
  <c r="W25" i="40"/>
  <c r="U29" i="39"/>
  <c r="W29" i="39"/>
  <c r="W18" i="36"/>
  <c r="U21" i="37"/>
  <c r="AA21" i="33"/>
  <c r="J21" i="37"/>
  <c r="W21" i="37" s="1"/>
  <c r="J21" i="34"/>
  <c r="W21" i="34" s="1"/>
  <c r="J21" i="33"/>
  <c r="W21" i="33" s="1"/>
  <c r="H21" i="21"/>
  <c r="U21" i="21" s="1"/>
  <c r="F38" i="69"/>
  <c r="E37" i="69"/>
  <c r="F36" i="69"/>
  <c r="F35" i="69"/>
  <c r="F21" i="69"/>
  <c r="F40" i="69" s="1"/>
  <c r="F20" i="69"/>
  <c r="F39" i="69" s="1"/>
  <c r="E10" i="69"/>
  <c r="E9" i="69"/>
  <c r="C7" i="69"/>
  <c r="AC21" i="33"/>
  <c r="G83"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L419" i="3" s="1"/>
  <c r="BK419" i="3"/>
  <c r="BJ419" i="3"/>
  <c r="BI419" i="3"/>
  <c r="BH419" i="3"/>
  <c r="BG419" i="3"/>
  <c r="BF419" i="3"/>
  <c r="BE419" i="3"/>
  <c r="BD419" i="3"/>
  <c r="BC419" i="3"/>
  <c r="BA419" i="3" s="1"/>
  <c r="AZ419" i="3" s="1"/>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A24" i="51" s="1"/>
  <c r="B18" i="72" s="1"/>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A574" i="3" s="1"/>
  <c r="BC574" i="3"/>
  <c r="BD574" i="3"/>
  <c r="BE574" i="3"/>
  <c r="BF574" i="3"/>
  <c r="BG574" i="3"/>
  <c r="BH574" i="3"/>
  <c r="BI574" i="3"/>
  <c r="BJ574" i="3"/>
  <c r="BK574" i="3"/>
  <c r="BM574" i="3"/>
  <c r="BN574" i="3"/>
  <c r="BO574" i="3"/>
  <c r="BP574" i="3"/>
  <c r="BQ574" i="3"/>
  <c r="BR574" i="3"/>
  <c r="BS574" i="3"/>
  <c r="BT574" i="3"/>
  <c r="H575" i="3"/>
  <c r="AC575" i="3"/>
  <c r="BB575" i="3"/>
  <c r="BA575" i="3" s="1"/>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L578" i="3" s="1"/>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U30" i="36" s="1"/>
  <c r="F30" i="36"/>
  <c r="AA30" i="36" s="1"/>
  <c r="C26" i="35"/>
  <c r="C79" i="35" s="1"/>
  <c r="J31" i="35"/>
  <c r="W31" i="35" s="1"/>
  <c r="H31" i="35"/>
  <c r="F31" i="35"/>
  <c r="D87" i="35"/>
  <c r="E87" i="35" s="1"/>
  <c r="F87" i="35" s="1"/>
  <c r="G87" i="35" s="1"/>
  <c r="H87" i="35" s="1"/>
  <c r="I87" i="35" s="1"/>
  <c r="J87" i="35" s="1"/>
  <c r="K87" i="35" s="1"/>
  <c r="L87" i="35" s="1"/>
  <c r="M87" i="35" s="1"/>
  <c r="H34" i="37"/>
  <c r="U34" i="37" s="1"/>
  <c r="D101" i="37"/>
  <c r="E101" i="37" s="1"/>
  <c r="F101" i="37" s="1"/>
  <c r="F34" i="37"/>
  <c r="D99" i="37"/>
  <c r="E99" i="37" s="1"/>
  <c r="F99" i="37"/>
  <c r="G99" i="37" s="1"/>
  <c r="H99" i="37" s="1"/>
  <c r="I99" i="37" s="1"/>
  <c r="J99" i="37" s="1"/>
  <c r="K99" i="37" s="1"/>
  <c r="L99" i="37" s="1"/>
  <c r="M99" i="37" s="1"/>
  <c r="H42" i="34"/>
  <c r="J42" i="34"/>
  <c r="W42" i="34" s="1"/>
  <c r="F42" i="34"/>
  <c r="J38" i="34"/>
  <c r="AC38" i="34" s="1"/>
  <c r="D114" i="34"/>
  <c r="F38" i="34"/>
  <c r="S38" i="34" s="1"/>
  <c r="D112" i="34"/>
  <c r="E112" i="34" s="1"/>
  <c r="F112" i="34" s="1"/>
  <c r="G112" i="34" s="1"/>
  <c r="H112" i="34" s="1"/>
  <c r="I112" i="34" s="1"/>
  <c r="J112" i="34" s="1"/>
  <c r="K112" i="34" s="1"/>
  <c r="L112" i="34" s="1"/>
  <c r="M112" i="34" s="1"/>
  <c r="F40" i="33"/>
  <c r="S40" i="33" s="1"/>
  <c r="J41" i="33"/>
  <c r="D113" i="33"/>
  <c r="F37" i="33"/>
  <c r="AA37" i="33" s="1"/>
  <c r="D111" i="33"/>
  <c r="E111" i="33" s="1"/>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AB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c r="B103" i="40"/>
  <c r="J32" i="40" s="1"/>
  <c r="AC32" i="40" s="1"/>
  <c r="B101" i="40"/>
  <c r="F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J14" i="39" s="1"/>
  <c r="AC14" i="39" s="1"/>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B108" i="37"/>
  <c r="F38" i="37" s="1"/>
  <c r="S38" i="37" s="1"/>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J13" i="37" s="1"/>
  <c r="B64" i="37"/>
  <c r="H12" i="37" s="1"/>
  <c r="AB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s="1"/>
  <c r="J30" i="37"/>
  <c r="AC30" i="37" s="1"/>
  <c r="H30" i="37"/>
  <c r="F30" i="37"/>
  <c r="AA30" i="37" s="1"/>
  <c r="Q29" i="37"/>
  <c r="Z29" i="37" s="1"/>
  <c r="H29" i="37"/>
  <c r="Q28" i="37"/>
  <c r="Z28" i="37"/>
  <c r="Q27" i="37"/>
  <c r="Z27" i="37" s="1"/>
  <c r="Q26" i="37"/>
  <c r="Z26" i="37" s="1"/>
  <c r="H26" i="37"/>
  <c r="AB26" i="37" s="1"/>
  <c r="Q25" i="37"/>
  <c r="Z25" i="37"/>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AB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F24" i="36" s="1"/>
  <c r="J24" i="36"/>
  <c r="AC24" i="36" s="1"/>
  <c r="B71" i="36"/>
  <c r="H23" i="36" s="1"/>
  <c r="D70" i="36"/>
  <c r="H22" i="36"/>
  <c r="AB22" i="36" s="1"/>
  <c r="D68" i="36"/>
  <c r="E68" i="36" s="1"/>
  <c r="F68" i="36" s="1"/>
  <c r="G68" i="36" s="1"/>
  <c r="D64" i="36"/>
  <c r="E64" i="36" s="1"/>
  <c r="F64" i="36" s="1"/>
  <c r="G64" i="36" s="1"/>
  <c r="J16" i="36"/>
  <c r="W16" i="36" s="1"/>
  <c r="D62" i="36"/>
  <c r="E62" i="36"/>
  <c r="F62" i="36" s="1"/>
  <c r="G62" i="36" s="1"/>
  <c r="B59" i="36"/>
  <c r="B57" i="36"/>
  <c r="H12" i="36" s="1"/>
  <c r="U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H27" i="35"/>
  <c r="U27" i="35" s="1"/>
  <c r="F27" i="35"/>
  <c r="AA27" i="35" s="1"/>
  <c r="J22" i="35"/>
  <c r="AC22" i="35" s="1"/>
  <c r="B101" i="35"/>
  <c r="H36" i="35"/>
  <c r="B99" i="35"/>
  <c r="B97" i="35"/>
  <c r="H34" i="35" s="1"/>
  <c r="U34" i="35" s="1"/>
  <c r="B77" i="35"/>
  <c r="B75" i="35"/>
  <c r="B73" i="35"/>
  <c r="J23" i="35" s="1"/>
  <c r="AC23" i="35" s="1"/>
  <c r="H23" i="35"/>
  <c r="U23" i="35" s="1"/>
  <c r="B57" i="35"/>
  <c r="H11" i="35" s="1"/>
  <c r="AB11" i="35" s="1"/>
  <c r="B61" i="35"/>
  <c r="B59" i="35"/>
  <c r="B131" i="34"/>
  <c r="F47" i="34" s="1"/>
  <c r="S47" i="34" s="1"/>
  <c r="B129" i="34"/>
  <c r="H46" i="34" s="1"/>
  <c r="U46" i="34" s="1"/>
  <c r="B127" i="34"/>
  <c r="B99" i="34"/>
  <c r="B97" i="34"/>
  <c r="F31" i="34" s="1"/>
  <c r="B95" i="34"/>
  <c r="J30" i="34" s="1"/>
  <c r="B93" i="34"/>
  <c r="B75" i="34"/>
  <c r="B73" i="34"/>
  <c r="F13" i="34" s="1"/>
  <c r="B71" i="34"/>
  <c r="J12" i="34" s="1"/>
  <c r="W12" i="34" s="1"/>
  <c r="B130" i="33"/>
  <c r="B128" i="33"/>
  <c r="B126" i="33"/>
  <c r="H44" i="33" s="1"/>
  <c r="AB44" i="33" s="1"/>
  <c r="B98" i="33"/>
  <c r="J31" i="33" s="1"/>
  <c r="W31" i="33" s="1"/>
  <c r="B96" i="33"/>
  <c r="B94" i="33"/>
  <c r="B74" i="33"/>
  <c r="H14" i="33" s="1"/>
  <c r="U14" i="33" s="1"/>
  <c r="B72" i="33"/>
  <c r="J13" i="33" s="1"/>
  <c r="W13" i="33" s="1"/>
  <c r="B70" i="33"/>
  <c r="J12" i="33"/>
  <c r="D96" i="35"/>
  <c r="E96" i="35" s="1"/>
  <c r="F96" i="35" s="1"/>
  <c r="G96" i="35" s="1"/>
  <c r="D94" i="35"/>
  <c r="E94" i="35"/>
  <c r="F94" i="35" s="1"/>
  <c r="G94" i="35" s="1"/>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c r="Q12" i="34"/>
  <c r="Z12" i="34" s="1"/>
  <c r="H12" i="34"/>
  <c r="AB12" i="34" s="1"/>
  <c r="Q11" i="34"/>
  <c r="Z11" i="34" s="1"/>
  <c r="Q10" i="34"/>
  <c r="Z10" i="34"/>
  <c r="F10" i="34"/>
  <c r="AA10" i="34" s="1"/>
  <c r="Q9" i="34"/>
  <c r="Z9" i="34" s="1"/>
  <c r="H9" i="34"/>
  <c r="U9" i="34" s="1"/>
  <c r="J8" i="34"/>
  <c r="AC8" i="34" s="1"/>
  <c r="H8" i="34"/>
  <c r="U8" i="34" s="1"/>
  <c r="F8" i="34"/>
  <c r="S8" i="34" s="1"/>
  <c r="D121" i="33"/>
  <c r="E121" i="33" s="1"/>
  <c r="F121" i="33" s="1"/>
  <c r="G121" i="33" s="1"/>
  <c r="H121" i="33" s="1"/>
  <c r="I121" i="33" s="1"/>
  <c r="J121" i="33" s="1"/>
  <c r="K121" i="33" s="1"/>
  <c r="L121" i="33" s="1"/>
  <c r="M121" i="33" s="1"/>
  <c r="F109" i="33"/>
  <c r="E109" i="33"/>
  <c r="D109" i="33"/>
  <c r="C109" i="33"/>
  <c r="D91" i="33"/>
  <c r="E91" i="33"/>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F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s="1"/>
  <c r="C16" i="20"/>
  <c r="C17" i="39" s="1"/>
  <c r="C15" i="20"/>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c r="D77" i="21"/>
  <c r="E77" i="21" s="1"/>
  <c r="B130" i="21"/>
  <c r="B128" i="21"/>
  <c r="J45" i="21"/>
  <c r="W45" i="21" s="1"/>
  <c r="B126" i="21"/>
  <c r="B98" i="21"/>
  <c r="H31" i="21"/>
  <c r="B96" i="21"/>
  <c r="H30" i="21" s="1"/>
  <c r="U30" i="21" s="1"/>
  <c r="B94" i="21"/>
  <c r="J29" i="21" s="1"/>
  <c r="AC29" i="21"/>
  <c r="B92" i="21"/>
  <c r="H28" i="21" s="1"/>
  <c r="AB28" i="21" s="1"/>
  <c r="B90" i="21"/>
  <c r="B74" i="21"/>
  <c r="B72" i="21"/>
  <c r="H13" i="21" s="1"/>
  <c r="B70" i="21"/>
  <c r="F12" i="21" s="1"/>
  <c r="C19" i="21"/>
  <c r="C17" i="21"/>
  <c r="C23" i="21"/>
  <c r="Q9" i="21"/>
  <c r="Z9" i="21" s="1"/>
  <c r="Q10" i="21"/>
  <c r="Z10" i="21" s="1"/>
  <c r="Q11" i="21"/>
  <c r="Z11" i="21"/>
  <c r="Q12" i="21"/>
  <c r="Z12" i="21" s="1"/>
  <c r="Q13" i="21"/>
  <c r="Z13" i="21" s="1"/>
  <c r="Q14" i="21"/>
  <c r="Z14" i="21" s="1"/>
  <c r="Q15" i="21"/>
  <c r="Z15" i="21"/>
  <c r="Q17" i="21"/>
  <c r="Z17" i="21" s="1"/>
  <c r="Q19" i="21"/>
  <c r="Z19" i="21" s="1"/>
  <c r="Q23" i="21"/>
  <c r="Z23" i="21" s="1"/>
  <c r="Q25" i="21"/>
  <c r="Z25" i="21"/>
  <c r="Q26" i="21"/>
  <c r="Z26" i="21" s="1"/>
  <c r="Q27" i="21"/>
  <c r="Z27" i="21" s="1"/>
  <c r="Q28" i="21"/>
  <c r="Z28" i="21" s="1"/>
  <c r="Q29" i="21"/>
  <c r="Z29" i="21"/>
  <c r="Q30" i="21"/>
  <c r="Z30" i="21" s="1"/>
  <c r="Q31" i="21"/>
  <c r="Z31" i="21" s="1"/>
  <c r="Q32" i="21"/>
  <c r="Z32" i="21" s="1"/>
  <c r="Q33" i="21"/>
  <c r="Z33" i="21"/>
  <c r="Q34" i="21"/>
  <c r="Z34" i="21" s="1"/>
  <c r="J35" i="21"/>
  <c r="W35" i="21" s="1"/>
  <c r="Q35" i="21"/>
  <c r="Z35" i="21" s="1"/>
  <c r="Q36" i="21"/>
  <c r="Z36" i="21"/>
  <c r="Q37" i="21"/>
  <c r="Z37" i="21" s="1"/>
  <c r="J38" i="21"/>
  <c r="W38" i="21" s="1"/>
  <c r="Q38" i="21"/>
  <c r="Z38" i="21" s="1"/>
  <c r="J39" i="21"/>
  <c r="AC39" i="21"/>
  <c r="Q39" i="21"/>
  <c r="Z39" i="21" s="1"/>
  <c r="H40" i="21"/>
  <c r="AB40" i="21" s="1"/>
  <c r="Q40" i="21"/>
  <c r="Z40" i="21" s="1"/>
  <c r="Q41" i="21"/>
  <c r="Z41" i="21"/>
  <c r="Q42" i="21"/>
  <c r="Z42" i="21" s="1"/>
  <c r="J43" i="2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H5" i="3" s="1"/>
  <c r="BI585" i="3"/>
  <c r="BJ585" i="3"/>
  <c r="BK585" i="3"/>
  <c r="BM585" i="3"/>
  <c r="BN585" i="3"/>
  <c r="BO585" i="3"/>
  <c r="BP585" i="3"/>
  <c r="BQ585" i="3"/>
  <c r="BR585" i="3"/>
  <c r="BS585" i="3"/>
  <c r="BT585" i="3"/>
  <c r="BB586" i="3"/>
  <c r="BC586" i="3"/>
  <c r="BD586" i="3"/>
  <c r="BE586" i="3"/>
  <c r="BF586" i="3"/>
  <c r="BF5" i="3" s="1"/>
  <c r="BG586" i="3"/>
  <c r="BH586" i="3"/>
  <c r="BI586" i="3"/>
  <c r="BJ586" i="3"/>
  <c r="BK586" i="3"/>
  <c r="BM586" i="3"/>
  <c r="BN586" i="3"/>
  <c r="BO586" i="3"/>
  <c r="BP586" i="3"/>
  <c r="BQ586" i="3"/>
  <c r="BR586" i="3"/>
  <c r="BS586" i="3"/>
  <c r="BT586" i="3"/>
  <c r="BB587" i="3"/>
  <c r="BC587" i="3"/>
  <c r="BD587" i="3"/>
  <c r="BA587" i="3" s="1"/>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F35" i="21"/>
  <c r="AA35" i="21" s="1"/>
  <c r="J10" i="21"/>
  <c r="AC10" i="21" s="1"/>
  <c r="H26" i="21"/>
  <c r="AB26" i="21" s="1"/>
  <c r="AB19" i="21"/>
  <c r="J19" i="21"/>
  <c r="W19" i="21"/>
  <c r="J26" i="21"/>
  <c r="F26" i="21"/>
  <c r="S26" i="21"/>
  <c r="AB41" i="21"/>
  <c r="S41" i="21"/>
  <c r="AA41" i="21"/>
  <c r="F36" i="39"/>
  <c r="S36" i="39" s="1"/>
  <c r="H36" i="39"/>
  <c r="AB36" i="39" s="1"/>
  <c r="J35" i="39"/>
  <c r="AC35" i="39" s="1"/>
  <c r="F35" i="39"/>
  <c r="S35" i="39" s="1"/>
  <c r="U9" i="39"/>
  <c r="W31" i="37"/>
  <c r="E103" i="37"/>
  <c r="F103" i="37" s="1"/>
  <c r="G103" i="37" s="1"/>
  <c r="H103" i="37" s="1"/>
  <c r="I103" i="37" s="1"/>
  <c r="J103" i="37" s="1"/>
  <c r="K103" i="37" s="1"/>
  <c r="L103" i="37" s="1"/>
  <c r="M103" i="37" s="1"/>
  <c r="F29" i="36"/>
  <c r="AA29" i="36" s="1"/>
  <c r="F16" i="36"/>
  <c r="AA16" i="36" s="1"/>
  <c r="W28" i="36"/>
  <c r="H22" i="35"/>
  <c r="U22" i="35" s="1"/>
  <c r="W28" i="35"/>
  <c r="W22" i="35"/>
  <c r="F36" i="34"/>
  <c r="S36" i="34" s="1"/>
  <c r="J35" i="34"/>
  <c r="W35" i="34" s="1"/>
  <c r="U34" i="34"/>
  <c r="H39" i="33"/>
  <c r="AB39" i="33"/>
  <c r="U35" i="33"/>
  <c r="W33" i="33"/>
  <c r="W39" i="33"/>
  <c r="H39" i="37"/>
  <c r="AB39" i="37" s="1"/>
  <c r="S27" i="35"/>
  <c r="F11" i="40"/>
  <c r="AA11" i="40" s="1"/>
  <c r="H11" i="40"/>
  <c r="AB11" i="40"/>
  <c r="W8" i="40"/>
  <c r="U9" i="40"/>
  <c r="S34" i="40"/>
  <c r="U38" i="40"/>
  <c r="U34"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H11" i="39"/>
  <c r="S40" i="39"/>
  <c r="H32" i="33"/>
  <c r="H11" i="21"/>
  <c r="U11" i="21" s="1"/>
  <c r="J11" i="21"/>
  <c r="W11" i="21" s="1"/>
  <c r="H37" i="40"/>
  <c r="U37" i="40" s="1"/>
  <c r="H36" i="40"/>
  <c r="AB36" i="40" s="1"/>
  <c r="F35" i="40"/>
  <c r="AA35" i="40"/>
  <c r="H23" i="40"/>
  <c r="AB23" i="40" s="1"/>
  <c r="H17" i="40"/>
  <c r="U17" i="40" s="1"/>
  <c r="J15" i="40"/>
  <c r="W15" i="40" s="1"/>
  <c r="J11" i="40"/>
  <c r="AC12" i="34"/>
  <c r="AB12" i="35"/>
  <c r="AB12" i="36"/>
  <c r="W32" i="40"/>
  <c r="S44" i="39"/>
  <c r="F37" i="39"/>
  <c r="AA37" i="39" s="1"/>
  <c r="J34" i="36"/>
  <c r="W34" i="36" s="1"/>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AA24" i="36"/>
  <c r="F34" i="36"/>
  <c r="S34" i="36" s="1"/>
  <c r="F14" i="35"/>
  <c r="F23" i="35"/>
  <c r="AA23" i="35" s="1"/>
  <c r="J32" i="35"/>
  <c r="AC32" i="35" s="1"/>
  <c r="J16" i="35"/>
  <c r="AC16" i="35" s="1"/>
  <c r="H16" i="35"/>
  <c r="U16" i="35" s="1"/>
  <c r="F16" i="35"/>
  <c r="S16" i="35" s="1"/>
  <c r="H14" i="35"/>
  <c r="U14" i="35" s="1"/>
  <c r="AB14" i="35"/>
  <c r="J29" i="35"/>
  <c r="H33" i="35"/>
  <c r="J20" i="35"/>
  <c r="W20" i="35" s="1"/>
  <c r="F35" i="37"/>
  <c r="S35" i="37" s="1"/>
  <c r="G101" i="37"/>
  <c r="H101" i="37" s="1"/>
  <c r="I101" i="37" s="1"/>
  <c r="J101" i="37" s="1"/>
  <c r="K101" i="37"/>
  <c r="L101" i="37" s="1"/>
  <c r="M101" i="37" s="1"/>
  <c r="J34" i="37"/>
  <c r="W34" i="37"/>
  <c r="AB34" i="37"/>
  <c r="J33" i="37"/>
  <c r="AC33" i="37" s="1"/>
  <c r="H40" i="34"/>
  <c r="U40" i="34" s="1"/>
  <c r="E114" i="34"/>
  <c r="F114" i="34" s="1"/>
  <c r="G114" i="34" s="1"/>
  <c r="H114" i="34" s="1"/>
  <c r="I114" i="34" s="1"/>
  <c r="J114" i="34" s="1"/>
  <c r="K114" i="34" s="1"/>
  <c r="L114" i="34" s="1"/>
  <c r="M114" i="34" s="1"/>
  <c r="H36" i="34"/>
  <c r="U36" i="34" s="1"/>
  <c r="F37" i="34"/>
  <c r="AA37" i="34" s="1"/>
  <c r="F28" i="34"/>
  <c r="F25" i="34"/>
  <c r="S25" i="34" s="1"/>
  <c r="H23" i="34"/>
  <c r="U23" i="34" s="1"/>
  <c r="F19" i="34"/>
  <c r="S19" i="34" s="1"/>
  <c r="H17" i="34"/>
  <c r="U17" i="34" s="1"/>
  <c r="J28" i="34"/>
  <c r="W28" i="34" s="1"/>
  <c r="F41" i="33"/>
  <c r="AA41" i="33"/>
  <c r="S38" i="33"/>
  <c r="E113" i="33"/>
  <c r="F113" i="33" s="1"/>
  <c r="G113" i="33" s="1"/>
  <c r="H113" i="33" s="1"/>
  <c r="I113" i="33" s="1"/>
  <c r="J113" i="33" s="1"/>
  <c r="K113" i="33" s="1"/>
  <c r="L113" i="33" s="1"/>
  <c r="M113" i="33" s="1"/>
  <c r="F32" i="33"/>
  <c r="AA32" i="33"/>
  <c r="J19" i="33"/>
  <c r="AC19" i="33"/>
  <c r="J15" i="33"/>
  <c r="AC15" i="33"/>
  <c r="F11" i="33"/>
  <c r="AA11" i="33" s="1"/>
  <c r="W40" i="33"/>
  <c r="F37" i="40"/>
  <c r="AA37" i="40"/>
  <c r="F36" i="40"/>
  <c r="AA36" i="40"/>
  <c r="H28" i="40"/>
  <c r="U28" i="40"/>
  <c r="F23" i="40"/>
  <c r="AA23" i="40"/>
  <c r="F17" i="40"/>
  <c r="AA17" i="40" s="1"/>
  <c r="J17" i="40"/>
  <c r="W17" i="40" s="1"/>
  <c r="F15" i="40"/>
  <c r="S15" i="40" s="1"/>
  <c r="H15" i="40"/>
  <c r="U15" i="40" s="1"/>
  <c r="AB30" i="36"/>
  <c r="F29" i="35"/>
  <c r="S29" i="35" s="1"/>
  <c r="H29" i="35"/>
  <c r="AB29" i="35" s="1"/>
  <c r="H33" i="37"/>
  <c r="F33" i="37"/>
  <c r="AA33" i="37" s="1"/>
  <c r="S34" i="37"/>
  <c r="AA34" i="37"/>
  <c r="J40" i="34"/>
  <c r="W40" i="34" s="1"/>
  <c r="H38" i="34"/>
  <c r="AB38" i="34" s="1"/>
  <c r="J36" i="34"/>
  <c r="W36" i="34" s="1"/>
  <c r="H25" i="34"/>
  <c r="J25" i="34"/>
  <c r="AC25" i="34" s="1"/>
  <c r="J19" i="34"/>
  <c r="AC19" i="34" s="1"/>
  <c r="F17" i="34"/>
  <c r="AA17" i="34" s="1"/>
  <c r="J17" i="34"/>
  <c r="W17" i="34" s="1"/>
  <c r="S41" i="33"/>
  <c r="H37" i="33"/>
  <c r="H15" i="33"/>
  <c r="AB15" i="33" s="1"/>
  <c r="H11" i="33"/>
  <c r="F28" i="40"/>
  <c r="AA29" i="35"/>
  <c r="AA42" i="34"/>
  <c r="S42" i="34"/>
  <c r="AA38" i="34"/>
  <c r="J11" i="33"/>
  <c r="W11" i="33" s="1"/>
  <c r="J42" i="21"/>
  <c r="AC42" i="21" s="1"/>
  <c r="H42" i="21"/>
  <c r="U42" i="21"/>
  <c r="J44" i="34"/>
  <c r="W44" i="34" s="1"/>
  <c r="F44" i="34"/>
  <c r="AA44" i="34" s="1"/>
  <c r="J10" i="35"/>
  <c r="AC10" i="35" s="1"/>
  <c r="J14" i="21"/>
  <c r="W14" i="21" s="1"/>
  <c r="F14" i="21"/>
  <c r="S14" i="21" s="1"/>
  <c r="H14" i="21"/>
  <c r="U14" i="21"/>
  <c r="F28" i="21"/>
  <c r="AA28" i="21"/>
  <c r="J28" i="21"/>
  <c r="W28" i="21" s="1"/>
  <c r="F30" i="21"/>
  <c r="S30" i="21" s="1"/>
  <c r="J30" i="21"/>
  <c r="J44" i="21"/>
  <c r="AC44" i="21" s="1"/>
  <c r="H44" i="21"/>
  <c r="AB44" i="21" s="1"/>
  <c r="U44" i="21"/>
  <c r="F44" i="21"/>
  <c r="AA44" i="21" s="1"/>
  <c r="H46" i="21"/>
  <c r="AB46" i="21" s="1"/>
  <c r="U46" i="21"/>
  <c r="J46" i="21"/>
  <c r="F46" i="21"/>
  <c r="AA46" i="21"/>
  <c r="E119" i="21"/>
  <c r="F119" i="21" s="1"/>
  <c r="G119" i="21" s="1"/>
  <c r="H119" i="21" s="1"/>
  <c r="I119" i="21" s="1"/>
  <c r="J119" i="21" s="1"/>
  <c r="K119" i="21" s="1"/>
  <c r="L119" i="21" s="1"/>
  <c r="M119" i="21" s="1"/>
  <c r="H26" i="33"/>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F27" i="21"/>
  <c r="H29" i="21"/>
  <c r="U29" i="21"/>
  <c r="J31" i="21"/>
  <c r="AC31" i="21" s="1"/>
  <c r="F31" i="21"/>
  <c r="S31" i="21" s="1"/>
  <c r="F45" i="21"/>
  <c r="AA45" i="21" s="1"/>
  <c r="F27" i="33"/>
  <c r="AA27" i="33"/>
  <c r="H13" i="33"/>
  <c r="U13" i="33" s="1"/>
  <c r="F13" i="33"/>
  <c r="AA13" i="33" s="1"/>
  <c r="S13" i="33"/>
  <c r="J29" i="33"/>
  <c r="H29" i="33"/>
  <c r="U29" i="33"/>
  <c r="F29" i="33"/>
  <c r="H31" i="33"/>
  <c r="F31" i="33"/>
  <c r="H45" i="33"/>
  <c r="U45" i="33"/>
  <c r="J45" i="33"/>
  <c r="W45" i="33" s="1"/>
  <c r="F45" i="33"/>
  <c r="J14" i="34"/>
  <c r="W14" i="34" s="1"/>
  <c r="F14" i="34"/>
  <c r="S14" i="34" s="1"/>
  <c r="H14" i="34"/>
  <c r="H30" i="34"/>
  <c r="AB30" i="34" s="1"/>
  <c r="F30" i="34"/>
  <c r="AA30" i="34" s="1"/>
  <c r="S30" i="34"/>
  <c r="H32" i="34"/>
  <c r="AB32" i="34" s="1"/>
  <c r="F32" i="34"/>
  <c r="J32" i="34"/>
  <c r="F46" i="34"/>
  <c r="S46" i="34" s="1"/>
  <c r="J46" i="34"/>
  <c r="AC46" i="34" s="1"/>
  <c r="J11" i="35"/>
  <c r="W11" i="35" s="1"/>
  <c r="AC11" i="35"/>
  <c r="F11" i="35"/>
  <c r="S11" i="35" s="1"/>
  <c r="J26" i="36"/>
  <c r="W26" i="36"/>
  <c r="H28" i="36"/>
  <c r="U28" i="36" s="1"/>
  <c r="H32" i="36"/>
  <c r="AB32" i="36" s="1"/>
  <c r="J32" i="36"/>
  <c r="W32" i="36" s="1"/>
  <c r="J11" i="36"/>
  <c r="AC11" i="36" s="1"/>
  <c r="H11" i="36"/>
  <c r="U11" i="36" s="1"/>
  <c r="F11" i="36"/>
  <c r="H13" i="36"/>
  <c r="AB13" i="36"/>
  <c r="J13" i="36"/>
  <c r="F13" i="36"/>
  <c r="S13" i="36" s="1"/>
  <c r="E89" i="37"/>
  <c r="F89" i="37"/>
  <c r="G89" i="37" s="1"/>
  <c r="H89" i="37" s="1"/>
  <c r="I89" i="37" s="1"/>
  <c r="J89" i="37"/>
  <c r="K89" i="37" s="1"/>
  <c r="L89" i="37" s="1"/>
  <c r="M89" i="37" s="1"/>
  <c r="J29" i="37"/>
  <c r="W29" i="37" s="1"/>
  <c r="F29" i="37"/>
  <c r="AA29" i="37" s="1"/>
  <c r="S29" i="37"/>
  <c r="F105" i="37"/>
  <c r="G105" i="37" s="1"/>
  <c r="H36" i="37"/>
  <c r="AB36" i="37"/>
  <c r="F107" i="37"/>
  <c r="J37" i="37"/>
  <c r="AC37" i="37" s="1"/>
  <c r="H37" i="37"/>
  <c r="U37" i="37"/>
  <c r="H40" i="37"/>
  <c r="J40" i="37"/>
  <c r="AC40" i="37" s="1"/>
  <c r="F40" i="37"/>
  <c r="AA40" i="37" s="1"/>
  <c r="F14" i="33"/>
  <c r="S14" i="33"/>
  <c r="J14" i="33"/>
  <c r="H30" i="33"/>
  <c r="AB30" i="33"/>
  <c r="F30" i="33"/>
  <c r="S30" i="33" s="1"/>
  <c r="J30" i="33"/>
  <c r="AC30" i="33" s="1"/>
  <c r="J44" i="33"/>
  <c r="AC44" i="33"/>
  <c r="F44" i="33"/>
  <c r="S44" i="33" s="1"/>
  <c r="J46" i="33"/>
  <c r="AC46" i="33"/>
  <c r="F46" i="33"/>
  <c r="AA46" i="33" s="1"/>
  <c r="H46" i="33"/>
  <c r="H13" i="34"/>
  <c r="U13" i="34" s="1"/>
  <c r="J13" i="34"/>
  <c r="W13" i="34" s="1"/>
  <c r="J29" i="34"/>
  <c r="F29" i="34"/>
  <c r="AA29" i="34" s="1"/>
  <c r="H29" i="34"/>
  <c r="AB29" i="34" s="1"/>
  <c r="J31" i="34"/>
  <c r="W31" i="34" s="1"/>
  <c r="H45" i="34"/>
  <c r="U45" i="34" s="1"/>
  <c r="J45" i="34"/>
  <c r="W45" i="34" s="1"/>
  <c r="F45" i="34"/>
  <c r="S45" i="34" s="1"/>
  <c r="H47" i="34"/>
  <c r="U47" i="34"/>
  <c r="J47" i="34"/>
  <c r="AC47" i="34"/>
  <c r="F13" i="35"/>
  <c r="J13" i="35"/>
  <c r="AC13" i="35"/>
  <c r="H13" i="35"/>
  <c r="J25" i="35"/>
  <c r="F25" i="35"/>
  <c r="S25" i="35" s="1"/>
  <c r="H25" i="35"/>
  <c r="AB25" i="35" s="1"/>
  <c r="J35" i="35"/>
  <c r="AC35" i="35" s="1"/>
  <c r="F35" i="35"/>
  <c r="S35" i="35" s="1"/>
  <c r="AA35" i="35"/>
  <c r="H35" i="35"/>
  <c r="H25" i="36"/>
  <c r="AB25" i="36" s="1"/>
  <c r="H13" i="37"/>
  <c r="AB13" i="37" s="1"/>
  <c r="F13" i="37"/>
  <c r="S13" i="37" s="1"/>
  <c r="F28" i="37"/>
  <c r="AA28" i="37" s="1"/>
  <c r="J28" i="37"/>
  <c r="W28" i="37" s="1"/>
  <c r="H28" i="37"/>
  <c r="H38" i="37"/>
  <c r="AB38" i="37"/>
  <c r="J38" i="37"/>
  <c r="AC38" i="37" s="1"/>
  <c r="F43" i="39"/>
  <c r="AA43" i="39" s="1"/>
  <c r="H43" i="39"/>
  <c r="U43" i="39" s="1"/>
  <c r="F14" i="39"/>
  <c r="H14" i="39"/>
  <c r="AB14" i="39" s="1"/>
  <c r="F12" i="40"/>
  <c r="S12" i="40"/>
  <c r="H12" i="40"/>
  <c r="U12" i="40" s="1"/>
  <c r="H30" i="40"/>
  <c r="AB30" i="40"/>
  <c r="F33" i="40"/>
  <c r="AA33" i="40" s="1"/>
  <c r="H33" i="40"/>
  <c r="U33" i="40"/>
  <c r="J35" i="40"/>
  <c r="W35" i="40" s="1"/>
  <c r="J37" i="40"/>
  <c r="AC37" i="40"/>
  <c r="H13" i="40"/>
  <c r="U13" i="40" s="1"/>
  <c r="J13" i="40"/>
  <c r="W13" i="40"/>
  <c r="F13" i="40"/>
  <c r="AA13" i="40" s="1"/>
  <c r="F27" i="37"/>
  <c r="AA27" i="37"/>
  <c r="H14" i="40"/>
  <c r="AB14" i="40" s="1"/>
  <c r="J14" i="40"/>
  <c r="W14" i="40" s="1"/>
  <c r="F14" i="40"/>
  <c r="AA14" i="40" s="1"/>
  <c r="J27" i="37"/>
  <c r="AC27" i="37"/>
  <c r="AA44" i="33"/>
  <c r="AA14" i="33"/>
  <c r="J36" i="37"/>
  <c r="W36" i="37" s="1"/>
  <c r="AC36" i="37"/>
  <c r="J10" i="36"/>
  <c r="AC10" i="36" s="1"/>
  <c r="AB30" i="21"/>
  <c r="AB46" i="34"/>
  <c r="AB45" i="33"/>
  <c r="F17" i="21"/>
  <c r="AA17" i="21" s="1"/>
  <c r="H17" i="21"/>
  <c r="F15" i="21"/>
  <c r="S15" i="21" s="1"/>
  <c r="J41" i="39"/>
  <c r="W41" i="39" s="1"/>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2" i="3"/>
  <c r="BL568" i="3"/>
  <c r="BL564" i="3"/>
  <c r="BL560" i="3"/>
  <c r="BL554" i="3"/>
  <c r="AZ554" i="3" s="1"/>
  <c r="BL546" i="3"/>
  <c r="BL542" i="3"/>
  <c r="AZ542" i="3" s="1"/>
  <c r="BL538" i="3"/>
  <c r="BL534" i="3"/>
  <c r="BL530" i="3"/>
  <c r="BL526" i="3"/>
  <c r="BL522" i="3"/>
  <c r="BL516" i="3"/>
  <c r="BL512" i="3"/>
  <c r="BL506" i="3"/>
  <c r="BL502" i="3"/>
  <c r="BL498" i="3"/>
  <c r="BL494" i="3"/>
  <c r="BL582" i="3"/>
  <c r="BL574" i="3"/>
  <c r="BL570" i="3"/>
  <c r="BL566" i="3"/>
  <c r="BL562" i="3"/>
  <c r="BL556" i="3"/>
  <c r="BL552" i="3"/>
  <c r="BL544" i="3"/>
  <c r="BL540" i="3"/>
  <c r="BL536" i="3"/>
  <c r="G533" i="3"/>
  <c r="BL532" i="3"/>
  <c r="G529" i="3"/>
  <c r="BL528" i="3"/>
  <c r="G525" i="3"/>
  <c r="BL524" i="3"/>
  <c r="BL518" i="3"/>
  <c r="BL514" i="3"/>
  <c r="BL510" i="3"/>
  <c r="BL504" i="3"/>
  <c r="BL500" i="3"/>
  <c r="BL496" i="3"/>
  <c r="AZ496" i="3" s="1"/>
  <c r="G493" i="3"/>
  <c r="BA584" i="3"/>
  <c r="BA580" i="3"/>
  <c r="BA578" i="3"/>
  <c r="BA576" i="3"/>
  <c r="BA572" i="3"/>
  <c r="BA570" i="3"/>
  <c r="AZ570" i="3" s="1"/>
  <c r="BA568" i="3"/>
  <c r="AZ568" i="3" s="1"/>
  <c r="BA566" i="3"/>
  <c r="BA564" i="3"/>
  <c r="BA562" i="3"/>
  <c r="BA560" i="3"/>
  <c r="AZ560" i="3" s="1"/>
  <c r="BA558" i="3"/>
  <c r="BA556" i="3"/>
  <c r="AZ556" i="3"/>
  <c r="BA554" i="3"/>
  <c r="BA552" i="3"/>
  <c r="AZ552" i="3"/>
  <c r="BA548" i="3"/>
  <c r="BA546" i="3"/>
  <c r="AZ546" i="3" s="1"/>
  <c r="BA544" i="3"/>
  <c r="AZ544" i="3"/>
  <c r="BA542" i="3"/>
  <c r="BA540" i="3"/>
  <c r="BA538" i="3"/>
  <c r="AZ538" i="3" s="1"/>
  <c r="BA536" i="3"/>
  <c r="AZ536" i="3" s="1"/>
  <c r="BA534" i="3"/>
  <c r="AZ534" i="3" s="1"/>
  <c r="BA532" i="3"/>
  <c r="AZ532" i="3" s="1"/>
  <c r="BA530" i="3"/>
  <c r="BA528" i="3"/>
  <c r="BA526" i="3"/>
  <c r="AZ526" i="3" s="1"/>
  <c r="BA524" i="3"/>
  <c r="AZ524" i="3" s="1"/>
  <c r="BA522" i="3"/>
  <c r="BA520" i="3"/>
  <c r="BA518" i="3"/>
  <c r="AZ518" i="3" s="1"/>
  <c r="BA516" i="3"/>
  <c r="AZ516" i="3" s="1"/>
  <c r="BA514" i="3"/>
  <c r="BA512" i="3"/>
  <c r="AZ512" i="3"/>
  <c r="BA510" i="3"/>
  <c r="AZ510" i="3" s="1"/>
  <c r="BA508" i="3"/>
  <c r="BA506" i="3"/>
  <c r="AZ506" i="3" s="1"/>
  <c r="BA504" i="3"/>
  <c r="AZ504" i="3" s="1"/>
  <c r="BA502" i="3"/>
  <c r="BA500" i="3"/>
  <c r="AZ500" i="3" s="1"/>
  <c r="BA498" i="3"/>
  <c r="AZ498" i="3" s="1"/>
  <c r="BA496" i="3"/>
  <c r="BA494" i="3"/>
  <c r="AZ494" i="3" s="1"/>
  <c r="BA581" i="3"/>
  <c r="BA579" i="3"/>
  <c r="AZ579" i="3" s="1"/>
  <c r="BA577" i="3"/>
  <c r="BA573" i="3"/>
  <c r="BA571" i="3"/>
  <c r="AZ571" i="3" s="1"/>
  <c r="BA569" i="3"/>
  <c r="BA567" i="3"/>
  <c r="BA565" i="3"/>
  <c r="BA563" i="3"/>
  <c r="BA561" i="3"/>
  <c r="BA559" i="3"/>
  <c r="BA555" i="3"/>
  <c r="BA553" i="3"/>
  <c r="AZ553" i="3" s="1"/>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AZ499" i="3" s="1"/>
  <c r="BA497" i="3"/>
  <c r="BA495" i="3"/>
  <c r="BA493" i="3"/>
  <c r="G583" i="3"/>
  <c r="G579" i="3"/>
  <c r="G577" i="3"/>
  <c r="G575" i="3"/>
  <c r="G573" i="3"/>
  <c r="G571" i="3"/>
  <c r="G569" i="3"/>
  <c r="G567" i="3"/>
  <c r="G565" i="3"/>
  <c r="G563" i="3"/>
  <c r="G561" i="3"/>
  <c r="BL558" i="3"/>
  <c r="AZ558" i="3" s="1"/>
  <c r="BA557" i="3"/>
  <c r="AC557" i="3"/>
  <c r="G557" i="3" s="1"/>
  <c r="BQ557" i="3"/>
  <c r="BL557" i="3" s="1"/>
  <c r="BQ583" i="3"/>
  <c r="BL583" i="3" s="1"/>
  <c r="BQ581" i="3"/>
  <c r="BL581" i="3"/>
  <c r="BQ579" i="3"/>
  <c r="BL579" i="3"/>
  <c r="BQ577" i="3"/>
  <c r="BQ575" i="3"/>
  <c r="BL575" i="3" s="1"/>
  <c r="BQ573" i="3"/>
  <c r="BL573" i="3" s="1"/>
  <c r="AZ573" i="3" s="1"/>
  <c r="BQ571" i="3"/>
  <c r="BL571" i="3"/>
  <c r="BQ569" i="3"/>
  <c r="BL569" i="3" s="1"/>
  <c r="BQ567" i="3"/>
  <c r="BL567" i="3" s="1"/>
  <c r="BQ565" i="3"/>
  <c r="BL565" i="3" s="1"/>
  <c r="AZ565" i="3" s="1"/>
  <c r="BQ563" i="3"/>
  <c r="BL563" i="3" s="1"/>
  <c r="BQ561" i="3"/>
  <c r="BL561" i="3"/>
  <c r="AZ561" i="3" s="1"/>
  <c r="BQ559" i="3"/>
  <c r="BL559" i="3" s="1"/>
  <c r="AZ559" i="3" s="1"/>
  <c r="G559" i="3"/>
  <c r="G555" i="3"/>
  <c r="G553" i="3"/>
  <c r="G549" i="3"/>
  <c r="G547" i="3"/>
  <c r="G545" i="3"/>
  <c r="G543" i="3"/>
  <c r="G541" i="3"/>
  <c r="G539" i="3"/>
  <c r="G537" i="3"/>
  <c r="BQ555" i="3"/>
  <c r="BL555" i="3" s="1"/>
  <c r="BQ553" i="3"/>
  <c r="BL553" i="3" s="1"/>
  <c r="BQ551" i="3"/>
  <c r="BL551" i="3" s="1"/>
  <c r="BQ549" i="3"/>
  <c r="BL549" i="3" s="1"/>
  <c r="AZ549" i="3" s="1"/>
  <c r="BQ547" i="3"/>
  <c r="BL547" i="3" s="1"/>
  <c r="AZ547" i="3" s="1"/>
  <c r="BQ545" i="3"/>
  <c r="BL545" i="3" s="1"/>
  <c r="BQ543" i="3"/>
  <c r="BL543" i="3" s="1"/>
  <c r="AZ543" i="3"/>
  <c r="BQ541" i="3"/>
  <c r="BL541" i="3" s="1"/>
  <c r="BQ539" i="3"/>
  <c r="BL539" i="3" s="1"/>
  <c r="AZ539" i="3" s="1"/>
  <c r="BQ537" i="3"/>
  <c r="BL537" i="3"/>
  <c r="BQ535" i="3"/>
  <c r="BL535" i="3" s="1"/>
  <c r="BQ533" i="3"/>
  <c r="BL533" i="3"/>
  <c r="BQ531" i="3"/>
  <c r="BL531" i="3" s="1"/>
  <c r="AZ531" i="3" s="1"/>
  <c r="BQ529" i="3"/>
  <c r="BL529" i="3"/>
  <c r="BQ527" i="3"/>
  <c r="BL527" i="3" s="1"/>
  <c r="AZ527" i="3"/>
  <c r="BQ525" i="3"/>
  <c r="BL525" i="3"/>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AC5" i="3" s="1"/>
  <c r="BQ509" i="3"/>
  <c r="BL509" i="3"/>
  <c r="BL508" i="3"/>
  <c r="AZ508" i="3"/>
  <c r="G507" i="3"/>
  <c r="G505" i="3"/>
  <c r="G503" i="3"/>
  <c r="G501" i="3"/>
  <c r="G499" i="3"/>
  <c r="G497" i="3"/>
  <c r="G495" i="3"/>
  <c r="BQ507" i="3"/>
  <c r="BQ505" i="3"/>
  <c r="BL505" i="3"/>
  <c r="BQ503" i="3"/>
  <c r="BL503" i="3" s="1"/>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43" i="33"/>
  <c r="H17" i="37"/>
  <c r="U17" i="37" s="1"/>
  <c r="AB27" i="37"/>
  <c r="AA36" i="39"/>
  <c r="F39" i="33"/>
  <c r="AA39" i="33" s="1"/>
  <c r="F42" i="33"/>
  <c r="AA42" i="33" s="1"/>
  <c r="H28" i="34"/>
  <c r="AB28" i="34" s="1"/>
  <c r="F14" i="36"/>
  <c r="F22" i="36"/>
  <c r="S22" i="36" s="1"/>
  <c r="F26" i="36"/>
  <c r="S26" i="36" s="1"/>
  <c r="H27" i="34"/>
  <c r="AB27" i="34" s="1"/>
  <c r="H35" i="34"/>
  <c r="F41" i="34"/>
  <c r="H41" i="34"/>
  <c r="U41" i="34" s="1"/>
  <c r="J41" i="34"/>
  <c r="AC41" i="34" s="1"/>
  <c r="F10" i="35"/>
  <c r="S10" i="35" s="1"/>
  <c r="H24" i="35"/>
  <c r="AB24" i="35"/>
  <c r="H23" i="37"/>
  <c r="AB23" i="37"/>
  <c r="J32" i="37"/>
  <c r="AC32" i="37"/>
  <c r="F36" i="37"/>
  <c r="AA36" i="37"/>
  <c r="F37" i="37"/>
  <c r="AA37" i="37"/>
  <c r="AA31" i="40"/>
  <c r="H31" i="40"/>
  <c r="AB31" i="40" s="1"/>
  <c r="F32" i="40"/>
  <c r="S32" i="40"/>
  <c r="H32" i="40"/>
  <c r="AB32" i="40" s="1"/>
  <c r="J36" i="40"/>
  <c r="W36" i="40"/>
  <c r="H19" i="37"/>
  <c r="AB19" i="37" s="1"/>
  <c r="H42" i="33"/>
  <c r="AB42" i="33" s="1"/>
  <c r="J43" i="33"/>
  <c r="AC43" i="33" s="1"/>
  <c r="S28" i="31"/>
  <c r="S27" i="31"/>
  <c r="S26" i="31"/>
  <c r="U14" i="40"/>
  <c r="W23" i="35"/>
  <c r="U26" i="37"/>
  <c r="W47" i="34"/>
  <c r="AC31" i="33"/>
  <c r="W44" i="33"/>
  <c r="U19" i="21"/>
  <c r="W44" i="21"/>
  <c r="AB38" i="21"/>
  <c r="F43" i="33"/>
  <c r="AA43" i="33"/>
  <c r="W40" i="37"/>
  <c r="G107" i="37"/>
  <c r="H107" i="37" s="1"/>
  <c r="I107" i="37" s="1"/>
  <c r="J107" i="37" s="1"/>
  <c r="K107" i="37" s="1"/>
  <c r="L107" i="37" s="1"/>
  <c r="M107" i="37" s="1"/>
  <c r="H37" i="21"/>
  <c r="U37" i="21" s="1"/>
  <c r="S42" i="21"/>
  <c r="H19" i="34"/>
  <c r="F36" i="35"/>
  <c r="S36" i="35" s="1"/>
  <c r="J9" i="37"/>
  <c r="W9" i="37" s="1"/>
  <c r="H9" i="37"/>
  <c r="U9" i="37" s="1"/>
  <c r="F9" i="37"/>
  <c r="S9" i="37" s="1"/>
  <c r="J12" i="37"/>
  <c r="W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J15" i="37"/>
  <c r="AT6" i="3"/>
  <c r="H5" i="3"/>
  <c r="AA25" i="21"/>
  <c r="H19" i="40"/>
  <c r="U19" i="40" s="1"/>
  <c r="F88" i="40"/>
  <c r="G88" i="40" s="1"/>
  <c r="F19" i="40"/>
  <c r="S19" i="40" s="1"/>
  <c r="AC13" i="40"/>
  <c r="AB33" i="40"/>
  <c r="W23" i="39"/>
  <c r="AC43" i="39"/>
  <c r="W43" i="39"/>
  <c r="G100" i="39"/>
  <c r="H37" i="39"/>
  <c r="U37" i="39" s="1"/>
  <c r="AC37" i="39"/>
  <c r="W37" i="39"/>
  <c r="H25" i="39"/>
  <c r="AB25" i="39" s="1"/>
  <c r="J25" i="39"/>
  <c r="F25" i="39"/>
  <c r="AA25" i="39" s="1"/>
  <c r="F15" i="39"/>
  <c r="H15" i="39"/>
  <c r="U15" i="39" s="1"/>
  <c r="J15" i="39"/>
  <c r="W15" i="39" s="1"/>
  <c r="H41" i="39"/>
  <c r="AB41" i="39" s="1"/>
  <c r="W27"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F11" i="39"/>
  <c r="S11" i="39" s="1"/>
  <c r="G4" i="4"/>
  <c r="I4" i="4"/>
  <c r="A2" i="9"/>
  <c r="F61" i="43"/>
  <c r="H64" i="43" s="1"/>
  <c r="AZ497"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AZ116" i="3"/>
  <c r="G117" i="3"/>
  <c r="BA119" i="3"/>
  <c r="BL120" i="3"/>
  <c r="G121" i="3"/>
  <c r="BA123" i="3"/>
  <c r="BL124" i="3"/>
  <c r="AZ124" i="3" s="1"/>
  <c r="G125" i="3"/>
  <c r="BA127" i="3"/>
  <c r="AZ127" i="3"/>
  <c r="BL128" i="3"/>
  <c r="G129" i="3"/>
  <c r="BA131" i="3"/>
  <c r="BL132" i="3"/>
  <c r="G133" i="3"/>
  <c r="BA135" i="3"/>
  <c r="BL136" i="3"/>
  <c r="G137" i="3"/>
  <c r="BA139" i="3"/>
  <c r="AZ139" i="3" s="1"/>
  <c r="BL140" i="3"/>
  <c r="G141" i="3"/>
  <c r="BA143" i="3"/>
  <c r="AZ143" i="3" s="1"/>
  <c r="BL144" i="3"/>
  <c r="G145" i="3"/>
  <c r="BA147" i="3"/>
  <c r="BL148" i="3"/>
  <c r="AZ148" i="3" s="1"/>
  <c r="G149" i="3"/>
  <c r="BA151" i="3"/>
  <c r="BL152" i="3"/>
  <c r="G153" i="3"/>
  <c r="BA155" i="3"/>
  <c r="BL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BA390" i="3"/>
  <c r="BL390" i="3"/>
  <c r="AZ390" i="3" s="1"/>
  <c r="G391" i="3"/>
  <c r="G394" i="3"/>
  <c r="AZ186" i="3"/>
  <c r="BA16" i="3"/>
  <c r="BL303" i="3"/>
  <c r="G304" i="3"/>
  <c r="BA306" i="3"/>
  <c r="BL307" i="3"/>
  <c r="G308" i="3"/>
  <c r="BA310" i="3"/>
  <c r="BL311" i="3"/>
  <c r="AZ311" i="3" s="1"/>
  <c r="G312" i="3"/>
  <c r="BA314" i="3"/>
  <c r="AZ314" i="3" s="1"/>
  <c r="BL315" i="3"/>
  <c r="G316" i="3"/>
  <c r="BA318" i="3"/>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18" i="3"/>
  <c r="G342" i="3"/>
  <c r="BL345" i="3"/>
  <c r="G346" i="3"/>
  <c r="BL349" i="3"/>
  <c r="BL352" i="3"/>
  <c r="G353" i="3"/>
  <c r="BA357" i="3"/>
  <c r="BL358" i="3"/>
  <c r="G359" i="3"/>
  <c r="BA361" i="3"/>
  <c r="BL362" i="3"/>
  <c r="AZ362" i="3" s="1"/>
  <c r="G363" i="3"/>
  <c r="BA365" i="3"/>
  <c r="BL366" i="3"/>
  <c r="G367" i="3"/>
  <c r="BA369" i="3"/>
  <c r="AZ369" i="3" s="1"/>
  <c r="BL370" i="3"/>
  <c r="AZ370" i="3" s="1"/>
  <c r="G371" i="3"/>
  <c r="BA373" i="3"/>
  <c r="AZ373" i="3" s="1"/>
  <c r="BL374" i="3"/>
  <c r="G375" i="3"/>
  <c r="BA377" i="3"/>
  <c r="AZ229" i="3"/>
  <c r="AZ233" i="3"/>
  <c r="AZ249" i="3"/>
  <c r="AZ269" i="3"/>
  <c r="BA379" i="3"/>
  <c r="AZ379" i="3" s="1"/>
  <c r="BL380" i="3"/>
  <c r="G381" i="3"/>
  <c r="BA383" i="3"/>
  <c r="AZ383" i="3" s="1"/>
  <c r="BL384" i="3"/>
  <c r="G385" i="3"/>
  <c r="BA387" i="3"/>
  <c r="BL388" i="3"/>
  <c r="G389" i="3"/>
  <c r="BA391" i="3"/>
  <c r="BL392" i="3"/>
  <c r="AZ392" i="3" s="1"/>
  <c r="G393" i="3"/>
  <c r="BO5" i="3"/>
  <c r="BJ5" i="3"/>
  <c r="AZ325" i="3"/>
  <c r="AZ341" i="3"/>
  <c r="G548" i="3"/>
  <c r="G538" i="3"/>
  <c r="G520" i="3"/>
  <c r="G502" i="3"/>
  <c r="BS5" i="3"/>
  <c r="BP5" i="3"/>
  <c r="BK5" i="3"/>
  <c r="BI5" i="3"/>
  <c r="BG5" i="3"/>
  <c r="BC5" i="3"/>
  <c r="G17" i="3"/>
  <c r="BA17" i="3"/>
  <c r="AZ356" i="3"/>
  <c r="BA15" i="3"/>
  <c r="BB5" i="3"/>
  <c r="BR5" i="3"/>
  <c r="AZ380" i="3"/>
  <c r="AZ509" i="3"/>
  <c r="G509" i="3"/>
  <c r="BL493" i="3"/>
  <c r="AZ493" i="3"/>
  <c r="U36" i="40"/>
  <c r="F83" i="43"/>
  <c r="H85" i="43" s="1"/>
  <c r="F50" i="43"/>
  <c r="H54" i="43" s="1"/>
  <c r="F72" i="43"/>
  <c r="H75" i="43" s="1"/>
  <c r="U17" i="39"/>
  <c r="U43" i="21"/>
  <c r="U35" i="21"/>
  <c r="AC35" i="21"/>
  <c r="AZ563" i="3"/>
  <c r="AZ501" i="3"/>
  <c r="AC44" i="34"/>
  <c r="S15" i="37"/>
  <c r="U13" i="37"/>
  <c r="AA12" i="40"/>
  <c r="J37" i="33"/>
  <c r="AC37" i="33" s="1"/>
  <c r="W37" i="33"/>
  <c r="F106" i="33"/>
  <c r="G106" i="33" s="1"/>
  <c r="H106" i="33" s="1"/>
  <c r="I106" i="33" s="1"/>
  <c r="J106" i="33" s="1"/>
  <c r="K106" i="33" s="1"/>
  <c r="L106" i="33" s="1"/>
  <c r="M106" i="33" s="1"/>
  <c r="J34" i="33"/>
  <c r="F33" i="34"/>
  <c r="S33" i="34" s="1"/>
  <c r="H20" i="36"/>
  <c r="U20" i="36" s="1"/>
  <c r="J20" i="36"/>
  <c r="W24" i="36"/>
  <c r="J27" i="36"/>
  <c r="W27" i="36" s="1"/>
  <c r="AC33" i="40"/>
  <c r="H35" i="40"/>
  <c r="AB35" i="40" s="1"/>
  <c r="AC29" i="35"/>
  <c r="W29" i="35"/>
  <c r="H35" i="37"/>
  <c r="U35" i="37" s="1"/>
  <c r="AC14" i="35"/>
  <c r="H20" i="35"/>
  <c r="U20" i="35" s="1"/>
  <c r="F20" i="35"/>
  <c r="AA20" i="35"/>
  <c r="AB23" i="35"/>
  <c r="AB29" i="36"/>
  <c r="U29" i="36"/>
  <c r="H32" i="37"/>
  <c r="AB32" i="37" s="1"/>
  <c r="F96" i="37"/>
  <c r="G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H44" i="34"/>
  <c r="U44" i="34" s="1"/>
  <c r="AC38" i="39"/>
  <c r="F39" i="39"/>
  <c r="J39" i="39"/>
  <c r="AC39" i="39" s="1"/>
  <c r="E96" i="39"/>
  <c r="F96" i="39" s="1"/>
  <c r="G96" i="39" s="1"/>
  <c r="AZ386" i="3"/>
  <c r="C40" i="11"/>
  <c r="AZ227" i="3"/>
  <c r="AZ235" i="3"/>
  <c r="AZ251" i="3"/>
  <c r="AZ259" i="3"/>
  <c r="AZ271" i="3"/>
  <c r="F23" i="39"/>
  <c r="AA23" i="39"/>
  <c r="H27" i="36"/>
  <c r="U27" i="36" s="1"/>
  <c r="F27" i="36"/>
  <c r="AA27" i="36" s="1"/>
  <c r="H33" i="34"/>
  <c r="AB33" i="34" s="1"/>
  <c r="F32" i="37"/>
  <c r="S32" i="37" s="1"/>
  <c r="AA32" i="37"/>
  <c r="H96" i="37"/>
  <c r="I96" i="37" s="1"/>
  <c r="J96" i="37" s="1"/>
  <c r="K96" i="37" s="1"/>
  <c r="L96" i="37" s="1"/>
  <c r="M96" i="37" s="1"/>
  <c r="F20" i="36"/>
  <c r="J33" i="34"/>
  <c r="AC33" i="34" s="1"/>
  <c r="H23" i="39"/>
  <c r="U23" i="39" s="1"/>
  <c r="D48" i="9"/>
  <c r="M52" i="9" s="1"/>
  <c r="K9" i="1"/>
  <c r="M9" i="1" s="1"/>
  <c r="D93" i="9"/>
  <c r="K6" i="1"/>
  <c r="AP6" i="1" s="1"/>
  <c r="AC27" i="34"/>
  <c r="U34" i="36"/>
  <c r="AC12" i="39"/>
  <c r="W12" i="39"/>
  <c r="AC39" i="40"/>
  <c r="W39" i="40"/>
  <c r="W12" i="33"/>
  <c r="AC12" i="33"/>
  <c r="AA32" i="36"/>
  <c r="S32" i="36"/>
  <c r="BL14" i="3"/>
  <c r="U30" i="33"/>
  <c r="AC13" i="34"/>
  <c r="S19" i="39"/>
  <c r="F12" i="33"/>
  <c r="H12" i="39"/>
  <c r="AB12" i="39" s="1"/>
  <c r="F39" i="40"/>
  <c r="S39" i="40" s="1"/>
  <c r="BA14" i="3"/>
  <c r="AZ367" i="3"/>
  <c r="B12" i="1"/>
  <c r="E12" i="1" s="1"/>
  <c r="B10" i="1"/>
  <c r="E10" i="1" s="1"/>
  <c r="K12" i="1"/>
  <c r="M12" i="1" s="1"/>
  <c r="S13" i="1"/>
  <c r="AR13" i="1" s="1"/>
  <c r="R13" i="1"/>
  <c r="J51" i="67"/>
  <c r="C42" i="1"/>
  <c r="C24" i="12" s="1"/>
  <c r="AA34" i="33"/>
  <c r="B41" i="1"/>
  <c r="F31" i="12" s="1"/>
  <c r="AB37" i="40"/>
  <c r="S35" i="40"/>
  <c r="AC36" i="40"/>
  <c r="AA32" i="40"/>
  <c r="S17" i="40"/>
  <c r="S23" i="40"/>
  <c r="AC17" i="40"/>
  <c r="AC15" i="40"/>
  <c r="AB27" i="40"/>
  <c r="AA19" i="40"/>
  <c r="AA27" i="40"/>
  <c r="U21" i="40"/>
  <c r="AB19" i="40"/>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S9" i="39"/>
  <c r="U14" i="39"/>
  <c r="U12" i="39"/>
  <c r="S23" i="36"/>
  <c r="U13" i="36"/>
  <c r="U26" i="36"/>
  <c r="AA26" i="36"/>
  <c r="AA34" i="36"/>
  <c r="AC26" i="36"/>
  <c r="AA22" i="36"/>
  <c r="W14" i="36"/>
  <c r="AB14" i="36"/>
  <c r="U22" i="36"/>
  <c r="S16" i="36"/>
  <c r="S24" i="36"/>
  <c r="U24" i="36"/>
  <c r="U23" i="36"/>
  <c r="AB20" i="36"/>
  <c r="U16" i="36"/>
  <c r="AA25" i="35"/>
  <c r="S23" i="35"/>
  <c r="U29" i="35"/>
  <c r="U28" i="35"/>
  <c r="AB27" i="35"/>
  <c r="U32" i="35"/>
  <c r="AA33" i="35"/>
  <c r="AC30" i="35"/>
  <c r="S32" i="35"/>
  <c r="AA36" i="35"/>
  <c r="S28" i="35"/>
  <c r="AB16" i="35"/>
  <c r="S20" i="35"/>
  <c r="S22" i="35"/>
  <c r="AA11" i="35"/>
  <c r="AC9" i="35"/>
  <c r="W9" i="35"/>
  <c r="W13" i="35"/>
  <c r="F9" i="35"/>
  <c r="S9" i="35" s="1"/>
  <c r="H9" i="35"/>
  <c r="U9" i="35" s="1"/>
  <c r="W27" i="37"/>
  <c r="AC29" i="37"/>
  <c r="W30" i="37"/>
  <c r="S36" i="37"/>
  <c r="AA38" i="37"/>
  <c r="W38" i="37"/>
  <c r="AC35" i="37"/>
  <c r="S30" i="37"/>
  <c r="S37" i="37"/>
  <c r="J17" i="37"/>
  <c r="W17" i="37" s="1"/>
  <c r="G73" i="37"/>
  <c r="F17" i="37"/>
  <c r="AA17" i="37" s="1"/>
  <c r="AB17" i="37"/>
  <c r="F75" i="37"/>
  <c r="G75" i="37" s="1"/>
  <c r="F19" i="37"/>
  <c r="S19" i="37" s="1"/>
  <c r="F79" i="37"/>
  <c r="F23" i="37"/>
  <c r="S23" i="37" s="1"/>
  <c r="U23" i="37"/>
  <c r="U15" i="37"/>
  <c r="AA13" i="37"/>
  <c r="H10" i="37"/>
  <c r="AB10" i="37" s="1"/>
  <c r="F63" i="37"/>
  <c r="F11" i="37"/>
  <c r="S11" i="37" s="1"/>
  <c r="AB8" i="34"/>
  <c r="AC42" i="34"/>
  <c r="U27" i="34"/>
  <c r="H10" i="34"/>
  <c r="AB10" i="34" s="1"/>
  <c r="F11" i="34"/>
  <c r="S11" i="34" s="1"/>
  <c r="F70" i="34"/>
  <c r="G70" i="34" s="1"/>
  <c r="W42" i="33"/>
  <c r="AA35" i="33"/>
  <c r="S27" i="33"/>
  <c r="S32" i="33"/>
  <c r="AB29" i="33"/>
  <c r="W38" i="33"/>
  <c r="H41" i="33"/>
  <c r="U41" i="33" s="1"/>
  <c r="U42" i="33"/>
  <c r="S42" i="33"/>
  <c r="F36" i="33"/>
  <c r="AA36" i="33" s="1"/>
  <c r="G111" i="33"/>
  <c r="G108" i="33"/>
  <c r="H108" i="33" s="1"/>
  <c r="I108" i="33" s="1"/>
  <c r="J108" i="33" s="1"/>
  <c r="K108" i="33" s="1"/>
  <c r="L108" i="33" s="1"/>
  <c r="M108" i="33" s="1"/>
  <c r="J35" i="33"/>
  <c r="S37" i="33"/>
  <c r="S39" i="33"/>
  <c r="F101" i="33"/>
  <c r="G101" i="33" s="1"/>
  <c r="H101" i="33" s="1"/>
  <c r="I101" i="33" s="1"/>
  <c r="J101" i="33" s="1"/>
  <c r="K101" i="33" s="1"/>
  <c r="L101" i="33" s="1"/>
  <c r="M101" i="33" s="1"/>
  <c r="J32" i="33"/>
  <c r="S46" i="33"/>
  <c r="S43" i="33"/>
  <c r="F91" i="33"/>
  <c r="H27" i="33"/>
  <c r="AB27" i="33" s="1"/>
  <c r="F87" i="33"/>
  <c r="G87" i="33" s="1"/>
  <c r="H25" i="33"/>
  <c r="U25" i="33" s="1"/>
  <c r="F25" i="33"/>
  <c r="J23" i="33"/>
  <c r="AC23" i="33" s="1"/>
  <c r="F85" i="33"/>
  <c r="H23" i="33"/>
  <c r="AB23" i="33" s="1"/>
  <c r="F19" i="33"/>
  <c r="W19" i="33"/>
  <c r="J17" i="33"/>
  <c r="AC17" i="33" s="1"/>
  <c r="F79" i="33"/>
  <c r="G79" i="33" s="1"/>
  <c r="S15" i="33"/>
  <c r="W15" i="33"/>
  <c r="J10" i="33"/>
  <c r="W10" i="33" s="1"/>
  <c r="H10" i="33"/>
  <c r="U10" i="33" s="1"/>
  <c r="AC11" i="33"/>
  <c r="W36" i="21"/>
  <c r="W41" i="21"/>
  <c r="AB39" i="21"/>
  <c r="AA43" i="21"/>
  <c r="S39" i="21"/>
  <c r="AA38" i="21"/>
  <c r="AA36" i="21"/>
  <c r="AC40" i="21"/>
  <c r="J15" i="21"/>
  <c r="AC15" i="21" s="1"/>
  <c r="W15" i="21"/>
  <c r="F77" i="21"/>
  <c r="G77" i="21" s="1"/>
  <c r="F23" i="21"/>
  <c r="AA23" i="21" s="1"/>
  <c r="E85" i="21"/>
  <c r="F85" i="21" s="1"/>
  <c r="G85" i="21" s="1"/>
  <c r="D120" i="9"/>
  <c r="D121" i="9" s="1"/>
  <c r="D7" i="52" s="1"/>
  <c r="C18" i="9"/>
  <c r="D18" i="9" s="1"/>
  <c r="F34" i="67"/>
  <c r="F62" i="67" s="1"/>
  <c r="M20" i="67"/>
  <c r="F34" i="15"/>
  <c r="F62" i="15" s="1"/>
  <c r="G13" i="3"/>
  <c r="BA13" i="3"/>
  <c r="BL17" i="3"/>
  <c r="AZ17" i="3"/>
  <c r="BL13" i="3"/>
  <c r="J56" i="9"/>
  <c r="J57" i="9" s="1"/>
  <c r="J59" i="9" s="1"/>
  <c r="J61" i="9" s="1"/>
  <c r="U29" i="34"/>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U11" i="40"/>
  <c r="S31" i="40"/>
  <c r="AB13" i="40"/>
  <c r="AB17" i="40"/>
  <c r="U8" i="40"/>
  <c r="S8" i="40"/>
  <c r="AC41" i="39"/>
  <c r="U42" i="39"/>
  <c r="W25" i="39"/>
  <c r="AC25" i="39"/>
  <c r="S14" i="39"/>
  <c r="AA14" i="39"/>
  <c r="AB11" i="39"/>
  <c r="U11" i="39"/>
  <c r="AA27" i="39"/>
  <c r="S27" i="39"/>
  <c r="W17" i="39"/>
  <c r="AC17" i="39"/>
  <c r="W31" i="39"/>
  <c r="AC31" i="39"/>
  <c r="S23" i="39"/>
  <c r="W34" i="39"/>
  <c r="U38" i="39"/>
  <c r="S8" i="39"/>
  <c r="AC25" i="36"/>
  <c r="U25" i="36"/>
  <c r="AB28" i="36"/>
  <c r="W9" i="36"/>
  <c r="W22" i="36"/>
  <c r="W23" i="36"/>
  <c r="AB20" i="35"/>
  <c r="U24" i="35"/>
  <c r="W35" i="35"/>
  <c r="AA16" i="35"/>
  <c r="AA35" i="37"/>
  <c r="S27" i="37"/>
  <c r="S28" i="37"/>
  <c r="W32" i="37"/>
  <c r="U36" i="37"/>
  <c r="S40" i="37"/>
  <c r="U38" i="37"/>
  <c r="AB37" i="37"/>
  <c r="AC34" i="37"/>
  <c r="AB35" i="37"/>
  <c r="U19" i="37"/>
  <c r="U8" i="37"/>
  <c r="AB47" i="34"/>
  <c r="AC14" i="34"/>
  <c r="AC29" i="34"/>
  <c r="W29" i="34"/>
  <c r="S32" i="34"/>
  <c r="AA32" i="34"/>
  <c r="U30" i="34"/>
  <c r="U38" i="34"/>
  <c r="AA36" i="34"/>
  <c r="AA8" i="34"/>
  <c r="U32" i="34"/>
  <c r="U14" i="34"/>
  <c r="AB14" i="34"/>
  <c r="U12" i="34"/>
  <c r="AB28" i="33"/>
  <c r="W46" i="33"/>
  <c r="U39" i="33"/>
  <c r="U38" i="33"/>
  <c r="S33" i="33"/>
  <c r="AB34" i="33"/>
  <c r="U44" i="33"/>
  <c r="AC14" i="33"/>
  <c r="W14" i="33"/>
  <c r="W30" i="33"/>
  <c r="S31" i="33"/>
  <c r="AA31" i="33"/>
  <c r="AC13" i="33"/>
  <c r="U15" i="33"/>
  <c r="AC28" i="33"/>
  <c r="S28" i="33"/>
  <c r="W8" i="33"/>
  <c r="S44" i="21"/>
  <c r="AB42" i="21"/>
  <c r="U28" i="21"/>
  <c r="I101" i="21"/>
  <c r="J101" i="21" s="1"/>
  <c r="K101" i="21" s="1"/>
  <c r="L101" i="21" s="1"/>
  <c r="M101" i="21" s="1"/>
  <c r="F33" i="21"/>
  <c r="AA33" i="21" s="1"/>
  <c r="J33" i="21"/>
  <c r="AC33" i="21" s="1"/>
  <c r="H33" i="21"/>
  <c r="AB33" i="21" s="1"/>
  <c r="F37" i="21"/>
  <c r="AA37" i="21" s="1"/>
  <c r="AA26" i="21"/>
  <c r="AB14" i="21"/>
  <c r="U40" i="21"/>
  <c r="AB31" i="21"/>
  <c r="U31" i="21"/>
  <c r="U13" i="21"/>
  <c r="AB13" i="21"/>
  <c r="S35" i="21"/>
  <c r="J37" i="21"/>
  <c r="W37" i="21" s="1"/>
  <c r="H15" i="21"/>
  <c r="U15" i="21" s="1"/>
  <c r="J17" i="21"/>
  <c r="AC17" i="21" s="1"/>
  <c r="AC19" i="21"/>
  <c r="W39" i="21"/>
  <c r="AC14" i="21"/>
  <c r="S46" i="21"/>
  <c r="H45" i="21"/>
  <c r="F29" i="21"/>
  <c r="AA29" i="21" s="1"/>
  <c r="F13" i="21"/>
  <c r="AA13" i="21" s="1"/>
  <c r="AC38" i="21"/>
  <c r="H32" i="21"/>
  <c r="U32" i="21" s="1"/>
  <c r="H9" i="21"/>
  <c r="AB9" i="21" s="1"/>
  <c r="J9" i="21"/>
  <c r="J32" i="21"/>
  <c r="W32" i="21" s="1"/>
  <c r="F32" i="21"/>
  <c r="S32" i="21" s="1"/>
  <c r="AA31" i="21"/>
  <c r="W29" i="21"/>
  <c r="S19" i="21"/>
  <c r="S9" i="21"/>
  <c r="AA9" i="21"/>
  <c r="K141" i="21"/>
  <c r="K144" i="21"/>
  <c r="K143" i="21"/>
  <c r="AB25" i="21"/>
  <c r="W42" i="21"/>
  <c r="AC45" i="21"/>
  <c r="F10" i="21"/>
  <c r="AA10" i="21" s="1"/>
  <c r="K145" i="21"/>
  <c r="W17" i="21"/>
  <c r="W25" i="21"/>
  <c r="AA15" i="21"/>
  <c r="AB29" i="21"/>
  <c r="S28" i="21"/>
  <c r="AC34" i="21"/>
  <c r="W30" i="40"/>
  <c r="C19" i="39"/>
  <c r="C15" i="40"/>
  <c r="C17" i="40"/>
  <c r="C23" i="40"/>
  <c r="C21" i="40"/>
  <c r="U30" i="40"/>
  <c r="B56" i="43"/>
  <c r="B67" i="43"/>
  <c r="B51" i="43"/>
  <c r="B54" i="43"/>
  <c r="B62" i="43"/>
  <c r="B65" i="43"/>
  <c r="B69" i="43"/>
  <c r="D23" i="15"/>
  <c r="D22" i="15"/>
  <c r="E4" i="4"/>
  <c r="B5" i="62" s="1"/>
  <c r="B73" i="72" s="1"/>
  <c r="C4" i="4"/>
  <c r="S12" i="33"/>
  <c r="AA12" i="33"/>
  <c r="J32" i="39"/>
  <c r="W32" i="39" s="1"/>
  <c r="H32" i="39"/>
  <c r="AB32" i="39" s="1"/>
  <c r="AA32" i="39"/>
  <c r="S32" i="39"/>
  <c r="AB21" i="39"/>
  <c r="U21" i="39"/>
  <c r="AA21" i="39"/>
  <c r="S17" i="37"/>
  <c r="J19" i="37"/>
  <c r="W19" i="37" s="1"/>
  <c r="AA19" i="37"/>
  <c r="J23" i="37"/>
  <c r="G79" i="37"/>
  <c r="J10" i="37"/>
  <c r="W10" i="37" s="1"/>
  <c r="G63" i="37"/>
  <c r="H63" i="37" s="1"/>
  <c r="I63" i="37" s="1"/>
  <c r="J63" i="37" s="1"/>
  <c r="K63" i="37" s="1"/>
  <c r="L63" i="37" s="1"/>
  <c r="M63" i="37" s="1"/>
  <c r="H11" i="37"/>
  <c r="AB11" i="37" s="1"/>
  <c r="H11" i="34"/>
  <c r="U11" i="34" s="1"/>
  <c r="J10" i="34"/>
  <c r="AC10" i="34" s="1"/>
  <c r="W35" i="33"/>
  <c r="AC35" i="33"/>
  <c r="H111" i="33"/>
  <c r="I111" i="33" s="1"/>
  <c r="J111" i="33" s="1"/>
  <c r="K111" i="33" s="1"/>
  <c r="L111" i="33" s="1"/>
  <c r="M111" i="33" s="1"/>
  <c r="J36" i="33"/>
  <c r="W36" i="33" s="1"/>
  <c r="H36" i="33"/>
  <c r="S36" i="33"/>
  <c r="AC32" i="33"/>
  <c r="W32" i="33"/>
  <c r="G91" i="33"/>
  <c r="H91" i="33" s="1"/>
  <c r="I91" i="33" s="1"/>
  <c r="J91" i="33" s="1"/>
  <c r="K91" i="33" s="1"/>
  <c r="L91" i="33" s="1"/>
  <c r="M91" i="33" s="1"/>
  <c r="J27" i="33"/>
  <c r="AB25" i="33"/>
  <c r="S25" i="33"/>
  <c r="AA25" i="33"/>
  <c r="H87" i="33"/>
  <c r="I87" i="33"/>
  <c r="J87" i="33" s="1"/>
  <c r="K87" i="33" s="1"/>
  <c r="L87" i="33" s="1"/>
  <c r="M87" i="33" s="1"/>
  <c r="J25" i="33"/>
  <c r="AC25" i="33" s="1"/>
  <c r="U23" i="33"/>
  <c r="F23" i="33"/>
  <c r="G85" i="33"/>
  <c r="H19" i="33"/>
  <c r="AB19" i="33" s="1"/>
  <c r="G81" i="33"/>
  <c r="H17" i="33"/>
  <c r="U17" i="33" s="1"/>
  <c r="F17" i="33"/>
  <c r="S17" i="33" s="1"/>
  <c r="W17" i="33"/>
  <c r="S37" i="21"/>
  <c r="AB15" i="21"/>
  <c r="J23" i="21"/>
  <c r="H23" i="21"/>
  <c r="S13" i="21"/>
  <c r="AP7" i="1"/>
  <c r="U9" i="21"/>
  <c r="W9" i="21"/>
  <c r="AC9" i="21"/>
  <c r="AB32" i="21"/>
  <c r="AC32" i="39"/>
  <c r="W23" i="37"/>
  <c r="AC23" i="37"/>
  <c r="J11" i="37"/>
  <c r="AC11" i="37" s="1"/>
  <c r="H70" i="34"/>
  <c r="I70" i="34" s="1"/>
  <c r="J70" i="34" s="1"/>
  <c r="K70" i="34" s="1"/>
  <c r="L70" i="34" s="1"/>
  <c r="M70" i="34" s="1"/>
  <c r="J11" i="34"/>
  <c r="W11" i="34" s="1"/>
  <c r="W27" i="33"/>
  <c r="AC27" i="33"/>
  <c r="W25" i="33"/>
  <c r="U19" i="33"/>
  <c r="AA17" i="33"/>
  <c r="U23" i="21"/>
  <c r="AB23" i="21"/>
  <c r="AC23" i="21"/>
  <c r="W23" i="21"/>
  <c r="H109" i="9"/>
  <c r="H112" i="9"/>
  <c r="D21" i="53"/>
  <c r="B39" i="72" s="1"/>
  <c r="H111" i="9"/>
  <c r="D126" i="9" s="1"/>
  <c r="AD3" i="71"/>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13" i="76"/>
  <c r="L47" i="15"/>
  <c r="M28" i="15"/>
  <c r="F37" i="15"/>
  <c r="B7" i="76"/>
  <c r="F6" i="15"/>
  <c r="B10" i="76"/>
  <c r="M26" i="15"/>
  <c r="M23" i="15"/>
  <c r="L48" i="15"/>
  <c r="F9" i="67"/>
  <c r="F36" i="67"/>
  <c r="F6" i="73"/>
  <c r="B13" i="76"/>
  <c r="F4" i="73"/>
  <c r="M6" i="15"/>
  <c r="M24" i="15"/>
  <c r="E8" i="76"/>
  <c r="M22" i="15"/>
  <c r="M29" i="15"/>
  <c r="F9" i="15"/>
  <c r="F6" i="67"/>
  <c r="M6" i="67"/>
  <c r="C76" i="15"/>
  <c r="M29" i="67"/>
  <c r="E2" i="69"/>
  <c r="E7" i="76"/>
  <c r="B8" i="76"/>
  <c r="F5" i="73"/>
  <c r="E12" i="76"/>
  <c r="F40" i="15"/>
  <c r="F7" i="15"/>
  <c r="E9" i="76"/>
  <c r="F36" i="15"/>
  <c r="F3" i="73"/>
  <c r="B9" i="76"/>
  <c r="F7" i="67"/>
  <c r="J15" i="15"/>
  <c r="AO13" i="1"/>
  <c r="M23" i="67"/>
  <c r="M22" i="67"/>
  <c r="B12" i="76"/>
  <c r="F7" i="73"/>
  <c r="E11" i="76"/>
  <c r="F20" i="31"/>
  <c r="B11" i="76"/>
  <c r="F8" i="15"/>
  <c r="E2" i="68"/>
  <c r="E10" i="76"/>
  <c r="F38" i="67"/>
  <c r="U33" i="34" l="1"/>
  <c r="G124" i="34"/>
  <c r="H124" i="34" s="1"/>
  <c r="I124" i="34" s="1"/>
  <c r="J124" i="34" s="1"/>
  <c r="K124" i="34" s="1"/>
  <c r="L124" i="34" s="1"/>
  <c r="M124" i="34" s="1"/>
  <c r="F43" i="34"/>
  <c r="AA43" i="34" s="1"/>
  <c r="H43" i="34"/>
  <c r="AB43" i="34" s="1"/>
  <c r="J43" i="34"/>
  <c r="W43" i="34" s="1"/>
  <c r="U39" i="34"/>
  <c r="H37" i="34"/>
  <c r="U37" i="34" s="1"/>
  <c r="J37" i="34"/>
  <c r="AC37" i="34" s="1"/>
  <c r="AC35" i="34"/>
  <c r="J23" i="34"/>
  <c r="W23" i="34" s="1"/>
  <c r="F23" i="34"/>
  <c r="AA23" i="34" s="1"/>
  <c r="H15" i="34"/>
  <c r="AB15" i="34" s="1"/>
  <c r="J15" i="34"/>
  <c r="W15" i="34" s="1"/>
  <c r="F15" i="34"/>
  <c r="AA15" i="34" s="1"/>
  <c r="AC45" i="34"/>
  <c r="AC43" i="34"/>
  <c r="U43" i="34"/>
  <c r="AB41" i="34"/>
  <c r="AB40" i="34"/>
  <c r="AC40" i="34"/>
  <c r="AA40" i="34"/>
  <c r="AB36" i="34"/>
  <c r="W25" i="34"/>
  <c r="AB9" i="34"/>
  <c r="H31" i="34"/>
  <c r="AC31" i="34"/>
  <c r="AC28" i="34"/>
  <c r="S23" i="34"/>
  <c r="AB23" i="34"/>
  <c r="W46" i="34"/>
  <c r="W41" i="34"/>
  <c r="AC36" i="34"/>
  <c r="W38" i="34"/>
  <c r="AC39" i="34"/>
  <c r="S37" i="34"/>
  <c r="S44" i="34"/>
  <c r="S35" i="34"/>
  <c r="U15" i="34"/>
  <c r="AC17" i="34"/>
  <c r="AB17" i="34"/>
  <c r="W19" i="34"/>
  <c r="AA19" i="34"/>
  <c r="AA14" i="34"/>
  <c r="W8" i="34"/>
  <c r="C29" i="39"/>
  <c r="B57" i="43"/>
  <c r="F30" i="69"/>
  <c r="F48" i="69" s="1"/>
  <c r="M18" i="67"/>
  <c r="F28" i="15"/>
  <c r="F28" i="67"/>
  <c r="C28" i="67" s="1"/>
  <c r="F32" i="67"/>
  <c r="F60" i="67" s="1"/>
  <c r="F30" i="11"/>
  <c r="C48" i="11" s="1"/>
  <c r="D68" i="9"/>
  <c r="M18" i="15"/>
  <c r="C21" i="68"/>
  <c r="BL29" i="3"/>
  <c r="BA30" i="3"/>
  <c r="AZ14" i="3"/>
  <c r="BL16" i="3"/>
  <c r="AZ16" i="3" s="1"/>
  <c r="BL24" i="3"/>
  <c r="BA33" i="3"/>
  <c r="BL23" i="3"/>
  <c r="BL35" i="3"/>
  <c r="BA37" i="3"/>
  <c r="BL39" i="3"/>
  <c r="BA40" i="3"/>
  <c r="BL44" i="3"/>
  <c r="G33" i="3"/>
  <c r="G34" i="3"/>
  <c r="G38" i="3"/>
  <c r="G43" i="3"/>
  <c r="G44" i="3"/>
  <c r="G18" i="3"/>
  <c r="G26" i="3"/>
  <c r="A15" i="62"/>
  <c r="B61" i="72" s="1"/>
  <c r="J1" i="73"/>
  <c r="AZ587" i="3"/>
  <c r="AA15" i="39"/>
  <c r="S15" i="39"/>
  <c r="U35" i="34"/>
  <c r="AB35" i="34"/>
  <c r="AA13" i="34"/>
  <c r="S13" i="34"/>
  <c r="AC40" i="39"/>
  <c r="W40" i="39"/>
  <c r="F13" i="39"/>
  <c r="J13" i="39"/>
  <c r="AZ575" i="3"/>
  <c r="AZ574" i="3"/>
  <c r="AB46" i="33"/>
  <c r="U46" i="33"/>
  <c r="U26" i="33"/>
  <c r="AB26" i="33"/>
  <c r="AB29" i="37"/>
  <c r="U29" i="37"/>
  <c r="S19" i="33"/>
  <c r="AA19" i="33"/>
  <c r="W20" i="36"/>
  <c r="AC20" i="36"/>
  <c r="W15" i="37"/>
  <c r="AC15" i="37"/>
  <c r="AC15" i="34"/>
  <c r="AC45" i="33"/>
  <c r="AZ515" i="3"/>
  <c r="AZ533" i="3"/>
  <c r="AZ580" i="3"/>
  <c r="S29" i="33"/>
  <c r="AA29" i="33"/>
  <c r="AA28" i="34"/>
  <c r="S28" i="34"/>
  <c r="BA586" i="3"/>
  <c r="BL585" i="3"/>
  <c r="BA585" i="3"/>
  <c r="F9" i="33"/>
  <c r="AA9" i="33" s="1"/>
  <c r="J9" i="33"/>
  <c r="AB34" i="35"/>
  <c r="H25" i="37"/>
  <c r="F25" i="37"/>
  <c r="J25" i="37"/>
  <c r="U8" i="39"/>
  <c r="AB8" i="39"/>
  <c r="U39" i="40"/>
  <c r="AB39" i="40"/>
  <c r="AA14" i="36"/>
  <c r="S14" i="36"/>
  <c r="AA11" i="36"/>
  <c r="S11" i="36"/>
  <c r="W11" i="40"/>
  <c r="AC11" i="40"/>
  <c r="AB33" i="33"/>
  <c r="U33" i="33"/>
  <c r="AA31" i="34"/>
  <c r="S31" i="34"/>
  <c r="U45" i="21"/>
  <c r="AB45" i="21"/>
  <c r="AA46" i="34"/>
  <c r="S17" i="34"/>
  <c r="S39" i="39"/>
  <c r="AA39" i="39"/>
  <c r="W34" i="33"/>
  <c r="AC34" i="33"/>
  <c r="W32" i="34"/>
  <c r="AC32" i="34"/>
  <c r="AB37" i="33"/>
  <c r="U37" i="33"/>
  <c r="U32" i="39"/>
  <c r="U27" i="33"/>
  <c r="U36" i="33"/>
  <c r="AB36" i="33"/>
  <c r="AA39" i="40"/>
  <c r="S17" i="21"/>
  <c r="AA30" i="21"/>
  <c r="S11" i="33"/>
  <c r="AA30" i="33"/>
  <c r="AB45" i="34"/>
  <c r="U25" i="35"/>
  <c r="W29" i="36"/>
  <c r="AB43" i="39"/>
  <c r="U41" i="39"/>
  <c r="S23" i="21"/>
  <c r="U28" i="34"/>
  <c r="U32" i="37"/>
  <c r="AB31" i="37"/>
  <c r="AC20" i="35"/>
  <c r="AA12" i="39"/>
  <c r="S30" i="40"/>
  <c r="F48" i="9"/>
  <c r="O52" i="9" s="1"/>
  <c r="F30" i="68"/>
  <c r="F48" i="68" s="1"/>
  <c r="F52" i="9"/>
  <c r="F32" i="15"/>
  <c r="F60" i="15" s="1"/>
  <c r="F54" i="9"/>
  <c r="AA20" i="36"/>
  <c r="S20" i="36"/>
  <c r="W37" i="37"/>
  <c r="AZ387" i="3"/>
  <c r="AZ345" i="3"/>
  <c r="AZ338" i="3"/>
  <c r="AZ310" i="3"/>
  <c r="AZ328" i="3"/>
  <c r="AZ360" i="3"/>
  <c r="AA11" i="39"/>
  <c r="S14" i="40"/>
  <c r="U31" i="40"/>
  <c r="AZ525" i="3"/>
  <c r="AZ569" i="3"/>
  <c r="AZ529" i="3"/>
  <c r="AZ537" i="3"/>
  <c r="AZ514" i="3"/>
  <c r="AZ564" i="3"/>
  <c r="AZ572" i="3"/>
  <c r="AC28" i="21"/>
  <c r="AC35" i="40"/>
  <c r="AB12" i="40"/>
  <c r="F25" i="36"/>
  <c r="W25" i="35"/>
  <c r="AC25" i="35"/>
  <c r="S29" i="34"/>
  <c r="W12" i="40"/>
  <c r="U40" i="37"/>
  <c r="AB40" i="37"/>
  <c r="AA28" i="40"/>
  <c r="S28" i="40"/>
  <c r="AB25" i="34"/>
  <c r="U25" i="34"/>
  <c r="AB15" i="40"/>
  <c r="AA14" i="35"/>
  <c r="S14" i="35"/>
  <c r="AB32" i="33"/>
  <c r="U32" i="33"/>
  <c r="U36" i="21"/>
  <c r="AB36" i="21"/>
  <c r="J27" i="21"/>
  <c r="H27" i="21"/>
  <c r="F9" i="34"/>
  <c r="AA9" i="34" s="1"/>
  <c r="J9" i="34"/>
  <c r="J24" i="35"/>
  <c r="F24" i="35"/>
  <c r="AB36" i="35"/>
  <c r="U36" i="35"/>
  <c r="S34" i="39"/>
  <c r="AA34" i="39"/>
  <c r="BL576" i="3"/>
  <c r="BN5" i="3"/>
  <c r="G29" i="6" s="1"/>
  <c r="BE5" i="3"/>
  <c r="E14" i="6" s="1"/>
  <c r="BM5" i="3"/>
  <c r="F29" i="6" s="1"/>
  <c r="BD5" i="3"/>
  <c r="BT5" i="3"/>
  <c r="AZ384" i="3"/>
  <c r="AZ324" i="3"/>
  <c r="W11" i="39"/>
  <c r="AC11" i="39"/>
  <c r="AA47" i="34"/>
  <c r="AZ377" i="3"/>
  <c r="AZ361" i="3"/>
  <c r="AZ357" i="3"/>
  <c r="AZ376" i="3"/>
  <c r="AA32" i="21"/>
  <c r="D6" i="52"/>
  <c r="AB41" i="33"/>
  <c r="AA23" i="37"/>
  <c r="AC17" i="37"/>
  <c r="W31" i="21"/>
  <c r="W33" i="34"/>
  <c r="AA31" i="37"/>
  <c r="AA13" i="36"/>
  <c r="U32" i="36"/>
  <c r="AB14" i="33"/>
  <c r="W43" i="33"/>
  <c r="AA25" i="34"/>
  <c r="AA33" i="34"/>
  <c r="U35" i="40"/>
  <c r="AZ389" i="3"/>
  <c r="AB34" i="39"/>
  <c r="AB37" i="39"/>
  <c r="AB19" i="34"/>
  <c r="U19" i="34"/>
  <c r="AZ505" i="3"/>
  <c r="AZ541" i="3"/>
  <c r="AZ576" i="3"/>
  <c r="AB17" i="21"/>
  <c r="U17" i="21"/>
  <c r="H13" i="39"/>
  <c r="AC28" i="37"/>
  <c r="U13" i="35"/>
  <c r="AB13" i="35"/>
  <c r="AA45" i="33"/>
  <c r="S45" i="33"/>
  <c r="AA27" i="21"/>
  <c r="S27" i="21"/>
  <c r="AC30" i="21"/>
  <c r="W30" i="21"/>
  <c r="AB11" i="33"/>
  <c r="U11" i="33"/>
  <c r="W26" i="21"/>
  <c r="AC26" i="21"/>
  <c r="AC43" i="21"/>
  <c r="W43" i="21"/>
  <c r="B101" i="43"/>
  <c r="B79" i="43"/>
  <c r="C25" i="39"/>
  <c r="B58" i="43"/>
  <c r="H9" i="33"/>
  <c r="AB40" i="33"/>
  <c r="U40" i="33"/>
  <c r="F26" i="33"/>
  <c r="J26" i="33"/>
  <c r="H33" i="36"/>
  <c r="J33" i="36"/>
  <c r="AC33" i="36" s="1"/>
  <c r="F33" i="36"/>
  <c r="AB31" i="36"/>
  <c r="U31" i="36"/>
  <c r="W13" i="37"/>
  <c r="AC13" i="37"/>
  <c r="H45" i="39"/>
  <c r="J45" i="39"/>
  <c r="W45" i="39" s="1"/>
  <c r="F45" i="39"/>
  <c r="U42" i="34"/>
  <c r="AB42" i="34"/>
  <c r="AB31" i="35"/>
  <c r="U31" i="35"/>
  <c r="BA583" i="3"/>
  <c r="AZ583" i="3" s="1"/>
  <c r="BA582" i="3"/>
  <c r="AZ582" i="3" s="1"/>
  <c r="AB22" i="35"/>
  <c r="AA35" i="39"/>
  <c r="W27" i="35"/>
  <c r="J12" i="36"/>
  <c r="S9" i="40"/>
  <c r="AA9" i="40"/>
  <c r="J38" i="40"/>
  <c r="J31" i="40"/>
  <c r="F38" i="40"/>
  <c r="AZ443" i="3"/>
  <c r="G585" i="3"/>
  <c r="BL587" i="3"/>
  <c r="BL586" i="3"/>
  <c r="B72" i="43"/>
  <c r="C15" i="39"/>
  <c r="J39" i="37"/>
  <c r="F39" i="37"/>
  <c r="S39" i="37" s="1"/>
  <c r="BL550" i="3"/>
  <c r="S45" i="21"/>
  <c r="AB39" i="39"/>
  <c r="AA15" i="40"/>
  <c r="AA14" i="21"/>
  <c r="AA45" i="34"/>
  <c r="AZ391" i="3"/>
  <c r="AZ318" i="3"/>
  <c r="AZ364" i="3"/>
  <c r="AZ329" i="3"/>
  <c r="AZ304" i="3"/>
  <c r="AZ306" i="3"/>
  <c r="W16" i="35"/>
  <c r="U39" i="37"/>
  <c r="AZ535" i="3"/>
  <c r="BL577" i="3"/>
  <c r="AZ577" i="3" s="1"/>
  <c r="AZ557" i="3"/>
  <c r="AZ513" i="3"/>
  <c r="AZ528" i="3"/>
  <c r="AZ548" i="3"/>
  <c r="AZ566" i="3"/>
  <c r="AZ540" i="3"/>
  <c r="AZ502" i="3"/>
  <c r="J14" i="37"/>
  <c r="F14" i="37"/>
  <c r="J13" i="21"/>
  <c r="F12" i="36"/>
  <c r="F12" i="34"/>
  <c r="S12" i="34" s="1"/>
  <c r="F12" i="35"/>
  <c r="J12" i="35"/>
  <c r="AB30" i="37"/>
  <c r="U30" i="37"/>
  <c r="H44" i="39"/>
  <c r="J44" i="39"/>
  <c r="AA31" i="35"/>
  <c r="S31" i="35"/>
  <c r="AZ451" i="3"/>
  <c r="AZ400" i="3"/>
  <c r="AZ402" i="3"/>
  <c r="AZ406" i="3"/>
  <c r="BL425" i="3"/>
  <c r="BL426" i="3"/>
  <c r="BA428" i="3"/>
  <c r="BA429" i="3"/>
  <c r="G443" i="3"/>
  <c r="BA446" i="3"/>
  <c r="AZ446" i="3" s="1"/>
  <c r="BA450" i="3"/>
  <c r="AZ450" i="3" s="1"/>
  <c r="BA453" i="3"/>
  <c r="AZ453" i="3" s="1"/>
  <c r="BA455" i="3"/>
  <c r="AZ455" i="3" s="1"/>
  <c r="BL465" i="3"/>
  <c r="BA469" i="3"/>
  <c r="AZ469" i="3" s="1"/>
  <c r="BA470" i="3"/>
  <c r="BA471" i="3"/>
  <c r="BL473" i="3"/>
  <c r="AZ473" i="3" s="1"/>
  <c r="BL474" i="3"/>
  <c r="BL15" i="3"/>
  <c r="AZ15" i="3" s="1"/>
  <c r="BA398" i="3"/>
  <c r="AZ398" i="3" s="1"/>
  <c r="BA399" i="3"/>
  <c r="AZ399" i="3" s="1"/>
  <c r="BL401" i="3"/>
  <c r="BL404" i="3"/>
  <c r="BL405" i="3"/>
  <c r="BL407" i="3"/>
  <c r="AZ407" i="3" s="1"/>
  <c r="BA412" i="3"/>
  <c r="AZ412" i="3" s="1"/>
  <c r="BA414" i="3"/>
  <c r="AZ414" i="3" s="1"/>
  <c r="BA415" i="3"/>
  <c r="AZ415" i="3" s="1"/>
  <c r="BA416" i="3"/>
  <c r="AZ416" i="3" s="1"/>
  <c r="BA418" i="3"/>
  <c r="BA421" i="3"/>
  <c r="AZ421" i="3" s="1"/>
  <c r="BA423" i="3"/>
  <c r="AZ423" i="3" s="1"/>
  <c r="BA425" i="3"/>
  <c r="AZ425" i="3" s="1"/>
  <c r="BA426" i="3"/>
  <c r="BA427" i="3"/>
  <c r="AZ427" i="3" s="1"/>
  <c r="BA433" i="3"/>
  <c r="AZ433" i="3" s="1"/>
  <c r="BA435" i="3"/>
  <c r="AZ435" i="3" s="1"/>
  <c r="BL437" i="3"/>
  <c r="AZ437" i="3" s="1"/>
  <c r="G439" i="3"/>
  <c r="G440" i="3"/>
  <c r="BL441" i="3"/>
  <c r="BL442" i="3"/>
  <c r="AZ442" i="3" s="1"/>
  <c r="BL444" i="3"/>
  <c r="AZ444" i="3" s="1"/>
  <c r="G446" i="3"/>
  <c r="BL448" i="3"/>
  <c r="G450" i="3"/>
  <c r="BA454" i="3"/>
  <c r="G456" i="3"/>
  <c r="BL456" i="3"/>
  <c r="AZ456" i="3" s="1"/>
  <c r="BL467" i="3"/>
  <c r="BL468" i="3"/>
  <c r="BA482" i="3"/>
  <c r="BA401" i="3"/>
  <c r="BA403" i="3"/>
  <c r="AZ403" i="3" s="1"/>
  <c r="BA404" i="3"/>
  <c r="AZ404" i="3" s="1"/>
  <c r="BA405" i="3"/>
  <c r="AZ405" i="3" s="1"/>
  <c r="BL410" i="3"/>
  <c r="AZ410" i="3" s="1"/>
  <c r="BA422" i="3"/>
  <c r="AZ422" i="3" s="1"/>
  <c r="BL431" i="3"/>
  <c r="BL434" i="3"/>
  <c r="BL438" i="3"/>
  <c r="BL439" i="3"/>
  <c r="BA441" i="3"/>
  <c r="AZ448" i="3"/>
  <c r="AZ458" i="3"/>
  <c r="AZ462" i="3"/>
  <c r="AZ480" i="3"/>
  <c r="BA303" i="3"/>
  <c r="AZ303" i="3" s="1"/>
  <c r="BA307" i="3"/>
  <c r="AZ307" i="3" s="1"/>
  <c r="G587" i="3"/>
  <c r="BA551" i="3"/>
  <c r="AZ551" i="3" s="1"/>
  <c r="BA550" i="3"/>
  <c r="AZ550" i="3" s="1"/>
  <c r="BL548" i="3"/>
  <c r="G398" i="3"/>
  <c r="G399" i="3"/>
  <c r="BL400" i="3"/>
  <c r="BL408" i="3"/>
  <c r="AZ408" i="3" s="1"/>
  <c r="BL411" i="3"/>
  <c r="AZ411" i="3" s="1"/>
  <c r="BL413" i="3"/>
  <c r="AZ413" i="3" s="1"/>
  <c r="G415" i="3"/>
  <c r="G416" i="3"/>
  <c r="BL417" i="3"/>
  <c r="AZ417" i="3" s="1"/>
  <c r="BL418" i="3"/>
  <c r="BL420" i="3"/>
  <c r="G422" i="3"/>
  <c r="G423" i="3"/>
  <c r="BL424" i="3"/>
  <c r="AZ424" i="3" s="1"/>
  <c r="G426" i="3"/>
  <c r="G427" i="3"/>
  <c r="BL428" i="3"/>
  <c r="BL429" i="3"/>
  <c r="BL432" i="3"/>
  <c r="AZ432" i="3" s="1"/>
  <c r="BL435" i="3"/>
  <c r="BL436" i="3"/>
  <c r="BA439" i="3"/>
  <c r="BA440" i="3"/>
  <c r="AZ440" i="3" s="1"/>
  <c r="BA442" i="3"/>
  <c r="BA445" i="3"/>
  <c r="AZ445" i="3" s="1"/>
  <c r="BA447" i="3"/>
  <c r="AZ447" i="3" s="1"/>
  <c r="BA449" i="3"/>
  <c r="BL453" i="3"/>
  <c r="BL454" i="3"/>
  <c r="BL457" i="3"/>
  <c r="BL460" i="3"/>
  <c r="BL461" i="3"/>
  <c r="BA463" i="3"/>
  <c r="AZ463" i="3" s="1"/>
  <c r="BA464" i="3"/>
  <c r="BA485" i="3"/>
  <c r="AZ270"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BL250" i="3"/>
  <c r="AZ250" i="3" s="1"/>
  <c r="BL290" i="3"/>
  <c r="AZ290" i="3" s="1"/>
  <c r="BL291" i="3"/>
  <c r="AZ291" i="3" s="1"/>
  <c r="BL293" i="3"/>
  <c r="BL294" i="3"/>
  <c r="BA132" i="3"/>
  <c r="AZ132" i="3" s="1"/>
  <c r="BL135" i="3"/>
  <c r="AZ135" i="3" s="1"/>
  <c r="BA157" i="3"/>
  <c r="AZ157" i="3" s="1"/>
  <c r="BL161" i="3"/>
  <c r="BA457" i="3"/>
  <c r="AZ457" i="3" s="1"/>
  <c r="BA459" i="3"/>
  <c r="AZ459" i="3" s="1"/>
  <c r="BA460" i="3"/>
  <c r="BA461" i="3"/>
  <c r="AZ461" i="3" s="1"/>
  <c r="BL464" i="3"/>
  <c r="BL466" i="3"/>
  <c r="AZ466" i="3" s="1"/>
  <c r="G468" i="3"/>
  <c r="G469" i="3"/>
  <c r="BL476" i="3"/>
  <c r="AZ476" i="3" s="1"/>
  <c r="BL477" i="3"/>
  <c r="BL478" i="3"/>
  <c r="G479" i="3"/>
  <c r="G480" i="3"/>
  <c r="BL480" i="3"/>
  <c r="G482" i="3"/>
  <c r="BA483" i="3"/>
  <c r="BL483" i="3"/>
  <c r="AZ483" i="3" s="1"/>
  <c r="BA486" i="3"/>
  <c r="BL489" i="3"/>
  <c r="BL491" i="3"/>
  <c r="BL492" i="3"/>
  <c r="G307" i="3"/>
  <c r="BA315" i="3"/>
  <c r="AZ315" i="3" s="1"/>
  <c r="BA333" i="3"/>
  <c r="BL346" i="3"/>
  <c r="AZ346" i="3" s="1"/>
  <c r="G349" i="3"/>
  <c r="G374" i="3"/>
  <c r="BA384" i="3"/>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BL283" i="3"/>
  <c r="AZ283" i="3" s="1"/>
  <c r="BA296" i="3"/>
  <c r="BL298" i="3"/>
  <c r="BA156" i="3"/>
  <c r="AZ156" i="3" s="1"/>
  <c r="BL247" i="3"/>
  <c r="AZ247" i="3" s="1"/>
  <c r="BL260" i="3"/>
  <c r="G262" i="3"/>
  <c r="BL263" i="3"/>
  <c r="AZ263" i="3" s="1"/>
  <c r="G264" i="3"/>
  <c r="BL270" i="3"/>
  <c r="BA272" i="3"/>
  <c r="AZ272" i="3" s="1"/>
  <c r="BL275" i="3"/>
  <c r="AZ275" i="3" s="1"/>
  <c r="G277" i="3"/>
  <c r="G280" i="3"/>
  <c r="G282" i="3"/>
  <c r="BA284" i="3"/>
  <c r="AZ284" i="3" s="1"/>
  <c r="BL286" i="3"/>
  <c r="AZ286" i="3" s="1"/>
  <c r="G116" i="3"/>
  <c r="BA465" i="3"/>
  <c r="AZ465" i="3" s="1"/>
  <c r="BA467" i="3"/>
  <c r="AZ467" i="3" s="1"/>
  <c r="BA468" i="3"/>
  <c r="BL471" i="3"/>
  <c r="BL475" i="3"/>
  <c r="BA477" i="3"/>
  <c r="AZ477" i="3" s="1"/>
  <c r="BA478" i="3"/>
  <c r="BA481" i="3"/>
  <c r="G484" i="3"/>
  <c r="BA488" i="3"/>
  <c r="AZ488" i="3" s="1"/>
  <c r="BA491" i="3"/>
  <c r="BL324" i="3"/>
  <c r="BL328" i="3"/>
  <c r="G329" i="3"/>
  <c r="BA335" i="3"/>
  <c r="AZ335" i="3" s="1"/>
  <c r="BA339" i="3"/>
  <c r="AZ339" i="3" s="1"/>
  <c r="G343" i="3"/>
  <c r="G347" i="3"/>
  <c r="BA348" i="3"/>
  <c r="BA350" i="3"/>
  <c r="AZ350" i="3" s="1"/>
  <c r="BA354" i="3"/>
  <c r="BA366" i="3"/>
  <c r="AZ366" i="3" s="1"/>
  <c r="BL375" i="3"/>
  <c r="AZ375" i="3" s="1"/>
  <c r="BL385" i="3"/>
  <c r="G392" i="3"/>
  <c r="BA397" i="3"/>
  <c r="AZ397" i="3" s="1"/>
  <c r="BL397" i="3"/>
  <c r="BA210" i="3"/>
  <c r="BL210" i="3"/>
  <c r="BL212" i="3"/>
  <c r="AZ212" i="3" s="1"/>
  <c r="G214" i="3"/>
  <c r="BL214" i="3"/>
  <c r="AZ214" i="3" s="1"/>
  <c r="BL225" i="3"/>
  <c r="BL226" i="3"/>
  <c r="AZ226" i="3" s="1"/>
  <c r="BA239" i="3"/>
  <c r="AZ239" i="3" s="1"/>
  <c r="BL239" i="3"/>
  <c r="BA241" i="3"/>
  <c r="BL241" i="3"/>
  <c r="BA244" i="3"/>
  <c r="AZ244" i="3" s="1"/>
  <c r="BL244" i="3"/>
  <c r="BA246" i="3"/>
  <c r="BA252" i="3"/>
  <c r="AZ252" i="3" s="1"/>
  <c r="BA254" i="3"/>
  <c r="AZ254" i="3" s="1"/>
  <c r="BA256" i="3"/>
  <c r="BL256" i="3"/>
  <c r="BA258" i="3"/>
  <c r="AZ258" i="3" s="1"/>
  <c r="BL264" i="3"/>
  <c r="BL266" i="3"/>
  <c r="BA268" i="3"/>
  <c r="BL273" i="3"/>
  <c r="G274" i="3"/>
  <c r="BA277" i="3"/>
  <c r="BL277" i="3"/>
  <c r="BA282" i="3"/>
  <c r="AZ282" i="3" s="1"/>
  <c r="BL282" i="3"/>
  <c r="BA288" i="3"/>
  <c r="AZ125" i="3"/>
  <c r="BA133" i="3"/>
  <c r="AZ133" i="3" s="1"/>
  <c r="BL173" i="3"/>
  <c r="AZ52" i="3"/>
  <c r="V24" i="71"/>
  <c r="E23" i="71"/>
  <c r="E22" i="71" s="1"/>
  <c r="E21" i="71" s="1"/>
  <c r="E20" i="71" s="1"/>
  <c r="BL284" i="3"/>
  <c r="G285" i="3"/>
  <c r="G288" i="3"/>
  <c r="BL292" i="3"/>
  <c r="BA294" i="3"/>
  <c r="BL295" i="3"/>
  <c r="BA298" i="3"/>
  <c r="AZ298" i="3" s="1"/>
  <c r="BL301" i="3"/>
  <c r="AZ301" i="3" s="1"/>
  <c r="BL302" i="3"/>
  <c r="BA114" i="3"/>
  <c r="BL123" i="3"/>
  <c r="AZ123" i="3" s="1"/>
  <c r="BA128" i="3"/>
  <c r="AZ128" i="3" s="1"/>
  <c r="BL134" i="3"/>
  <c r="BL137" i="3"/>
  <c r="G143" i="3"/>
  <c r="BA146" i="3"/>
  <c r="AZ146" i="3" s="1"/>
  <c r="BA150" i="3"/>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BA26" i="3"/>
  <c r="G28" i="3"/>
  <c r="BL28" i="3"/>
  <c r="BA29" i="3"/>
  <c r="AZ29" i="3" s="1"/>
  <c r="BA36" i="3"/>
  <c r="BL38" i="3"/>
  <c r="BA39" i="3"/>
  <c r="AZ39" i="3" s="1"/>
  <c r="BL47" i="3"/>
  <c r="AZ47" i="3" s="1"/>
  <c r="G49" i="3"/>
  <c r="BL54" i="3"/>
  <c r="AZ54" i="3" s="1"/>
  <c r="BL55" i="3"/>
  <c r="AZ55" i="3" s="1"/>
  <c r="G57" i="3"/>
  <c r="G58" i="3"/>
  <c r="BA59" i="3"/>
  <c r="AZ59" i="3" s="1"/>
  <c r="G61" i="3"/>
  <c r="BL61" i="3"/>
  <c r="G64" i="3"/>
  <c r="BA64" i="3"/>
  <c r="BL67" i="3"/>
  <c r="AZ67" i="3" s="1"/>
  <c r="BA70" i="3"/>
  <c r="AZ70" i="3" s="1"/>
  <c r="BL74" i="3"/>
  <c r="BL79" i="3"/>
  <c r="BL93" i="3"/>
  <c r="BA109" i="3"/>
  <c r="B13" i="1"/>
  <c r="E13" i="1" s="1"/>
  <c r="K13" i="1"/>
  <c r="M13" i="1" s="1"/>
  <c r="O13" i="1" s="1"/>
  <c r="P13" i="1" s="1"/>
  <c r="C44" i="71"/>
  <c r="D43" i="71"/>
  <c r="C52" i="71"/>
  <c r="D51" i="71"/>
  <c r="BL299" i="3"/>
  <c r="BL113" i="3"/>
  <c r="BL115" i="3"/>
  <c r="AZ115" i="3" s="1"/>
  <c r="BA118" i="3"/>
  <c r="BL118" i="3"/>
  <c r="BA122" i="3"/>
  <c r="AZ122" i="3" s="1"/>
  <c r="BL125" i="3"/>
  <c r="BL126" i="3"/>
  <c r="AZ126" i="3" s="1"/>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AZ190" i="3" s="1"/>
  <c r="BA192" i="3"/>
  <c r="AZ192" i="3" s="1"/>
  <c r="BL197" i="3"/>
  <c r="AZ197" i="3" s="1"/>
  <c r="BL199" i="3"/>
  <c r="AZ199" i="3" s="1"/>
  <c r="BA200" i="3"/>
  <c r="AZ200" i="3" s="1"/>
  <c r="BA202" i="3"/>
  <c r="BL207" i="3"/>
  <c r="BL18" i="3"/>
  <c r="AZ18" i="3" s="1"/>
  <c r="BL19" i="3"/>
  <c r="BA20" i="3"/>
  <c r="BL25" i="3"/>
  <c r="BL27" i="3"/>
  <c r="BA28" i="3"/>
  <c r="AZ28" i="3" s="1"/>
  <c r="BA31" i="3"/>
  <c r="BA32" i="3"/>
  <c r="BA38" i="3"/>
  <c r="BA41" i="3"/>
  <c r="BA42" i="3"/>
  <c r="BA51" i="3"/>
  <c r="BL56" i="3"/>
  <c r="BA58" i="3"/>
  <c r="AZ58" i="3" s="1"/>
  <c r="BL59" i="3"/>
  <c r="BL60" i="3"/>
  <c r="BA61" i="3"/>
  <c r="AZ61" i="3" s="1"/>
  <c r="BL65" i="3"/>
  <c r="AZ65" i="3" s="1"/>
  <c r="BL66" i="3"/>
  <c r="BL72" i="3"/>
  <c r="AZ72" i="3" s="1"/>
  <c r="C47" i="71"/>
  <c r="D47" i="71" s="1"/>
  <c r="D46" i="71"/>
  <c r="BA297" i="3"/>
  <c r="AZ297" i="3" s="1"/>
  <c r="BL297" i="3"/>
  <c r="BL300" i="3"/>
  <c r="BA302" i="3"/>
  <c r="AZ302" i="3" s="1"/>
  <c r="G115" i="3"/>
  <c r="BA117" i="3"/>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AZ40" i="3" s="1"/>
  <c r="BL41" i="3"/>
  <c r="BL45" i="3"/>
  <c r="BA48" i="3"/>
  <c r="BA49" i="3"/>
  <c r="BL64" i="3"/>
  <c r="G65" i="3"/>
  <c r="AZ103" i="3"/>
  <c r="D31" i="71"/>
  <c r="C32" i="71"/>
  <c r="C55" i="71"/>
  <c r="D54" i="71"/>
  <c r="N67" i="71"/>
  <c r="B66" i="71"/>
  <c r="F66" i="71"/>
  <c r="Q67" i="71"/>
  <c r="G67" i="3"/>
  <c r="BL68" i="3"/>
  <c r="AZ68" i="3" s="1"/>
  <c r="BA69" i="3"/>
  <c r="AZ69" i="3" s="1"/>
  <c r="G72" i="3"/>
  <c r="BL73" i="3"/>
  <c r="BA74" i="3"/>
  <c r="AZ74" i="3" s="1"/>
  <c r="BA75" i="3"/>
  <c r="G81" i="3"/>
  <c r="G85" i="3"/>
  <c r="BL85" i="3"/>
  <c r="BA86" i="3"/>
  <c r="AZ86" i="3" s="1"/>
  <c r="BA87" i="3"/>
  <c r="BA91" i="3"/>
  <c r="AZ91" i="3" s="1"/>
  <c r="G96" i="3"/>
  <c r="BL97" i="3"/>
  <c r="AZ97" i="3" s="1"/>
  <c r="BL101" i="3"/>
  <c r="BL102" i="3"/>
  <c r="G104" i="3"/>
  <c r="G105" i="3"/>
  <c r="BL106" i="3"/>
  <c r="BA108" i="3"/>
  <c r="AZ108" i="3" s="1"/>
  <c r="BA110" i="3"/>
  <c r="AZ110" i="3" s="1"/>
  <c r="F3" i="35"/>
  <c r="S21" i="37"/>
  <c r="B77" i="43"/>
  <c r="O67" i="71"/>
  <c r="AA28" i="71"/>
  <c r="AB27" i="71"/>
  <c r="E75" i="71"/>
  <c r="E74" i="71" s="1"/>
  <c r="AB25" i="71"/>
  <c r="X26" i="71"/>
  <c r="Y25" i="71"/>
  <c r="Z25" i="71" s="1"/>
  <c r="X38" i="71"/>
  <c r="C35" i="71"/>
  <c r="E38" i="71"/>
  <c r="E39" i="71" s="1"/>
  <c r="E40" i="71" s="1"/>
  <c r="U40" i="71" s="1"/>
  <c r="B34" i="71"/>
  <c r="B35" i="71" s="1"/>
  <c r="B36" i="71" s="1"/>
  <c r="S36" i="71" s="1"/>
  <c r="AB32" i="71"/>
  <c r="X33" i="71"/>
  <c r="AB37"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A45" i="3"/>
  <c r="AZ45" i="3" s="1"/>
  <c r="BA46" i="3"/>
  <c r="BL49" i="3"/>
  <c r="BL50" i="3"/>
  <c r="AZ50" i="3" s="1"/>
  <c r="BL51" i="3"/>
  <c r="G53" i="3"/>
  <c r="BL53" i="3"/>
  <c r="AZ53" i="3" s="1"/>
  <c r="BA56" i="3"/>
  <c r="AZ56" i="3" s="1"/>
  <c r="BA57" i="3"/>
  <c r="AZ57" i="3" s="1"/>
  <c r="BL58" i="3"/>
  <c r="G60" i="3"/>
  <c r="BA60" i="3"/>
  <c r="BA63" i="3"/>
  <c r="AZ63" i="3" s="1"/>
  <c r="BA66" i="3"/>
  <c r="AZ66" i="3" s="1"/>
  <c r="BA71" i="3"/>
  <c r="AZ71" i="3" s="1"/>
  <c r="G76" i="3"/>
  <c r="BL77" i="3"/>
  <c r="AZ77" i="3" s="1"/>
  <c r="BA79" i="3"/>
  <c r="G82" i="3"/>
  <c r="G83" i="3"/>
  <c r="BA84" i="3"/>
  <c r="AZ84" i="3" s="1"/>
  <c r="BL88" i="3"/>
  <c r="AZ88" i="3" s="1"/>
  <c r="G90" i="3"/>
  <c r="BL90" i="3"/>
  <c r="AZ90" i="3" s="1"/>
  <c r="BL92" i="3"/>
  <c r="G101" i="3"/>
  <c r="BA101" i="3"/>
  <c r="AZ101" i="3" s="1"/>
  <c r="G108" i="3"/>
  <c r="G109" i="3"/>
  <c r="BL112" i="3"/>
  <c r="W18" i="35"/>
  <c r="AB21" i="33"/>
  <c r="U25" i="40"/>
  <c r="S21" i="34"/>
  <c r="B68" i="43"/>
  <c r="B88" i="43"/>
  <c r="BL75" i="3"/>
  <c r="BL81" i="3"/>
  <c r="BA82" i="3"/>
  <c r="AZ82" i="3" s="1"/>
  <c r="BL83" i="3"/>
  <c r="BA90" i="3"/>
  <c r="BL94" i="3"/>
  <c r="AZ94" i="3" s="1"/>
  <c r="BA100" i="3"/>
  <c r="AZ100" i="3" s="1"/>
  <c r="BA102" i="3"/>
  <c r="AZ102" i="3" s="1"/>
  <c r="BL105" i="3"/>
  <c r="AZ105" i="3" s="1"/>
  <c r="BL107" i="3"/>
  <c r="BA111" i="3"/>
  <c r="AZ111" i="3" s="1"/>
  <c r="AC21" i="37"/>
  <c r="U21" i="34"/>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31" i="3"/>
  <c r="AZ439" i="3"/>
  <c r="AZ449" i="3"/>
  <c r="AZ452" i="3"/>
  <c r="AZ468" i="3"/>
  <c r="AZ470" i="3"/>
  <c r="W35" i="39"/>
  <c r="F27" i="34"/>
  <c r="C21" i="39"/>
  <c r="U9" i="36"/>
  <c r="U14" i="37"/>
  <c r="H12" i="21"/>
  <c r="G526" i="3"/>
  <c r="AZ420" i="3"/>
  <c r="AZ434" i="3"/>
  <c r="AZ436" i="3"/>
  <c r="AZ438" i="3"/>
  <c r="G28" i="6"/>
  <c r="G30" i="6" s="1"/>
  <c r="G31" i="6" s="1"/>
  <c r="U26" i="21"/>
  <c r="W36" i="39"/>
  <c r="U23" i="40"/>
  <c r="AA39" i="37"/>
  <c r="AC16" i="36"/>
  <c r="AB12" i="33"/>
  <c r="C27" i="39"/>
  <c r="U40" i="40"/>
  <c r="AC9" i="40"/>
  <c r="W36" i="35"/>
  <c r="J12" i="21"/>
  <c r="B73" i="43"/>
  <c r="B76" i="43"/>
  <c r="F9" i="36"/>
  <c r="J40" i="40"/>
  <c r="G562" i="3"/>
  <c r="AZ426" i="3"/>
  <c r="AZ489" i="3"/>
  <c r="AZ385" i="3"/>
  <c r="AZ220" i="3"/>
  <c r="AZ231" i="3"/>
  <c r="AZ255" i="3"/>
  <c r="AZ276"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G378" i="3"/>
  <c r="G395" i="3"/>
  <c r="G208" i="3"/>
  <c r="G211" i="3"/>
  <c r="BA213" i="3"/>
  <c r="AZ213" i="3" s="1"/>
  <c r="BA215" i="3"/>
  <c r="AZ215" i="3" s="1"/>
  <c r="G219" i="3"/>
  <c r="AZ221" i="3"/>
  <c r="AZ225" i="3"/>
  <c r="G230" i="3"/>
  <c r="BA232" i="3"/>
  <c r="AZ232" i="3" s="1"/>
  <c r="BA234" i="3"/>
  <c r="AZ234" i="3" s="1"/>
  <c r="AZ236" i="3"/>
  <c r="G248" i="3"/>
  <c r="AZ260" i="3"/>
  <c r="BL268" i="3"/>
  <c r="AZ268" i="3" s="1"/>
  <c r="G278" i="3"/>
  <c r="BA474" i="3"/>
  <c r="BA475" i="3"/>
  <c r="BL481" i="3"/>
  <c r="AZ481" i="3" s="1"/>
  <c r="BL482" i="3"/>
  <c r="AZ482" i="3" s="1"/>
  <c r="G483" i="3"/>
  <c r="BL485" i="3"/>
  <c r="AZ485" i="3" s="1"/>
  <c r="BL486" i="3"/>
  <c r="AZ486" i="3" s="1"/>
  <c r="G487" i="3"/>
  <c r="BA492" i="3"/>
  <c r="BL363" i="3"/>
  <c r="AZ363" i="3" s="1"/>
  <c r="G369" i="3"/>
  <c r="BL393" i="3"/>
  <c r="AZ393" i="3" s="1"/>
  <c r="BL396" i="3"/>
  <c r="AZ396" i="3" s="1"/>
  <c r="BL209" i="3"/>
  <c r="AZ209" i="3" s="1"/>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153" i="3"/>
  <c r="AZ134" i="3"/>
  <c r="AZ207" i="3"/>
  <c r="BA289" i="3"/>
  <c r="AZ289" i="3" s="1"/>
  <c r="G293" i="3"/>
  <c r="G296" i="3"/>
  <c r="BL296" i="3"/>
  <c r="G301" i="3"/>
  <c r="G114" i="3"/>
  <c r="BL114" i="3"/>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85" i="3"/>
  <c r="AZ193" i="3"/>
  <c r="AZ87" i="3"/>
  <c r="BL202" i="3"/>
  <c r="AZ202" i="3" s="1"/>
  <c r="AZ30" i="3"/>
  <c r="BL36" i="3"/>
  <c r="AZ36" i="3" s="1"/>
  <c r="AZ4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60" i="3"/>
  <c r="BA206" i="3"/>
  <c r="AZ206" i="3" s="1"/>
  <c r="BL22" i="3"/>
  <c r="AZ22" i="3" s="1"/>
  <c r="BL33" i="3"/>
  <c r="AZ33" i="3" s="1"/>
  <c r="BL43" i="3"/>
  <c r="AZ43" i="3" s="1"/>
  <c r="BL46" i="3"/>
  <c r="AZ46" i="3" s="1"/>
  <c r="AZ92" i="3"/>
  <c r="BL78" i="3"/>
  <c r="AZ78" i="3" s="1"/>
  <c r="BA83" i="3"/>
  <c r="G91" i="3"/>
  <c r="BL95" i="3"/>
  <c r="AZ95" i="3" s="1"/>
  <c r="BL98" i="3"/>
  <c r="AZ98" i="3" s="1"/>
  <c r="BL109" i="3"/>
  <c r="AZ109" i="3" s="1"/>
  <c r="AB21" i="21"/>
  <c r="G77" i="3"/>
  <c r="BA81" i="3"/>
  <c r="AZ81" i="3" s="1"/>
  <c r="BA85" i="3"/>
  <c r="BL89" i="3"/>
  <c r="AZ89" i="3" s="1"/>
  <c r="G94" i="3"/>
  <c r="G97" i="3"/>
  <c r="G100" i="3"/>
  <c r="BA107" i="3"/>
  <c r="AZ107" i="3" s="1"/>
  <c r="BA112" i="3"/>
  <c r="AZ112" i="3" s="1"/>
  <c r="AC21" i="34"/>
  <c r="E27" i="71"/>
  <c r="E26" i="71" s="1"/>
  <c r="V28" i="71"/>
  <c r="BA76" i="3"/>
  <c r="AZ76" i="3" s="1"/>
  <c r="BL80" i="3"/>
  <c r="AZ80" i="3" s="1"/>
  <c r="BL87" i="3"/>
  <c r="BA93" i="3"/>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C31" i="12" s="1"/>
  <c r="I4" i="6"/>
  <c r="G3" i="43" s="1"/>
  <c r="F26" i="43" s="1"/>
  <c r="E29" i="6"/>
  <c r="K15" i="1" s="1"/>
  <c r="F30"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0"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M7" i="15"/>
  <c r="F50" i="15"/>
  <c r="F51" i="15"/>
  <c r="C6" i="15"/>
  <c r="F66" i="67"/>
  <c r="L59" i="15"/>
  <c r="N59" i="15"/>
  <c r="L58" i="15"/>
  <c r="M59" i="15"/>
  <c r="F64" i="15"/>
  <c r="F65" i="15"/>
  <c r="B13" i="70"/>
  <c r="M7" i="67"/>
  <c r="F50" i="67"/>
  <c r="F64" i="67"/>
  <c r="F68" i="15"/>
  <c r="C36" i="68"/>
  <c r="D9" i="69"/>
  <c r="C36" i="69"/>
  <c r="D9" i="68"/>
  <c r="F16" i="15"/>
  <c r="M28" i="67"/>
  <c r="M26" i="67"/>
  <c r="M24" i="67"/>
  <c r="L48" i="67"/>
  <c r="M8" i="15"/>
  <c r="F13" i="67"/>
  <c r="D6" i="73"/>
  <c r="F8" i="67"/>
  <c r="F38" i="15"/>
  <c r="F42" i="15"/>
  <c r="D3" i="73"/>
  <c r="F26" i="15"/>
  <c r="D4" i="73"/>
  <c r="F13" i="15"/>
  <c r="C76" i="67"/>
  <c r="J15" i="67"/>
  <c r="M9" i="67"/>
  <c r="F40" i="67"/>
  <c r="M8" i="67"/>
  <c r="D5" i="73"/>
  <c r="L47" i="67"/>
  <c r="F16" i="67"/>
  <c r="F42" i="67"/>
  <c r="F43" i="67"/>
  <c r="F37" i="67"/>
  <c r="D7" i="73"/>
  <c r="F26" i="67"/>
  <c r="F43" i="15"/>
  <c r="M9" i="15"/>
  <c r="S43" i="34" l="1"/>
  <c r="AC23" i="34"/>
  <c r="S9" i="34"/>
  <c r="AZ31" i="3"/>
  <c r="AZ25" i="3"/>
  <c r="G5" i="3"/>
  <c r="B3" i="3" s="1"/>
  <c r="G26" i="43"/>
  <c r="E26" i="43"/>
  <c r="H26" i="43"/>
  <c r="N94" i="46"/>
  <c r="J26" i="43"/>
  <c r="Q16" i="1"/>
  <c r="F27" i="69" s="1"/>
  <c r="C47" i="69" s="1"/>
  <c r="D45" i="69" s="1"/>
  <c r="N370" i="46"/>
  <c r="J7" i="36"/>
  <c r="F68" i="67"/>
  <c r="M59" i="67"/>
  <c r="N59" i="67"/>
  <c r="L59" i="67"/>
  <c r="Q61" i="67" s="1"/>
  <c r="L58" i="67"/>
  <c r="Q60" i="67" s="1"/>
  <c r="I54" i="67"/>
  <c r="L56" i="67"/>
  <c r="J53" i="67"/>
  <c r="F1" i="67" s="1"/>
  <c r="J57" i="67"/>
  <c r="J55" i="67" s="1"/>
  <c r="J58" i="67" s="1"/>
  <c r="Q50" i="67" s="1"/>
  <c r="F71" i="15"/>
  <c r="F66" i="15"/>
  <c r="Q71" i="67"/>
  <c r="C27" i="67"/>
  <c r="C6" i="67"/>
  <c r="C32" i="67" s="1"/>
  <c r="F51" i="67"/>
  <c r="C49" i="67" s="1"/>
  <c r="F31" i="67"/>
  <c r="F65" i="67"/>
  <c r="C27" i="15"/>
  <c r="F71" i="67"/>
  <c r="E63" i="39"/>
  <c r="E59" i="40"/>
  <c r="T28" i="71"/>
  <c r="D28" i="71"/>
  <c r="U28" i="71" s="1"/>
  <c r="C27" i="71"/>
  <c r="D79" i="71"/>
  <c r="C78" i="71"/>
  <c r="D78" i="71" s="1"/>
  <c r="AZ49" i="3"/>
  <c r="AZ130" i="3"/>
  <c r="AZ27" i="3"/>
  <c r="AZ118" i="3"/>
  <c r="AZ64" i="3"/>
  <c r="AZ38" i="3"/>
  <c r="AZ241" i="3"/>
  <c r="AZ273" i="3"/>
  <c r="AZ401" i="3"/>
  <c r="AZ428" i="3"/>
  <c r="AC44" i="39"/>
  <c r="W44" i="39"/>
  <c r="W12" i="35"/>
  <c r="AC12" i="35"/>
  <c r="AC13" i="21"/>
  <c r="W13" i="21"/>
  <c r="AC38" i="40"/>
  <c r="W38" i="40"/>
  <c r="AA33" i="36"/>
  <c r="S33" i="36"/>
  <c r="AA26" i="33"/>
  <c r="S26" i="33"/>
  <c r="AC9" i="34"/>
  <c r="W9" i="34"/>
  <c r="AC25" i="37"/>
  <c r="W25" i="37"/>
  <c r="AC9" i="33"/>
  <c r="W9" i="33"/>
  <c r="AZ586" i="3"/>
  <c r="AZ418" i="3"/>
  <c r="W12" i="36"/>
  <c r="AC12" i="36"/>
  <c r="W27" i="21"/>
  <c r="AC27" i="21"/>
  <c r="P6" i="1"/>
  <c r="C13" i="12" s="1"/>
  <c r="E11" i="6"/>
  <c r="E60" i="39" s="1"/>
  <c r="C30" i="68"/>
  <c r="D20" i="53"/>
  <c r="B40" i="72" s="1"/>
  <c r="H16" i="1"/>
  <c r="E15" i="6"/>
  <c r="E64" i="39" s="1"/>
  <c r="C48" i="68"/>
  <c r="E28" i="6"/>
  <c r="K14" i="1" s="1"/>
  <c r="K16" i="1" s="1"/>
  <c r="AZ85" i="3"/>
  <c r="AZ83" i="3"/>
  <c r="AZ299" i="3"/>
  <c r="AZ296" i="3"/>
  <c r="AZ475" i="3"/>
  <c r="AZ354" i="3"/>
  <c r="AZ79" i="3"/>
  <c r="D83" i="71"/>
  <c r="C82" i="71"/>
  <c r="D82" i="71" s="1"/>
  <c r="O65" i="71"/>
  <c r="D66" i="71"/>
  <c r="O66" i="71"/>
  <c r="AZ19" i="3"/>
  <c r="AZ182" i="3"/>
  <c r="AZ51" i="3"/>
  <c r="T52" i="71"/>
  <c r="D52" i="71"/>
  <c r="AZ150" i="3"/>
  <c r="AZ294" i="3"/>
  <c r="AZ277" i="3"/>
  <c r="AZ256" i="3"/>
  <c r="AZ210" i="3"/>
  <c r="AZ460" i="3"/>
  <c r="AZ471" i="3"/>
  <c r="U44" i="39"/>
  <c r="AB44" i="39"/>
  <c r="S14" i="37"/>
  <c r="AA14" i="37"/>
  <c r="AA45" i="39"/>
  <c r="S45" i="39"/>
  <c r="S25" i="36"/>
  <c r="AA25" i="36"/>
  <c r="AA25" i="37"/>
  <c r="S25" i="37"/>
  <c r="W13" i="39"/>
  <c r="AC13" i="39"/>
  <c r="C70" i="71"/>
  <c r="D70" i="71" s="1"/>
  <c r="D71" i="71"/>
  <c r="C36" i="71"/>
  <c r="D35" i="71"/>
  <c r="N65" i="71"/>
  <c r="N66" i="71"/>
  <c r="T32" i="71"/>
  <c r="D32" i="71"/>
  <c r="AZ41" i="3"/>
  <c r="D44" i="71"/>
  <c r="T44" i="71"/>
  <c r="AZ464" i="3"/>
  <c r="AZ429" i="3"/>
  <c r="S12" i="36"/>
  <c r="AA12" i="36"/>
  <c r="AC31" i="40"/>
  <c r="W31" i="40"/>
  <c r="AB45" i="39"/>
  <c r="U45" i="39"/>
  <c r="AC26" i="33"/>
  <c r="W26" i="33"/>
  <c r="AB9" i="33"/>
  <c r="U9" i="33"/>
  <c r="U13" i="39"/>
  <c r="AB13" i="39"/>
  <c r="AC24" i="35"/>
  <c r="W24" i="35"/>
  <c r="J6" i="67"/>
  <c r="J18" i="67" s="1"/>
  <c r="AZ93" i="3"/>
  <c r="J6" i="15"/>
  <c r="J18" i="15" s="1"/>
  <c r="B20" i="31"/>
  <c r="B21" i="31" s="1"/>
  <c r="D17" i="53"/>
  <c r="B36" i="72" s="1"/>
  <c r="E13" i="6"/>
  <c r="E62" i="39" s="1"/>
  <c r="E12" i="6"/>
  <c r="E57" i="40" s="1"/>
  <c r="AZ170" i="3"/>
  <c r="AZ114" i="3"/>
  <c r="AZ492" i="3"/>
  <c r="AZ474" i="3"/>
  <c r="AZ333" i="3"/>
  <c r="C40" i="71"/>
  <c r="D39" i="71"/>
  <c r="AZ75" i="3"/>
  <c r="C56" i="71"/>
  <c r="D55" i="71"/>
  <c r="AZ137" i="3"/>
  <c r="AZ20" i="3"/>
  <c r="AZ491" i="3"/>
  <c r="AZ441" i="3"/>
  <c r="AZ454" i="3"/>
  <c r="AC39" i="37"/>
  <c r="W39" i="37"/>
  <c r="S38" i="40"/>
  <c r="AA38" i="40"/>
  <c r="AB33" i="36"/>
  <c r="U33" i="36"/>
  <c r="AA24" i="35"/>
  <c r="S24" i="35"/>
  <c r="U27" i="21"/>
  <c r="AB27" i="21"/>
  <c r="U25" i="37"/>
  <c r="AB25" i="37"/>
  <c r="AZ585" i="3"/>
  <c r="AA13" i="39"/>
  <c r="S13" i="39"/>
  <c r="G16" i="1"/>
  <c r="F10" i="39" s="1"/>
  <c r="S10" i="39"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C9" i="69"/>
  <c r="C9" i="68"/>
  <c r="E72" i="43"/>
  <c r="B70" i="43" s="1"/>
  <c r="F27" i="11"/>
  <c r="C29" i="11" s="1"/>
  <c r="D27" i="11" s="1"/>
  <c r="F28" i="12"/>
  <c r="C29" i="12" s="1"/>
  <c r="D28" i="12" s="1"/>
  <c r="F31" i="6"/>
  <c r="E51" i="40"/>
  <c r="E58" i="40"/>
  <c r="D5" i="43"/>
  <c r="J10" i="40"/>
  <c r="AC10" i="40" s="1"/>
  <c r="D26" i="43"/>
  <c r="C25" i="43" s="1"/>
  <c r="C7" i="43"/>
  <c r="C5" i="43" s="1"/>
  <c r="D10" i="52"/>
  <c r="D125" i="9"/>
  <c r="D11" i="52" s="1"/>
  <c r="B7" i="74"/>
  <c r="C7" i="74" s="1"/>
  <c r="F67" i="39"/>
  <c r="F59" i="67"/>
  <c r="H7" i="37"/>
  <c r="AB7" i="37" s="1"/>
  <c r="T42" i="37" s="1"/>
  <c r="G42" i="37" s="1"/>
  <c r="H7" i="33"/>
  <c r="J7" i="33"/>
  <c r="D65" i="40"/>
  <c r="E63" i="40"/>
  <c r="F48" i="35"/>
  <c r="S7" i="36"/>
  <c r="W7" i="37"/>
  <c r="F7" i="33"/>
  <c r="E58" i="21"/>
  <c r="AC7" i="36"/>
  <c r="W7" i="36"/>
  <c r="F7" i="37"/>
  <c r="M17" i="67"/>
  <c r="M17" i="15"/>
  <c r="F59" i="15"/>
  <c r="P28" i="43"/>
  <c r="B66" i="40" s="1"/>
  <c r="P25" i="43"/>
  <c r="P29" i="43"/>
  <c r="P27" i="43"/>
  <c r="B70" i="39" s="1"/>
  <c r="C49" i="15"/>
  <c r="M11" i="67"/>
  <c r="J10" i="67" s="1"/>
  <c r="F11" i="15"/>
  <c r="M11" i="15"/>
  <c r="J10" i="15" s="1"/>
  <c r="F11" i="67"/>
  <c r="F1" i="15"/>
  <c r="Q52" i="15"/>
  <c r="C32" i="15"/>
  <c r="Q60" i="15"/>
  <c r="Q73" i="15"/>
  <c r="Q74" i="15"/>
  <c r="Q61" i="15"/>
  <c r="AE11" i="1"/>
  <c r="AE9" i="1"/>
  <c r="F27" i="68"/>
  <c r="AE7" i="1"/>
  <c r="AE8" i="1"/>
  <c r="AE12" i="1"/>
  <c r="AE10" i="1"/>
  <c r="G1" i="73"/>
  <c r="F41" i="67"/>
  <c r="C16" i="15"/>
  <c r="AE6" i="1"/>
  <c r="C16" i="67"/>
  <c r="F45" i="69" l="1"/>
  <c r="C29" i="69"/>
  <c r="D27" i="69" s="1"/>
  <c r="H10" i="40"/>
  <c r="AB10" i="40" s="1"/>
  <c r="E30" i="6"/>
  <c r="AZ5" i="3"/>
  <c r="AY6" i="3" s="1"/>
  <c r="H6" i="3"/>
  <c r="AC6" i="3"/>
  <c r="J5" i="67"/>
  <c r="J24" i="67" s="1"/>
  <c r="Q52" i="67"/>
  <c r="M14" i="1"/>
  <c r="Q73" i="67"/>
  <c r="J10" i="39"/>
  <c r="W10" i="39" s="1"/>
  <c r="AA10" i="39"/>
  <c r="F10" i="40"/>
  <c r="S10" i="40" s="1"/>
  <c r="H10" i="39"/>
  <c r="U10" i="39" s="1"/>
  <c r="Q74" i="67"/>
  <c r="J5" i="15"/>
  <c r="J24" i="15" s="1"/>
  <c r="E60" i="40"/>
  <c r="R36" i="36"/>
  <c r="T40" i="71"/>
  <c r="D40" i="71"/>
  <c r="C26" i="71"/>
  <c r="D26" i="71" s="1"/>
  <c r="D27" i="71"/>
  <c r="U7" i="36"/>
  <c r="E16" i="6"/>
  <c r="E56" i="40"/>
  <c r="V36" i="36"/>
  <c r="I36" i="36" s="1"/>
  <c r="E61" i="39"/>
  <c r="E65" i="39" s="1"/>
  <c r="D56" i="71"/>
  <c r="T56" i="71"/>
  <c r="T36" i="71"/>
  <c r="D36" i="71"/>
  <c r="B40" i="1"/>
  <c r="L36" i="43" s="1"/>
  <c r="L37" i="43" s="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23" i="3"/>
  <c r="AY155" i="3"/>
  <c r="AY188" i="3"/>
  <c r="AY276" i="3"/>
  <c r="AY168" i="3"/>
  <c r="AY366" i="3"/>
  <c r="AY103" i="3"/>
  <c r="AY196" i="3"/>
  <c r="AY183" i="3"/>
  <c r="AY204" i="3"/>
  <c r="AY209" i="3"/>
  <c r="AY473" i="3"/>
  <c r="AY460" i="3"/>
  <c r="AY441" i="3"/>
  <c r="AY26" i="3"/>
  <c r="AY300" i="3"/>
  <c r="AY260"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9" i="43"/>
  <c r="C42" i="43"/>
  <c r="E42" i="43" s="1"/>
  <c r="C38" i="43"/>
  <c r="AB10" i="39"/>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M27" i="15"/>
  <c r="F41" i="15"/>
  <c r="M27" i="67"/>
  <c r="R50" i="34" l="1"/>
  <c r="I53" i="34"/>
  <c r="J53" i="34" s="1"/>
  <c r="AA10" i="40"/>
  <c r="AY87" i="3"/>
  <c r="AY66" i="3"/>
  <c r="AY124" i="3"/>
  <c r="AY131" i="3"/>
  <c r="AY268" i="3"/>
  <c r="AY335" i="3"/>
  <c r="AY160" i="3"/>
  <c r="AY261"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07" i="3"/>
  <c r="AY42" i="3"/>
  <c r="AY58" i="3"/>
  <c r="AY225" i="3"/>
  <c r="AY50" i="3"/>
  <c r="AY74" i="3"/>
  <c r="AY284"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543" i="3"/>
  <c r="AY582" i="3"/>
  <c r="AY65" i="3"/>
  <c r="AY194" i="3"/>
  <c r="AY217" i="3"/>
  <c r="AY529" i="3"/>
  <c r="AY319" i="3"/>
  <c r="AY289" i="3"/>
  <c r="AY236" i="3"/>
  <c r="AY115" i="3"/>
  <c r="E3" i="6"/>
  <c r="AY252" i="3"/>
  <c r="AY123" i="3"/>
  <c r="AY139" i="3"/>
  <c r="AY67" i="3"/>
  <c r="AY371" i="3"/>
  <c r="AY297" i="3"/>
  <c r="AY281" i="3"/>
  <c r="AY59" i="3"/>
  <c r="AY176" i="3"/>
  <c r="AY51" i="3"/>
  <c r="AY83" i="3"/>
  <c r="AY303" i="3"/>
  <c r="AY382" i="3"/>
  <c r="AY253" i="3"/>
  <c r="AY111" i="3"/>
  <c r="AY152" i="3"/>
  <c r="AY95" i="3"/>
  <c r="AY144" i="3"/>
  <c r="AY34" i="3"/>
  <c r="F25" i="12"/>
  <c r="C26" i="12" s="1"/>
  <c r="D25" i="12" s="1"/>
  <c r="D116" i="43"/>
  <c r="F22" i="68"/>
  <c r="C44" i="68" s="1"/>
  <c r="D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5" i="6"/>
  <c r="D15" i="6"/>
  <c r="D22" i="6"/>
  <c r="D21" i="6"/>
  <c r="D24" i="6"/>
  <c r="D20" i="6"/>
  <c r="M19" i="9"/>
  <c r="C118" i="9" s="1"/>
  <c r="B2" i="74" s="1"/>
  <c r="D26" i="6"/>
  <c r="D8" i="6"/>
  <c r="D14"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34" i="69"/>
  <c r="C17" i="67"/>
  <c r="C17" i="15"/>
  <c r="C14" i="67"/>
  <c r="E53" i="34" l="1"/>
  <c r="F53" i="34" s="1"/>
  <c r="H25" i="6"/>
  <c r="C44" i="11"/>
  <c r="D41" i="11" s="1"/>
  <c r="D14" i="12"/>
  <c r="D17" i="12" s="1"/>
  <c r="C17" i="12" s="1"/>
  <c r="L18" i="9"/>
  <c r="D3" i="21"/>
  <c r="M18" i="9"/>
  <c r="B118" i="9" s="1"/>
  <c r="B1" i="74" s="1"/>
  <c r="C17" i="4"/>
  <c r="B4" i="52" s="1"/>
  <c r="B43" i="72" s="1"/>
  <c r="E6" i="6"/>
  <c r="D3" i="34"/>
  <c r="D3" i="33"/>
  <c r="D37" i="11"/>
  <c r="D19" i="11"/>
  <c r="C19" i="11" s="1"/>
  <c r="C20" i="11" s="1"/>
  <c r="C28" i="11" s="1"/>
  <c r="C27" i="11" s="1"/>
  <c r="D3" i="37"/>
  <c r="C26" i="68"/>
  <c r="D22" i="68" s="1"/>
  <c r="F41" i="68"/>
  <c r="C23" i="68"/>
  <c r="C26" i="11"/>
  <c r="D22" i="11" s="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F50" i="69"/>
  <c r="F50" i="11"/>
  <c r="F50" i="68"/>
  <c r="C4" i="52"/>
  <c r="B45" i="72" s="1"/>
  <c r="A10" i="51"/>
  <c r="B9" i="72" s="1"/>
  <c r="A7" i="51"/>
  <c r="B7" i="72" s="1"/>
  <c r="R25" i="6"/>
  <c r="R12" i="1" s="1"/>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5" i="11" l="1"/>
  <c r="C22" i="11" s="1"/>
  <c r="C31" i="11" s="1"/>
  <c r="D10" i="68"/>
  <c r="D10" i="11"/>
  <c r="C10" i="11" s="1"/>
  <c r="D6" i="6"/>
  <c r="D20" i="12"/>
  <c r="C20" i="12" s="1"/>
  <c r="C18" i="12" s="1"/>
  <c r="D10" i="69"/>
  <c r="C15" i="71"/>
  <c r="T16" i="71"/>
  <c r="D16" i="71"/>
  <c r="U16" i="71" s="1"/>
  <c r="C19" i="67"/>
  <c r="C20" i="67" s="1"/>
  <c r="C26" i="67" s="1"/>
  <c r="T16" i="1"/>
  <c r="C18" i="15"/>
  <c r="C15" i="15"/>
  <c r="C38" i="68"/>
  <c r="C35" i="68"/>
  <c r="C36" i="11"/>
  <c r="C37" i="11"/>
  <c r="C34" i="11"/>
  <c r="C23" i="12"/>
  <c r="C14" i="12"/>
  <c r="C16" i="12" s="1"/>
  <c r="H19" i="6"/>
  <c r="S19" i="6"/>
  <c r="S27" i="6" s="1"/>
  <c r="I27" i="6"/>
  <c r="I5" i="6"/>
  <c r="I6" i="6"/>
  <c r="E2" i="76"/>
  <c r="B2" i="76"/>
  <c r="I69" i="39"/>
  <c r="J67" i="39"/>
  <c r="I63" i="40"/>
  <c r="H65" i="40"/>
  <c r="I58" i="21"/>
  <c r="J58" i="21" s="1"/>
  <c r="K58" i="21" s="1"/>
  <c r="L58" i="21" s="1"/>
  <c r="M58" i="21" s="1"/>
  <c r="N58" i="21" s="1"/>
  <c r="O58" i="21" s="1"/>
  <c r="H7" i="21" s="1"/>
  <c r="J48" i="35"/>
  <c r="C21" i="12" l="1"/>
  <c r="C22" i="12" s="1"/>
  <c r="C10" i="69"/>
  <c r="C8" i="69" s="1"/>
  <c r="C5" i="69" s="1"/>
  <c r="C23" i="69" s="1"/>
  <c r="D19" i="69"/>
  <c r="D19" i="68"/>
  <c r="C10" i="68"/>
  <c r="C14" i="71"/>
  <c r="D15" i="71"/>
  <c r="F7" i="21"/>
  <c r="S7" i="21" s="1"/>
  <c r="J7" i="21"/>
  <c r="AC7" i="21" s="1"/>
  <c r="V48" i="21" s="1"/>
  <c r="I48" i="21" s="1"/>
  <c r="C23" i="67"/>
  <c r="C29" i="67" s="1"/>
  <c r="J59" i="67" s="1"/>
  <c r="J60" i="67" s="1"/>
  <c r="Q48" i="67" s="1"/>
  <c r="C19" i="15"/>
  <c r="C20" i="15" s="1"/>
  <c r="C26" i="15" s="1"/>
  <c r="C38" i="11"/>
  <c r="C35" i="11"/>
  <c r="H27" i="6"/>
  <c r="R19" i="6"/>
  <c r="B3" i="76"/>
  <c r="J69" i="39"/>
  <c r="K67" i="39"/>
  <c r="U7" i="21"/>
  <c r="AB7" i="21"/>
  <c r="T48" i="21" s="1"/>
  <c r="G48" i="21" s="1"/>
  <c r="J63" i="40"/>
  <c r="I65" i="40"/>
  <c r="K48" i="35"/>
  <c r="L48" i="35" s="1"/>
  <c r="M48" i="35" s="1"/>
  <c r="N48" i="35" s="1"/>
  <c r="O48" i="35" s="1"/>
  <c r="H7" i="35" s="1"/>
  <c r="C27" i="12" l="1"/>
  <c r="C25" i="12" s="1"/>
  <c r="C30" i="12"/>
  <c r="C28" i="12" s="1"/>
  <c r="D37" i="68"/>
  <c r="C37" i="68" s="1"/>
  <c r="C33" i="68" s="1"/>
  <c r="C39" i="68" s="1"/>
  <c r="C43" i="68" s="1"/>
  <c r="C19" i="68"/>
  <c r="C19" i="69"/>
  <c r="D37" i="69"/>
  <c r="C37" i="69" s="1"/>
  <c r="C33" i="69" s="1"/>
  <c r="D14" i="71"/>
  <c r="C13" i="71"/>
  <c r="W7" i="21"/>
  <c r="AA7" i="21"/>
  <c r="R48" i="21" s="1"/>
  <c r="R49" i="21" s="1"/>
  <c r="J7" i="35"/>
  <c r="W7" i="35" s="1"/>
  <c r="Q49" i="67"/>
  <c r="J14" i="67"/>
  <c r="J13" i="67" s="1"/>
  <c r="J23" i="67" s="1"/>
  <c r="C36" i="67"/>
  <c r="C57" i="67"/>
  <c r="C64" i="67" s="1"/>
  <c r="C13" i="67"/>
  <c r="Q70" i="67" s="1"/>
  <c r="C33" i="11"/>
  <c r="C39" i="11" s="1"/>
  <c r="C61" i="67"/>
  <c r="C23" i="15"/>
  <c r="C29" i="15" s="1"/>
  <c r="R27" i="6"/>
  <c r="R6" i="1"/>
  <c r="L67" i="39"/>
  <c r="K69" i="39"/>
  <c r="J65" i="40"/>
  <c r="K63" i="40"/>
  <c r="I52" i="21"/>
  <c r="J52" i="21" s="1"/>
  <c r="U7" i="35"/>
  <c r="AB7" i="35"/>
  <c r="T38" i="35" s="1"/>
  <c r="G38" i="35" s="1"/>
  <c r="G52" i="21"/>
  <c r="H52" i="21" s="1"/>
  <c r="G53" i="21"/>
  <c r="H53" i="21" s="1"/>
  <c r="F7" i="35"/>
  <c r="M21" i="67"/>
  <c r="F35" i="67"/>
  <c r="M21" i="15"/>
  <c r="F35" i="15"/>
  <c r="C32" i="12" l="1"/>
  <c r="B2" i="12" s="1"/>
  <c r="B3" i="12" s="1"/>
  <c r="C46" i="68"/>
  <c r="C45" i="68" s="1"/>
  <c r="C42" i="68"/>
  <c r="C41" i="68" s="1"/>
  <c r="C42" i="69"/>
  <c r="C39" i="69"/>
  <c r="C24" i="69"/>
  <c r="C20" i="69"/>
  <c r="C24" i="68"/>
  <c r="C20" i="68"/>
  <c r="E48" i="2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C49" i="68" l="1"/>
  <c r="C51" i="68" s="1"/>
  <c r="C28" i="69"/>
  <c r="C27" i="69" s="1"/>
  <c r="C25" i="69"/>
  <c r="C22" i="69" s="1"/>
  <c r="C31" i="69" s="1"/>
  <c r="C28" i="68"/>
  <c r="C27" i="68" s="1"/>
  <c r="C25" i="68"/>
  <c r="C22" i="68" s="1"/>
  <c r="C43" i="69"/>
  <c r="C41" i="69" s="1"/>
  <c r="C46" i="69"/>
  <c r="C45" i="69"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49" i="69" l="1"/>
  <c r="C51" i="69" s="1"/>
  <c r="C31" i="68"/>
  <c r="C52" i="68" s="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41" i="15"/>
  <c r="C52" i="69"/>
  <c r="B2" i="69" s="1"/>
  <c r="B3" i="69" s="1"/>
  <c r="B2" i="68"/>
  <c r="B3" i="68" s="1"/>
  <c r="C57" i="68"/>
  <c r="C56" i="68" s="1"/>
  <c r="D10" i="71"/>
  <c r="C9" i="71"/>
  <c r="L57" i="67"/>
  <c r="L60" i="67" s="1"/>
  <c r="L46" i="67" s="1"/>
  <c r="D2" i="67" s="1"/>
  <c r="B2" i="67" s="1"/>
  <c r="Q67" i="67"/>
  <c r="Q65" i="67"/>
  <c r="B2" i="33"/>
  <c r="B3" i="33" s="1"/>
  <c r="C83" i="67"/>
  <c r="C82" i="67" s="1"/>
  <c r="Q47" i="67"/>
  <c r="Q53" i="67" s="1"/>
  <c r="C46" i="67"/>
  <c r="Q56" i="67"/>
  <c r="C43" i="67"/>
  <c r="C80" i="15"/>
  <c r="C79" i="15" s="1"/>
  <c r="C40" i="15"/>
  <c r="H7" i="39"/>
  <c r="J7" i="39"/>
  <c r="S7" i="39"/>
  <c r="AA7" i="39"/>
  <c r="R47" i="39" s="1"/>
  <c r="O63" i="40"/>
  <c r="O65" i="40" s="1"/>
  <c r="N65" i="40"/>
  <c r="D2" i="35"/>
  <c r="L51" i="15"/>
  <c r="D2" i="36"/>
  <c r="D2" i="34"/>
  <c r="D2" i="37"/>
  <c r="C46" i="15" l="1"/>
  <c r="C57" i="69"/>
  <c r="C56" i="69" s="1"/>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8" i="1"/>
  <c r="AO10" i="1"/>
  <c r="AO7" i="1"/>
  <c r="AO9" i="1"/>
  <c r="AO11" i="1"/>
  <c r="AO12" i="1"/>
  <c r="C102" i="9" l="1"/>
  <c r="C21" i="9"/>
  <c r="B3" i="34"/>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AO6" i="1"/>
  <c r="D19" i="9"/>
  <c r="C103" i="9" l="1"/>
  <c r="D102" i="9"/>
  <c r="G19" i="9"/>
  <c r="D22" i="9"/>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03" i="9"/>
  <c r="G20" i="9"/>
  <c r="D6" i="71"/>
  <c r="C5" i="71"/>
  <c r="D5" i="71" s="1"/>
  <c r="M24" i="43" s="1"/>
  <c r="C42" i="40"/>
  <c r="C43" i="40"/>
  <c r="E47" i="40"/>
  <c r="F47" i="40" s="1"/>
  <c r="E46" i="40"/>
  <c r="F46" i="40" s="1"/>
  <c r="I47" i="40"/>
  <c r="J47" i="40" s="1"/>
  <c r="C32" i="9" l="1"/>
  <c r="B58" i="40"/>
  <c r="F58" i="40" s="1"/>
  <c r="B54" i="40"/>
  <c r="F54" i="40" s="1"/>
  <c r="B53" i="40"/>
  <c r="F53" i="40" s="1"/>
  <c r="B59" i="40"/>
  <c r="F59" i="40" s="1"/>
  <c r="B52" i="40"/>
  <c r="F52" i="40" s="1"/>
  <c r="B56" i="40"/>
  <c r="F56" i="40" s="1"/>
  <c r="B60" i="40"/>
  <c r="F60" i="40" s="1"/>
  <c r="B57" i="40"/>
  <c r="F57" i="40" s="1"/>
  <c r="B51" i="40"/>
  <c r="F51" i="40" s="1"/>
  <c r="F61" i="40"/>
  <c r="B2" i="40" s="1"/>
  <c r="B3" i="40" s="1"/>
  <c r="C35" i="9" l="1"/>
  <c r="D35" i="9"/>
  <c r="C34" i="9" l="1"/>
  <c r="D34" i="9"/>
  <c r="D118" i="9" l="1"/>
  <c r="D119" i="9" s="1"/>
  <c r="D5" i="52" s="1"/>
  <c r="B49" i="72" s="1"/>
  <c r="F118" i="9"/>
  <c r="F119" i="9" s="1"/>
  <c r="F5" i="52" s="1"/>
  <c r="B53" i="72" s="1"/>
  <c r="G118" i="9" l="1"/>
  <c r="G4" i="52" s="1"/>
  <c r="B52" i="72" s="1"/>
  <c r="E118" i="9"/>
  <c r="E4" i="52" s="1"/>
  <c r="B48" i="72" s="1"/>
  <c r="D4" i="52"/>
  <c r="B47" i="72" s="1"/>
  <c r="F4" i="52"/>
  <c r="B51" i="72" s="1"/>
  <c r="H118" i="9"/>
  <c r="H101" i="9" s="1"/>
  <c r="I118" i="9"/>
  <c r="C105" i="9" s="1"/>
  <c r="H119" i="9"/>
  <c r="H5" i="52" s="1"/>
  <c r="C104" i="9"/>
  <c r="H4" i="52"/>
  <c r="I4" i="52" l="1"/>
  <c r="D14" i="74"/>
  <c r="D45" i="9"/>
  <c r="C64" i="9" s="1"/>
  <c r="C63" i="9" s="1"/>
  <c r="C67" i="9" s="1"/>
  <c r="H107" i="9"/>
  <c r="D122" i="9" s="1"/>
  <c r="D5" i="53"/>
  <c r="H102" i="9"/>
  <c r="D7" i="53" s="1"/>
  <c r="B21" i="72" s="1"/>
  <c r="E14" i="74"/>
  <c r="M48" i="9"/>
  <c r="C85" i="9" l="1"/>
  <c r="C93" i="9"/>
  <c r="C86" i="9" s="1"/>
  <c r="D55" i="9"/>
  <c r="M53" i="9" s="1"/>
  <c r="G14" i="74"/>
  <c r="B6" i="74" s="1"/>
  <c r="D6" i="74" s="1"/>
  <c r="F14" i="74"/>
  <c r="B5" i="74"/>
  <c r="D5" i="74" s="1"/>
  <c r="C78" i="9"/>
  <c r="C73" i="9" s="1"/>
  <c r="D53" i="9"/>
  <c r="D52" i="9"/>
  <c r="C72" i="9"/>
  <c r="B20" i="72"/>
  <c r="D6" i="53"/>
  <c r="B22" i="72" s="1"/>
  <c r="H108" i="9"/>
  <c r="D13" i="53"/>
  <c r="M49" i="9"/>
  <c r="C5" i="74"/>
  <c r="D123" i="9"/>
  <c r="D9" i="52" s="1"/>
  <c r="D8" i="52"/>
  <c r="C95" i="9"/>
  <c r="C79" i="9"/>
  <c r="D59" i="9"/>
  <c r="M55" i="9" s="1"/>
  <c r="C68" i="9"/>
  <c r="D54" i="9" s="1"/>
  <c r="D14" i="53" l="1"/>
  <c r="B32" i="72" s="1"/>
  <c r="B30" i="72"/>
  <c r="D15" i="53"/>
  <c r="B31" i="72" s="1"/>
  <c r="C6" i="74"/>
  <c r="L63" i="9"/>
  <c r="M63" i="9" s="1"/>
  <c r="L64" i="9"/>
  <c r="M64" i="9" s="1"/>
  <c r="L66" i="9"/>
  <c r="M66" i="9" s="1"/>
  <c r="L68" i="9"/>
  <c r="M68" i="9" s="1"/>
  <c r="L65" i="9"/>
  <c r="M65" i="9" s="1"/>
  <c r="L67" i="9"/>
  <c r="M67" i="9" s="1"/>
  <c r="C96" i="9"/>
  <c r="E96" i="9" s="1"/>
  <c r="E97" i="9" s="1"/>
  <c r="C80" i="9"/>
  <c r="E80" i="9" s="1"/>
  <c r="E81" i="9" s="1"/>
  <c r="M69" i="9" l="1"/>
  <c r="N69" i="9" s="1"/>
  <c r="C81" i="9"/>
  <c r="C97" i="9"/>
  <c r="D58" i="9" s="1"/>
  <c r="D56" i="9" s="1"/>
  <c r="M54" i="9" s="1"/>
  <c r="N57" i="9" s="1"/>
  <c r="N58" i="9" l="1"/>
  <c r="P57"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StevenChan</author>
  </authors>
  <commentList>
    <comment ref="E8" authorId="0" shapeId="0" xr:uid="{E209F2B7-2C5D-49E3-9432-5ED39139B1DF}">
      <text>
        <r>
          <rPr>
            <sz val="9"/>
            <rFont val="宋体"/>
            <family val="3"/>
            <charset val="134"/>
          </rPr>
          <t xml:space="preserve">787.3平米按10.5/天/平方米（含税含物业费）计算（但目前实际按7.5缴纳，待商定）
</t>
        </r>
        <r>
          <rPr>
            <sz val="9"/>
            <rFont val="宋体"/>
            <family val="3"/>
            <charset val="134"/>
          </rPr>
          <t>53.1平米为消防面积应减按5.25元/天/平米（含税含物业费）计算(但目前实际未交这部分，待商定）</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tc={9414D4FA-A42D-4EDC-BF8E-9F283FAC7039}</author>
  </authors>
  <commentList>
    <comment ref="J4" authorId="0" shapeId="0" xr:uid="{704AE192-AACD-466C-9DBF-0C51BADA9355}">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平均分摊</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<sst xmlns="http://schemas.openxmlformats.org/spreadsheetml/2006/main" count="8363" uniqueCount="3788">
  <si>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</si>
  <si>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</si>
  <si>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</si>
  <si>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</si>
  <si>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</si>
  <si>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</si>
  <si>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</si>
  <si>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</si>
  <si>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</si>
  <si>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</si>
  <si>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</si>
  <si>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</si>
  <si>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</si>
  <si>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</si>
  <si>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</si>
  <si>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</si>
  <si>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</si>
  <si>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</si>
  <si>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</si>
  <si>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</si>
  <si>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</si>
  <si>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</si>
  <si>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</si>
  <si>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</si>
  <si>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</si>
  <si>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</si>
  <si>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</si>
  <si>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</si>
  <si>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</si>
  <si>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</si>
  <si>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</si>
  <si>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</si>
  <si>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</si>
  <si>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</si>
  <si>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</si>
  <si>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</si>
  <si>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</si>
  <si>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</si>
  <si>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</si>
  <si>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</si>
  <si>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</si>
  <si>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</si>
  <si>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</si>
  <si>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</si>
  <si>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</si>
  <si>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</si>
  <si>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</si>
  <si>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</si>
  <si>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</si>
  <si>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</si>
  <si>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</si>
  <si>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</si>
  <si>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</si>
  <si>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</si>
  <si>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</si>
  <si>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</si>
  <si>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</si>
  <si>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</si>
  <si>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</si>
  <si>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</si>
  <si>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</si>
  <si>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</si>
  <si>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</si>
  <si>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</si>
  <si>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</si>
  <si>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</si>
  <si>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</si>
  <si>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</si>
  <si>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</si>
  <si>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</si>
  <si>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</si>
  <si>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</si>
  <si>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</si>
  <si>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</si>
  <si>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</si>
  <si>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</si>
  <si>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</si>
  <si>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</si>
  <si>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</si>
  <si>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</si>
  <si>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</si>
  <si>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</si>
  <si>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</si>
  <si>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</si>
  <si>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</si>
  <si>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</si>
  <si>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</si>
  <si>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</si>
  <si>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</si>
  <si>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</si>
  <si>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</si>
  <si>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</si>
  <si>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</si>
  <si>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</si>
  <si>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</si>
  <si>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</si>
  <si>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</si>
  <si>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</si>
  <si>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</si>
  <si>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</si>
  <si>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</si>
  <si>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</si>
  <si>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</si>
  <si>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</si>
  <si>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</si>
  <si>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</si>
  <si>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</si>
  <si>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</si>
  <si>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</si>
  <si>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</si>
  <si>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</si>
  <si>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</si>
  <si>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</si>
  <si>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</si>
  <si>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</si>
  <si>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</si>
  <si>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</si>
  <si>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</si>
  <si>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</si>
  <si>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</si>
  <si>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</si>
  <si>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</si>
  <si>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</si>
  <si>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</si>
  <si>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</si>
  <si>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</si>
  <si>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</si>
  <si>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</si>
  <si>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</si>
  <si>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</si>
  <si>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</si>
  <si>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</si>
  <si>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</si>
  <si>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</si>
  <si>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</si>
  <si>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</si>
  <si>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</si>
  <si>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</si>
  <si>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</si>
  <si>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</si>
  <si>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</si>
  <si>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</si>
  <si>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</si>
  <si>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</si>
  <si>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</si>
  <si>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</si>
  <si>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</si>
  <si>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</si>
  <si>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</si>
  <si>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</si>
  <si>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</si>
  <si>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</si>
  <si>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</si>
  <si>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</si>
  <si>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</si>
  <si>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</si>
  <si>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</si>
  <si>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</si>
  <si>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</si>
  <si>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</si>
  <si>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</si>
  <si>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</si>
  <si>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</si>
  <si>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</si>
  <si>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</si>
  <si>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</si>
  <si>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</si>
  <si>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</si>
  <si>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</si>
  <si>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</si>
  <si>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</si>
  <si>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</si>
  <si>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</si>
  <si>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</si>
  <si>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</si>
  <si>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</si>
  <si>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</si>
  <si>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</si>
  <si>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</si>
  <si>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</si>
  <si>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</si>
  <si>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</si>
  <si>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</si>
  <si>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</si>
  <si>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</si>
  <si>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</si>
  <si>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</si>
  <si>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</si>
  <si>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</si>
  <si>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</si>
  <si>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</si>
  <si>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</si>
  <si>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</si>
  <si>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</si>
  <si>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</si>
  <si>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</si>
  <si>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</si>
  <si>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</si>
  <si>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</si>
  <si>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</si>
  <si>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</si>
  <si>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</si>
  <si>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</si>
  <si>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</si>
  <si>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</si>
  <si>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</si>
  <si>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</si>
  <si>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</si>
  <si>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</si>
  <si>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</si>
  <si>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</si>
  <si>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</si>
  <si>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</si>
  <si>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</si>
  <si>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</si>
  <si>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</si>
  <si>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</si>
  <si>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</si>
  <si>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</si>
  <si>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</si>
  <si>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</si>
  <si>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</si>
  <si>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</si>
  <si>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</si>
  <si>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</si>
  <si>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</si>
  <si>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</si>
  <si>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</si>
  <si>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</si>
  <si>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</si>
  <si>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</si>
  <si>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</si>
  <si>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</si>
  <si>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</si>
  <si>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</si>
  <si>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</si>
  <si>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</si>
  <si>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</si>
  <si>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</si>
  <si>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</si>
  <si>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</si>
  <si>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</si>
  <si>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</si>
  <si>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</si>
  <si>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</si>
  <si>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</si>
  <si>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</si>
  <si>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</si>
  <si>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</si>
  <si>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</si>
  <si>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</si>
  <si>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</si>
  <si>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</si>
  <si>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</si>
  <si>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</si>
  <si>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</si>
  <si>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</si>
  <si>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</si>
  <si>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</si>
  <si>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</si>
  <si>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</si>
  <si>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</si>
  <si>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</si>
  <si>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</si>
  <si>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</si>
  <si>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</si>
  <si>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</si>
  <si>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</si>
  <si>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</si>
  <si>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</si>
  <si>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</si>
  <si>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</si>
  <si>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</si>
  <si>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</si>
  <si>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</si>
  <si>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</si>
  <si>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</si>
  <si>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</si>
  <si>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</si>
  <si>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</si>
  <si>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</si>
  <si>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</si>
  <si>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</si>
  <si>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</si>
  <si>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</si>
  <si>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</si>
  <si>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</si>
  <si>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</si>
  <si>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</si>
  <si>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</si>
  <si>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</si>
  <si>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</si>
  <si>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</si>
  <si>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</si>
  <si>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</si>
  <si>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</si>
  <si>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</si>
  <si>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</si>
  <si>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</si>
  <si>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</si>
  <si>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</si>
  <si>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</si>
  <si>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</si>
  <si>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</si>
  <si>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</si>
  <si>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</si>
  <si>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</si>
  <si>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</si>
  <si>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</si>
  <si>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</si>
  <si>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</si>
  <si>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</si>
  <si>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</si>
  <si>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</si>
  <si>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</si>
  <si>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</si>
  <si>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</si>
  <si>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</si>
  <si>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</si>
  <si>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</si>
  <si>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</si>
  <si>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</si>
  <si>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</si>
  <si>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</si>
  <si>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</si>
  <si>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</si>
  <si>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</si>
  <si>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</si>
  <si>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</si>
  <si>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</si>
  <si>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</si>
  <si>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</si>
  <si>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</si>
  <si>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</si>
  <si>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</si>
  <si>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</si>
  <si>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</si>
  <si>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</si>
  <si>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</si>
  <si>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</si>
  <si>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</si>
  <si>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</si>
  <si>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</si>
  <si>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</si>
  <si>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</si>
  <si>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</si>
  <si>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</si>
  <si>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</si>
  <si>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</si>
  <si>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</si>
  <si>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</si>
  <si>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</si>
  <si>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</si>
  <si>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</si>
  <si>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</si>
  <si>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</si>
  <si>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</si>
  <si>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</si>
  <si>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</si>
  <si>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</si>
  <si>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</si>
  <si>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</si>
  <si>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</si>
  <si>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</si>
  <si>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</si>
  <si>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</si>
  <si>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</si>
  <si>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</si>
  <si>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</si>
  <si>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</si>
  <si>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</si>
  <si>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</si>
  <si>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</si>
  <si>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</si>
  <si>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</si>
  <si>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</si>
  <si>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</si>
  <si>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</si>
  <si>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</si>
  <si>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</si>
  <si>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</si>
  <si>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</si>
  <si>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</si>
  <si>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</si>
  <si>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</si>
  <si>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</si>
  <si>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</si>
  <si>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</si>
  <si>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</si>
  <si>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</si>
  <si>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</si>
  <si>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</si>
  <si>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</si>
  <si>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</si>
  <si>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</si>
  <si>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</si>
  <si>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</si>
  <si>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</si>
  <si>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</si>
  <si>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</si>
  <si>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</si>
  <si>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</si>
  <si>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</si>
  <si>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</si>
  <si>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</si>
  <si>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</si>
  <si>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</si>
  <si>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</si>
  <si>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</si>
  <si>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</si>
  <si>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</si>
  <si>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</si>
  <si>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</si>
  <si>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</si>
  <si>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</si>
  <si>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</si>
  <si>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</si>
  <si>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</si>
  <si>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</si>
  <si>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</si>
  <si>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</si>
  <si>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</si>
  <si>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</si>
  <si>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</si>
  <si>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</si>
  <si>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</si>
  <si>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</si>
  <si>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</si>
  <si>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</si>
  <si>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</si>
  <si>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</si>
  <si>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</si>
  <si>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</si>
  <si>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</si>
  <si>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</si>
  <si>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</si>
  <si>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</si>
  <si>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</si>
  <si>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</si>
  <si>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</si>
  <si>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</si>
  <si>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</si>
  <si>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</si>
  <si>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</si>
  <si>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</si>
  <si>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</si>
  <si>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</si>
  <si>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</si>
  <si>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</si>
  <si>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</si>
  <si>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</si>
  <si>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</si>
  <si>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</si>
  <si>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</si>
  <si>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</si>
  <si>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</si>
  <si>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</si>
  <si>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</si>
  <si>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</si>
  <si>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</si>
  <si>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</si>
  <si>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</si>
  <si>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</si>
  <si>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</si>
  <si>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</si>
  <si>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</si>
  <si>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</si>
  <si>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</si>
  <si>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</si>
  <si>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</si>
  <si>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</si>
  <si>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</si>
  <si>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</si>
  <si>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</si>
  <si>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</si>
  <si>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</si>
  <si>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</si>
  <si>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</si>
  <si>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</si>
  <si>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</si>
  <si>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</si>
  <si>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</si>
  <si>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</si>
  <si>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</si>
  <si>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</si>
  <si>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</si>
  <si>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</si>
  <si>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</si>
  <si>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</si>
  <si>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</si>
  <si>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</si>
  <si>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</si>
  <si>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</si>
  <si>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</si>
  <si>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</si>
  <si>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</si>
  <si>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</si>
  <si>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</si>
  <si>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</si>
  <si>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</si>
  <si>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</si>
  <si>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</si>
  <si>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</si>
  <si>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</si>
  <si>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</si>
  <si>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</si>
  <si>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</si>
  <si>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</si>
  <si>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</si>
  <si>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</si>
  <si>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</si>
  <si>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</si>
  <si>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</si>
  <si>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</si>
  <si>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</si>
  <si>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</si>
  <si>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</si>
  <si>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</si>
  <si>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</si>
  <si>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</si>
  <si>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</si>
  <si>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</si>
  <si>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</si>
  <si>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</si>
  <si>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</si>
  <si>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</si>
  <si>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</si>
  <si>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</si>
  <si>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</si>
  <si>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</si>
  <si>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</si>
  <si>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</si>
  <si>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</si>
  <si>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</si>
  <si>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</si>
  <si>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</si>
  <si>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</si>
  <si>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</si>
  <si>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</si>
  <si>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</si>
  <si>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</si>
  <si>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</si>
  <si>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</si>
  <si>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</si>
  <si>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</si>
  <si>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</si>
  <si>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</si>
  <si>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</si>
  <si>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</si>
  <si>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</si>
  <si>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</si>
  <si>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</si>
  <si>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</si>
  <si>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</si>
  <si>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</si>
  <si>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</si>
  <si>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</si>
  <si>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</si>
  <si>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</si>
  <si>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</si>
  <si>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</si>
  <si>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</si>
  <si>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</si>
  <si>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</si>
  <si>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</si>
  <si>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</si>
  <si>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</si>
  <si>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</si>
  <si>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</si>
  <si>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</si>
  <si>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</si>
  <si>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</si>
  <si>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</si>
  <si>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</si>
  <si>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</si>
  <si>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</si>
  <si>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</si>
  <si>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</si>
  <si>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</si>
  <si>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</si>
  <si>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</si>
  <si>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</si>
  <si>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</si>
  <si>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</si>
  <si>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</si>
  <si>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</si>
  <si>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</si>
  <si>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</si>
  <si>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</si>
  <si>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</si>
  <si>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</si>
  <si>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</si>
  <si>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</si>
  <si>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</si>
  <si>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</si>
  <si>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</si>
  <si>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</si>
  <si>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</si>
  <si>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</si>
  <si>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</si>
  <si>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</si>
  <si>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</si>
  <si>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</si>
  <si>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</si>
  <si>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</si>
  <si>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</si>
  <si>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</si>
  <si>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</si>
  <si>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</si>
  <si>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</si>
  <si>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</si>
  <si>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</si>
  <si>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</si>
  <si>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</si>
  <si>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</si>
  <si>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</si>
  <si>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</si>
  <si>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</si>
  <si>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</si>
  <si>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</si>
  <si>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</si>
  <si>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</si>
  <si>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</si>
  <si>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</si>
  <si>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</si>
  <si>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</si>
  <si>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</si>
  <si>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</si>
  <si>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</si>
  <si>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</si>
  <si>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</si>
  <si>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</si>
  <si>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</si>
  <si>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</si>
  <si>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</si>
  <si>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</si>
  <si>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</si>
  <si>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</si>
  <si>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</si>
  <si>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</si>
  <si>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</si>
  <si>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</si>
  <si>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</si>
  <si>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</si>
  <si>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</si>
  <si>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</si>
  <si>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</si>
  <si>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</si>
  <si>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</si>
  <si>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</si>
  <si>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</si>
  <si>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</si>
  <si>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</si>
  <si>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</si>
  <si>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</si>
  <si>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</si>
  <si>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</si>
  <si>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</si>
  <si>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</si>
  <si>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</si>
  <si>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</si>
  <si>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</si>
  <si>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</si>
  <si>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</si>
  <si>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</si>
  <si>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</si>
  <si>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</si>
  <si>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</si>
  <si>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</si>
  <si>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</si>
  <si>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</si>
  <si>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</si>
  <si>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</si>
  <si>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</si>
  <si>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</si>
  <si>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</si>
  <si>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</si>
  <si>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</si>
  <si>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</si>
  <si>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</si>
  <si>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</si>
  <si>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</si>
  <si>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</si>
  <si>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</si>
  <si>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</si>
  <si>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</si>
  <si>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</si>
  <si>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</si>
  <si>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</si>
  <si>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</si>
  <si>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</si>
  <si>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</si>
  <si>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</si>
  <si>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</si>
  <si>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</si>
  <si>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</si>
  <si>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</si>
  <si>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</si>
  <si>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</si>
  <si>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</si>
  <si>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</si>
  <si>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</si>
  <si>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</si>
  <si>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</si>
  <si>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</si>
  <si>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</si>
  <si>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</si>
  <si>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</si>
  <si>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</si>
  <si>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</si>
  <si>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</si>
  <si>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</si>
  <si>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</si>
  <si>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</si>
  <si>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</si>
  <si>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</si>
  <si>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</si>
  <si>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</si>
  <si>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</si>
  <si>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</si>
  <si>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</si>
  <si>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</si>
  <si>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</si>
  <si>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</si>
  <si>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</si>
  <si>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</si>
  <si>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</si>
  <si>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</si>
  <si>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</si>
  <si>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</si>
  <si>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</si>
  <si>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</si>
  <si>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</si>
  <si>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</si>
  <si>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</si>
  <si>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</si>
  <si>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</si>
  <si>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</si>
  <si>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</si>
  <si>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</si>
  <si>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</si>
  <si>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</si>
  <si>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</si>
  <si>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</si>
  <si>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</si>
  <si>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</si>
  <si>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</si>
  <si>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</si>
  <si>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</si>
  <si>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</si>
  <si>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</si>
  <si>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</si>
  <si>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</si>
  <si>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</si>
  <si>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</si>
  <si>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</si>
  <si>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</si>
  <si>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</si>
  <si>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</si>
  <si>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</si>
  <si>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</si>
  <si>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</si>
  <si>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</si>
  <si>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</si>
  <si>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</si>
  <si>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</si>
  <si>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</si>
  <si>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</si>
  <si>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</si>
  <si>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</si>
  <si>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</si>
  <si>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</si>
  <si>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</si>
  <si>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</si>
  <si>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</si>
  <si>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</si>
  <si>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</si>
  <si>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</si>
  <si>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</si>
  <si>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</si>
  <si>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</si>
  <si>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</si>
  <si>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</si>
  <si>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</si>
  <si>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</si>
  <si>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</si>
  <si>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</si>
  <si>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</si>
  <si>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</si>
  <si>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</si>
  <si>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</si>
  <si>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</si>
  <si>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</si>
  <si>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</si>
  <si>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</si>
  <si>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</si>
  <si>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</si>
  <si>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</si>
  <si>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</si>
  <si>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</si>
  <si>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</si>
  <si>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</si>
  <si>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</si>
  <si>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</si>
  <si>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</si>
  <si>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</si>
  <si>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</si>
  <si>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</si>
  <si>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</si>
  <si>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</si>
  <si>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</si>
  <si>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</si>
  <si>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</si>
  <si>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</si>
  <si>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</si>
  <si>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</si>
  <si>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</si>
  <si>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</si>
  <si>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</si>
  <si>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</si>
  <si>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</si>
  <si>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</si>
  <si>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</si>
  <si>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</si>
  <si>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</si>
  <si>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</si>
  <si>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</si>
  <si>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</si>
  <si>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</si>
  <si>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</si>
  <si>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</si>
  <si>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</si>
  <si>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</si>
  <si>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</si>
  <si>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</si>
  <si>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</si>
  <si>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</si>
  <si>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</si>
  <si>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</si>
  <si>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</si>
  <si>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</si>
  <si>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</si>
  <si>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</si>
  <si>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</si>
  <si>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</si>
  <si>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</si>
  <si>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</si>
  <si>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</si>
  <si>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</si>
  <si>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</si>
  <si>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</si>
  <si>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</si>
  <si>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</si>
  <si>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</si>
  <si>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</si>
  <si>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</si>
  <si>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</si>
  <si>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</si>
  <si>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</si>
  <si>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</si>
  <si>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</si>
  <si>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</si>
  <si>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</si>
  <si>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</si>
  <si>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</si>
  <si>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</si>
  <si>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</si>
  <si>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</si>
  <si>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</si>
  <si>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</si>
  <si>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</si>
  <si>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</si>
  <si>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</si>
  <si>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</si>
  <si>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</si>
  <si>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</si>
  <si>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</si>
  <si>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</si>
  <si>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</si>
  <si>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</si>
  <si>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</si>
  <si>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</si>
  <si>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</si>
  <si>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</si>
  <si>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</si>
  <si>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</si>
  <si>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</si>
  <si>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</si>
  <si>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</si>
  <si>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</si>
  <si>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</si>
  <si>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</si>
  <si>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</si>
  <si>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</si>
  <si>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</si>
  <si>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</si>
  <si>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</si>
  <si>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</si>
  <si>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</si>
  <si>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</si>
  <si>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</si>
  <si>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</si>
  <si>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</si>
  <si>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</si>
  <si>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</si>
  <si>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</si>
  <si>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</si>
  <si>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</si>
  <si>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</si>
  <si>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</si>
  <si>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</si>
  <si>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</si>
  <si>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</si>
  <si>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</si>
  <si>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</si>
  <si>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</si>
  <si>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</si>
  <si>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</si>
  <si>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</si>
  <si>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</si>
  <si>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</si>
  <si>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</si>
  <si>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</si>
  <si>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</si>
  <si>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</si>
  <si>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</si>
  <si>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</si>
  <si>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</si>
  <si>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</si>
  <si>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</si>
  <si>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</si>
  <si>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</si>
  <si>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</si>
  <si>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</si>
  <si>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</si>
  <si>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</si>
  <si>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</si>
  <si>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</si>
  <si>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</si>
  <si>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</si>
  <si>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</si>
  <si>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</si>
  <si>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</si>
  <si>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</si>
  <si>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</si>
  <si>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</si>
  <si>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</si>
  <si>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</si>
  <si>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</si>
  <si>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</si>
  <si>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</si>
  <si>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</si>
  <si>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</si>
  <si>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</si>
  <si>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</si>
  <si>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</si>
  <si>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</si>
  <si>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</si>
  <si>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</si>
  <si>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</si>
  <si>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</si>
  <si>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</si>
  <si>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</si>
  <si>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</si>
  <si>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</si>
  <si>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</si>
  <si>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</si>
  <si>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</si>
  <si>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</si>
  <si>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</si>
  <si>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</si>
  <si>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</si>
  <si>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</si>
  <si>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</si>
  <si>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</si>
  <si>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</si>
  <si>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</si>
  <si>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</si>
  <si>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</si>
  <si>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</si>
  <si>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</si>
  <si>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</si>
  <si>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</si>
  <si>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</si>
  <si>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</si>
  <si>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</si>
  <si>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</si>
  <si>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</si>
  <si>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</si>
  <si>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</si>
  <si>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</si>
  <si>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</si>
  <si>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</si>
  <si>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</si>
  <si>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</si>
  <si>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</si>
  <si>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</si>
  <si>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</si>
  <si>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</si>
  <si>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</si>
  <si>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</si>
  <si>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</si>
  <si>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</si>
  <si>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</si>
  <si>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</si>
  <si>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</si>
  <si>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</si>
  <si>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</si>
  <si>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</si>
  <si>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</si>
  <si>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</si>
  <si>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</si>
  <si>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</si>
  <si>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</si>
  <si>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</si>
  <si>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</si>
  <si>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</si>
  <si>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</si>
  <si>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</si>
  <si>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</si>
  <si>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</si>
  <si>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</si>
  <si>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</si>
  <si>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</si>
  <si>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</si>
  <si>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</si>
  <si>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</si>
  <si>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</si>
  <si>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</si>
  <si>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</si>
  <si>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</si>
  <si>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</si>
  <si>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</si>
  <si>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</si>
  <si>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</si>
  <si>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</si>
  <si>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</si>
  <si>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</si>
  <si>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</si>
  <si>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</si>
  <si>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</si>
  <si>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</si>
  <si>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</si>
  <si>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</si>
  <si>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</si>
  <si>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</si>
  <si>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</si>
  <si>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</si>
  <si>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</si>
  <si>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</si>
  <si>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</si>
  <si>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</si>
  <si>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</si>
  <si>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</si>
  <si>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</si>
  <si>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</si>
  <si>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</si>
  <si>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</si>
  <si>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</si>
  <si>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</si>
  <si>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</si>
  <si>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</si>
  <si>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</si>
  <si>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</si>
  <si>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</si>
  <si>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</si>
  <si>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</si>
  <si>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</si>
  <si>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</si>
  <si>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</si>
  <si>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</si>
  <si>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</si>
  <si>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</si>
  <si>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</si>
  <si>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</si>
  <si>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</si>
  <si>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</si>
  <si>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</si>
  <si>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</si>
  <si>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</si>
  <si>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</si>
  <si>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</si>
  <si>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</si>
  <si>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</si>
  <si>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</si>
  <si>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</si>
  <si>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</si>
  <si>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</si>
  <si>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</si>
  <si>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</si>
  <si>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</si>
  <si>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</si>
  <si>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</si>
  <si>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</si>
  <si>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</si>
  <si>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</si>
  <si>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</si>
  <si>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</si>
  <si>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</si>
  <si>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</si>
  <si>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</si>
  <si>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</si>
  <si>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</si>
  <si>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</si>
  <si>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</si>
  <si>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</si>
  <si>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</si>
  <si>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</si>
  <si>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</si>
  <si>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</si>
  <si>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</si>
  <si>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</si>
  <si>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</si>
  <si>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</si>
  <si>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</si>
  <si>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</si>
  <si>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</si>
  <si>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</si>
  <si>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</si>
  <si>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</si>
  <si>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</si>
  <si>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</si>
  <si>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</si>
  <si>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</si>
  <si>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</si>
  <si>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</si>
  <si>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</si>
  <si>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</si>
  <si>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</si>
  <si>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</si>
  <si>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</si>
  <si>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</si>
  <si>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</si>
  <si>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</si>
  <si>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</si>
  <si>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</si>
  <si>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</si>
  <si>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</si>
  <si>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</si>
  <si>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</si>
  <si>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</si>
  <si>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</si>
  <si>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</si>
  <si>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</si>
  <si>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</si>
  <si>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</si>
  <si>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</si>
  <si>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</si>
  <si>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</si>
  <si>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</si>
  <si>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</si>
  <si>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</si>
  <si>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</si>
  <si>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</si>
  <si>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</si>
  <si>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</si>
  <si>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</si>
  <si>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</si>
  <si>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</si>
  <si>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</si>
  <si>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</si>
  <si>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</si>
  <si>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</si>
  <si>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</si>
  <si>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</si>
  <si>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</si>
  <si>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</si>
  <si>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</si>
  <si>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</si>
  <si>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</si>
  <si>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</si>
  <si>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</si>
  <si>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</si>
  <si>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</si>
  <si>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</si>
  <si>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</si>
  <si>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</si>
  <si>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</si>
  <si>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</si>
  <si>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</si>
  <si>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</si>
  <si>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</si>
  <si>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</si>
  <si>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</si>
  <si>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</si>
  <si>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</si>
  <si>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</si>
  <si>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</si>
  <si>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</si>
  <si>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</si>
  <si>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</si>
  <si>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</si>
  <si>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</si>
  <si>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</si>
  <si>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</si>
  <si>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</si>
  <si>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</si>
  <si>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</si>
  <si>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</si>
  <si>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</si>
  <si>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</si>
  <si>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</si>
  <si>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</si>
  <si>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</si>
  <si>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</si>
  <si>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</si>
  <si>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</si>
  <si>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</si>
  <si>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</si>
  <si>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</si>
  <si>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</si>
  <si>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</si>
  <si>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</si>
  <si>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</si>
  <si>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</si>
  <si>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</si>
  <si>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</si>
  <si>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</si>
  <si>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</si>
  <si>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</si>
  <si>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</si>
  <si>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</si>
  <si>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</si>
  <si>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</si>
  <si>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</si>
  <si>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</si>
  <si>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</si>
  <si>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</si>
  <si>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</si>
  <si>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</si>
  <si>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</si>
  <si>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</si>
  <si>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</si>
  <si>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</si>
  <si>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</si>
  <si>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</si>
  <si>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</si>
  <si>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</si>
  <si>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</si>
  <si>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</si>
  <si>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</si>
  <si>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</si>
  <si>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</si>
  <si>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</si>
  <si>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</si>
  <si>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</si>
  <si>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</si>
  <si>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</si>
  <si>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</si>
  <si>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</si>
  <si>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</si>
  <si>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</si>
  <si>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</si>
  <si>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</si>
  <si>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</si>
  <si>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</si>
  <si>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</si>
  <si>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</si>
  <si>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</si>
  <si>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</si>
  <si>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</si>
  <si>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</si>
  <si>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</si>
  <si>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</si>
  <si>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</si>
  <si>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</si>
  <si>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</si>
  <si>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</si>
  <si>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</si>
  <si>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</si>
  <si>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</si>
  <si>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</si>
  <si>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</si>
  <si>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</si>
  <si>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</si>
  <si>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</si>
  <si>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</si>
  <si>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</si>
  <si>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</si>
  <si>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</si>
  <si>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</si>
  <si>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</si>
  <si>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</si>
  <si>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</si>
  <si>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</si>
  <si>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</si>
  <si>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</si>
  <si>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</si>
  <si>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</si>
  <si>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</si>
  <si>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</si>
  <si>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</si>
  <si>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</si>
  <si>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</si>
  <si>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</si>
  <si>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</si>
  <si>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</si>
  <si>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</si>
  <si>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</si>
  <si>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</si>
  <si>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</si>
  <si>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</si>
  <si>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</si>
  <si>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</si>
  <si>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</si>
  <si>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</si>
  <si>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</si>
  <si>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</si>
  <si>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</si>
  <si>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</si>
  <si>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</si>
  <si>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</si>
  <si>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</si>
  <si>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</si>
  <si>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</si>
  <si>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</si>
  <si>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</si>
  <si>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</si>
  <si>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</si>
  <si>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</si>
  <si>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</si>
  <si>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</si>
  <si>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</si>
  <si>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</si>
  <si>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</si>
  <si>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</si>
  <si>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</si>
  <si>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</si>
  <si>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</si>
  <si>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</si>
  <si>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</si>
  <si>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</si>
  <si>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</si>
  <si>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</si>
  <si>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</si>
  <si>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</si>
  <si>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</si>
  <si>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</si>
  <si>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</si>
  <si>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</si>
  <si>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</si>
  <si>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</si>
  <si>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</si>
  <si>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</si>
  <si>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</si>
  <si>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</si>
  <si>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</si>
  <si>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</si>
  <si>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</si>
  <si>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</si>
  <si>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</si>
  <si>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</si>
  <si>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</si>
  <si>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</si>
  <si>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</si>
  <si>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</si>
  <si>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</si>
  <si>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</si>
  <si>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</si>
  <si>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</si>
  <si>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</si>
  <si>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</si>
  <si>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</si>
  <si>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</si>
  <si>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</si>
  <si>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</si>
  <si>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</si>
  <si>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</si>
  <si>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</si>
  <si>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</si>
  <si>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</si>
  <si>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</si>
  <si>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</si>
  <si>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</si>
  <si>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</si>
  <si>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</si>
  <si>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</si>
  <si>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</si>
  <si>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</si>
  <si>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</si>
  <si>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</si>
  <si>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</si>
  <si>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</si>
  <si>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</si>
  <si>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</si>
  <si>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</si>
  <si>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</si>
  <si>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</si>
  <si>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</si>
  <si>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</si>
  <si>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</si>
  <si>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</si>
  <si>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</si>
  <si>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</si>
  <si>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</si>
  <si>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</si>
  <si>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</si>
  <si>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</si>
  <si>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</si>
  <si>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</si>
  <si>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</si>
  <si>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</si>
  <si>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</si>
  <si>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</si>
  <si>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</si>
  <si>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</si>
  <si>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</si>
  <si>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</si>
  <si>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</si>
  <si>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</si>
  <si>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</si>
  <si>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</si>
  <si>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</si>
  <si>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</si>
  <si>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</si>
  <si>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</si>
  <si>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</si>
  <si>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</si>
  <si>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</si>
  <si>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</si>
  <si>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</si>
  <si>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</si>
  <si>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</si>
  <si>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</si>
  <si>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</si>
  <si>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</si>
  <si>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</si>
  <si>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</si>
  <si>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</si>
  <si>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</si>
  <si>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</si>
  <si>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</si>
  <si>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</si>
  <si>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</si>
  <si>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</si>
  <si>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</si>
  <si>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</si>
  <si>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</si>
  <si>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</si>
  <si>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</si>
  <si>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</si>
  <si>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</si>
  <si>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</si>
  <si>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</si>
  <si>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</si>
  <si>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</si>
  <si>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</si>
  <si>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</si>
  <si>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</si>
  <si>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</si>
  <si>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</si>
  <si>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</si>
  <si>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</si>
  <si>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</si>
  <si>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</si>
  <si>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</si>
  <si>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</si>
  <si>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</si>
  <si>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</si>
  <si>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</si>
  <si>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</si>
  <si>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</si>
  <si>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</si>
  <si>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</si>
  <si>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</si>
  <si>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</si>
  <si>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</si>
  <si>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</si>
  <si>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</si>
  <si>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</si>
  <si>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</si>
  <si>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</si>
  <si>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</si>
  <si>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</si>
  <si>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</si>
  <si>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</si>
  <si>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</si>
  <si>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</si>
  <si>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</si>
  <si>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</si>
  <si>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</si>
  <si>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</si>
  <si>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</si>
  <si>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</si>
  <si>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</si>
  <si>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</si>
  <si>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</si>
  <si>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</si>
  <si>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</si>
  <si>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</si>
  <si>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</si>
  <si>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</si>
  <si>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</si>
  <si>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</si>
  <si>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</si>
  <si>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</si>
  <si>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</si>
  <si>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</si>
  <si>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</si>
  <si>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</si>
  <si>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</si>
  <si>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</si>
  <si>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</si>
  <si>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</si>
  <si>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</si>
  <si>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</si>
  <si>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</si>
  <si>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</si>
  <si>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</si>
  <si>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</si>
  <si>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</si>
  <si>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</si>
  <si>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</si>
  <si>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</si>
  <si>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</si>
  <si>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</si>
  <si>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</si>
  <si>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</si>
  <si>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</si>
  <si>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</si>
  <si>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</si>
  <si>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</si>
  <si>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</si>
  <si>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</si>
  <si>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</si>
  <si>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</si>
  <si>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</si>
  <si>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</si>
  <si>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</si>
  <si>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</si>
  <si>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</si>
  <si>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</si>
  <si>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</si>
  <si>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</si>
  <si>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</si>
  <si>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</si>
  <si>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</si>
  <si>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</si>
  <si>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</si>
  <si>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</si>
  <si>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</si>
  <si>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</si>
  <si>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</si>
  <si>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</si>
  <si>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</si>
  <si>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</si>
  <si>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</si>
  <si>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</si>
  <si>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</si>
  <si>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</si>
  <si>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</si>
  <si>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</si>
  <si>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</si>
  <si>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</si>
  <si>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</si>
  <si>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</si>
  <si>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</si>
  <si>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</si>
  <si>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</si>
  <si>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</si>
  <si>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</si>
  <si>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</si>
  <si>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</si>
  <si>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</si>
  <si>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</si>
  <si>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</si>
  <si>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</si>
  <si>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</si>
  <si>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</si>
  <si>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</si>
  <si>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</si>
  <si>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</si>
  <si>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</si>
  <si>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</si>
  <si>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</si>
  <si>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</si>
  <si>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</si>
  <si>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</si>
  <si>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</si>
  <si>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</si>
  <si>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</si>
  <si>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</si>
  <si>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</si>
  <si>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</si>
  <si>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</si>
  <si>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</si>
  <si>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</si>
  <si>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</si>
  <si>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</si>
  <si>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</si>
  <si>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</si>
  <si>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</si>
  <si>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</si>
  <si>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</si>
  <si>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</si>
  <si>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</si>
  <si>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</si>
  <si>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</si>
  <si>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</si>
  <si>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</si>
  <si>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</si>
  <si>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</si>
  <si>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</si>
  <si>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</si>
  <si>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</si>
  <si>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</si>
  <si>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</si>
  <si>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</si>
  <si>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</si>
  <si>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</si>
  <si>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</si>
  <si>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</si>
  <si>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</si>
  <si>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</si>
  <si>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</si>
  <si>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</si>
  <si>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</si>
  <si>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</si>
  <si>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</si>
  <si>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</si>
  <si>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</si>
  <si>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</si>
  <si>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</si>
  <si>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</si>
  <si>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</si>
  <si>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</si>
  <si>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</si>
  <si>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</si>
  <si>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</si>
  <si>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</si>
  <si>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</si>
  <si>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</si>
  <si>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</si>
  <si>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</si>
  <si>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</si>
  <si>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</si>
  <si>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</si>
  <si>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</si>
  <si>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</si>
  <si>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</si>
  <si>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</si>
  <si>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</si>
  <si>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</si>
  <si>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</si>
  <si>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</si>
  <si>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</si>
  <si>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</si>
  <si>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</si>
  <si>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</si>
  <si>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</si>
  <si>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</si>
  <si>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</si>
  <si>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</si>
  <si>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</si>
  <si>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</si>
  <si>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</si>
  <si>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</si>
  <si>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</si>
  <si>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</si>
  <si>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</si>
  <si>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</si>
  <si>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</si>
  <si>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</si>
  <si>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</si>
  <si>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</si>
  <si>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</si>
  <si>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</si>
  <si>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</si>
  <si>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</si>
  <si>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</si>
  <si>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</si>
  <si>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</si>
  <si>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</si>
  <si>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</si>
  <si>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</si>
  <si>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</si>
  <si>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</si>
  <si>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</si>
  <si>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</si>
  <si>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</si>
  <si>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</si>
  <si>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</si>
  <si>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</si>
  <si>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</si>
  <si>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</si>
  <si>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</si>
  <si>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</si>
  <si>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</si>
  <si>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</si>
  <si>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</si>
  <si>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</si>
  <si>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</si>
  <si>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</si>
  <si>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</si>
  <si>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</si>
  <si>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</si>
  <si>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</si>
  <si>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</si>
  <si>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</si>
  <si>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</si>
  <si>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</si>
  <si>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</si>
  <si>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</si>
  <si>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</si>
  <si>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</si>
  <si>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</si>
  <si>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</si>
  <si>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</si>
  <si>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</si>
  <si>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</si>
  <si>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</si>
  <si>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</si>
  <si>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</si>
  <si>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</si>
  <si>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</si>
  <si>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</si>
  <si>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</si>
  <si>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</si>
  <si>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</si>
  <si>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</si>
  <si>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</si>
  <si>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</si>
  <si>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</si>
  <si>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</si>
  <si>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</si>
  <si>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</si>
  <si>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</si>
  <si>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</si>
  <si>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</si>
  <si>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</si>
  <si>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</si>
  <si>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</si>
  <si>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</si>
  <si>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</si>
  <si>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</si>
  <si>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</si>
  <si>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</si>
  <si>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</si>
  <si>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</si>
  <si>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</si>
  <si>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</si>
  <si>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</si>
  <si>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</si>
  <si>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</si>
  <si>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</si>
  <si>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</si>
  <si>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</si>
  <si>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</si>
  <si>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</si>
  <si>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</si>
  <si>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</si>
  <si>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</si>
  <si>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</si>
  <si>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</si>
  <si>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</si>
  <si>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</si>
  <si>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</si>
  <si>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</si>
  <si>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</si>
  <si>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</si>
  <si>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</si>
  <si>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</si>
  <si>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</si>
  <si>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</si>
  <si>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</si>
  <si>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</si>
  <si>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</si>
  <si>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</si>
  <si>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</si>
  <si>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</si>
  <si>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</si>
  <si>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</si>
  <si>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</si>
  <si>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</si>
  <si>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</si>
  <si>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</si>
  <si>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</si>
  <si>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</si>
  <si>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</si>
  <si>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</si>
  <si>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</si>
  <si>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</si>
  <si>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</si>
  <si>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</si>
  <si>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</si>
  <si>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</si>
  <si>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</si>
  <si>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</si>
  <si>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</si>
  <si>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</si>
  <si>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</si>
  <si>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</si>
  <si>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</si>
  <si>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</si>
  <si>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</si>
  <si>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</si>
  <si>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</si>
  <si>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</si>
  <si>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</si>
  <si>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</si>
  <si>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</si>
  <si>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</si>
  <si>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</si>
  <si>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</si>
  <si>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</si>
  <si>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</si>
  <si>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</si>
  <si>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</si>
  <si>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</si>
  <si>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</si>
  <si>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</si>
  <si>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</si>
  <si>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</si>
  <si>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</si>
  <si>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</si>
  <si>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</si>
  <si>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</si>
  <si>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</si>
  <si>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</si>
  <si>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</si>
  <si>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</si>
  <si>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</si>
  <si>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</si>
  <si>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</si>
  <si>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</si>
  <si>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</si>
  <si>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</si>
  <si>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</si>
  <si>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</si>
  <si>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</si>
  <si>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</si>
  <si>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</si>
  <si>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</si>
  <si>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</si>
  <si>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</si>
  <si>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</si>
  <si>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</si>
  <si>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</si>
  <si>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</si>
  <si>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</si>
  <si>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</si>
  <si>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</si>
  <si>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</si>
  <si>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</si>
  <si>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</si>
  <si>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</si>
  <si>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</si>
  <si>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</si>
  <si>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</si>
  <si>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</si>
  <si>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</si>
  <si>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</si>
  <si>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</si>
  <si>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</si>
  <si>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</si>
  <si>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</si>
  <si>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</si>
  <si>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</si>
  <si>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</si>
  <si>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</si>
  <si>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</si>
  <si>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</si>
  <si>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</si>
  <si>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</si>
  <si>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</si>
  <si>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</si>
  <si>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</si>
  <si>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</si>
  <si>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</si>
  <si>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</si>
  <si>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</si>
  <si>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</si>
  <si>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</si>
  <si>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</si>
  <si>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</si>
  <si>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</si>
  <si>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</si>
  <si>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</si>
  <si>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</si>
  <si>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</si>
  <si>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</si>
  <si>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</si>
  <si>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</si>
  <si>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</si>
  <si>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</si>
  <si>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</si>
  <si>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</si>
  <si>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</si>
  <si>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</si>
  <si>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</si>
  <si>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</si>
  <si>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</si>
  <si>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</si>
  <si>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</si>
  <si>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</si>
  <si>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</si>
  <si>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</si>
  <si>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</si>
  <si>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</si>
  <si>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</si>
  <si>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</si>
  <si>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</si>
  <si>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</si>
  <si>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</si>
  <si>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</si>
  <si>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</si>
  <si>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</si>
  <si>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</si>
  <si>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</si>
  <si>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</si>
  <si>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</si>
  <si>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</si>
  <si>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</si>
  <si>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</si>
  <si>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</si>
  <si>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</si>
  <si>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</si>
  <si>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</si>
  <si>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</si>
  <si>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</si>
  <si>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</si>
  <si>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</si>
  <si>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</si>
  <si>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</si>
  <si>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</si>
  <si>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</si>
  <si>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</si>
  <si>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</si>
  <si>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</si>
  <si>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</si>
  <si>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</si>
  <si>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</si>
  <si>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</si>
  <si>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</si>
  <si>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</si>
  <si>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</si>
  <si>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</si>
  <si>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</si>
  <si>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</si>
  <si>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</si>
  <si>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</si>
  <si>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</si>
  <si>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</si>
  <si>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</si>
  <si>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</si>
  <si>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</si>
  <si>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</si>
  <si>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</si>
  <si>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</si>
  <si>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</si>
  <si>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</si>
  <si>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</si>
  <si>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</si>
  <si>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</si>
  <si>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</si>
  <si>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</si>
  <si>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</si>
  <si>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</si>
  <si>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</si>
  <si>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</si>
  <si>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</si>
  <si>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</si>
  <si>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</si>
  <si>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</si>
  <si>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</si>
  <si>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</si>
  <si>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</si>
  <si>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</si>
  <si>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</si>
  <si>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</si>
  <si>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</si>
  <si>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</si>
  <si>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</si>
  <si>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</si>
  <si>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</si>
  <si>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</si>
  <si>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</si>
  <si>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</si>
  <si>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</si>
  <si>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</si>
  <si>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</si>
  <si>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</si>
  <si>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</si>
  <si>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</si>
  <si>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</si>
  <si>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</si>
  <si>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</si>
  <si>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</si>
  <si>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</si>
  <si>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</si>
  <si>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</si>
  <si>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</si>
  <si>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</si>
  <si>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</si>
  <si>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</si>
  <si>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</si>
  <si>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</si>
  <si>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</si>
  <si>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</si>
  <si>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</si>
  <si>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</si>
  <si>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</si>
  <si>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</si>
  <si>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</si>
  <si>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</si>
  <si>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</si>
  <si>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</si>
  <si>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</si>
  <si>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</si>
  <si>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</si>
  <si>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</si>
  <si>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</si>
  <si>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</si>
  <si>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</si>
  <si>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</si>
  <si>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</si>
  <si>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</si>
  <si>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</si>
  <si>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</si>
  <si>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</si>
  <si>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</si>
  <si>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</si>
  <si>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</si>
  <si>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</si>
  <si>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</si>
  <si>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</si>
  <si>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</si>
  <si>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</si>
  <si>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</si>
  <si>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</si>
  <si>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</si>
  <si>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</si>
  <si>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</si>
  <si>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</si>
  <si>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</si>
  <si>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</si>
  <si>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</si>
  <si>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</si>
  <si>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</si>
  <si>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</si>
  <si>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</si>
  <si>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</si>
  <si>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</si>
  <si>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</si>
  <si>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</si>
  <si>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</si>
  <si>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</si>
  <si>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</si>
  <si>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</si>
  <si>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</si>
  <si>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</si>
  <si>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</si>
  <si>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</si>
  <si>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</si>
  <si>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</si>
  <si>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</si>
  <si>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</si>
  <si>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</si>
  <si>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</si>
  <si>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</si>
  <si>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</si>
  <si>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</si>
  <si>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</si>
  <si>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</si>
  <si>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</si>
  <si>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</si>
  <si>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</si>
  <si>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</si>
  <si>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</si>
  <si>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</si>
  <si>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</si>
  <si>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</si>
  <si>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</si>
  <si>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</si>
  <si>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</si>
  <si>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</si>
  <si>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</si>
  <si>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</si>
  <si>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</si>
  <si>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</si>
  <si>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</si>
  <si>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</si>
  <si>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</si>
  <si>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</si>
  <si>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</si>
  <si>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</si>
  <si>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</si>
  <si>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</si>
  <si>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</si>
  <si>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</si>
  <si>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</si>
  <si>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</si>
  <si>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</si>
  <si>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</si>
  <si>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</si>
  <si>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</si>
  <si>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</si>
  <si>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</si>
  <si>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</si>
  <si>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</si>
  <si>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</si>
  <si>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</si>
  <si>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</si>
  <si>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</si>
  <si>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</si>
  <si>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</si>
  <si>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</si>
  <si>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</si>
  <si>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</si>
  <si>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</si>
  <si>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</si>
  <si>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</si>
  <si>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</si>
  <si>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</si>
  <si>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</si>
  <si>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</si>
  <si>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</si>
  <si>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</si>
  <si>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</si>
  <si>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</si>
  <si>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</si>
  <si>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</si>
  <si>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</si>
  <si>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</si>
  <si>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</si>
  <si>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</si>
  <si>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</si>
  <si>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</si>
  <si>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</si>
  <si>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</si>
  <si>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</si>
  <si>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</si>
  <si>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</si>
  <si>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</si>
  <si>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</si>
  <si>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</si>
  <si>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</si>
  <si>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</si>
  <si>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</si>
  <si>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</si>
  <si>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</si>
  <si>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</si>
  <si>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</si>
  <si>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</si>
  <si>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</si>
  <si>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</si>
  <si>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</si>
  <si>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</si>
  <si>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</si>
  <si>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</si>
  <si>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</si>
  <si>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</si>
  <si>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</si>
  <si>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</si>
  <si>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</si>
  <si>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</si>
  <si>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</si>
  <si>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</si>
  <si>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</si>
  <si>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</si>
  <si>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</si>
  <si>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</si>
  <si>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</si>
  <si>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</si>
  <si>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</si>
  <si>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</si>
  <si>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</si>
  <si>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</si>
  <si>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</si>
  <si>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</si>
  <si>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</si>
  <si>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</si>
  <si>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</si>
  <si>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</si>
  <si>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</si>
  <si>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</si>
  <si>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</si>
  <si>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</si>
  <si>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</si>
  <si>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</si>
  <si>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</si>
  <si>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</si>
  <si>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</si>
  <si>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</si>
  <si>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</si>
  <si>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</si>
  <si>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</si>
  <si>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</si>
  <si>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</si>
  <si>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</si>
  <si>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</si>
  <si>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</si>
  <si>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</si>
  <si>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</si>
  <si>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</si>
  <si>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</si>
  <si>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</si>
  <si>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</si>
  <si>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</si>
  <si>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</si>
  <si>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</si>
  <si>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</si>
  <si>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</si>
  <si>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</si>
  <si>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</si>
  <si>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</si>
  <si>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</si>
  <si>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</si>
  <si>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</si>
  <si>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</si>
  <si>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</si>
  <si>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</si>
  <si>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</si>
  <si>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</si>
  <si>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</si>
  <si>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</si>
  <si>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</si>
  <si>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</si>
  <si>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</si>
  <si>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</si>
  <si>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</si>
  <si>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</si>
  <si>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</si>
  <si>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</si>
  <si>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</si>
  <si>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</si>
  <si>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</si>
  <si>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</si>
  <si>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</si>
  <si>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</si>
  <si>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</si>
  <si>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</si>
  <si>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</si>
  <si>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</si>
  <si>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</si>
  <si>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</si>
  <si>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</si>
  <si>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</si>
  <si>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</si>
  <si>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</si>
  <si>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</si>
  <si>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</si>
  <si>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</si>
  <si>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</si>
  <si>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</si>
  <si>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</si>
  <si>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</si>
  <si>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</si>
  <si>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</si>
  <si>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</si>
  <si>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</si>
  <si>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</si>
  <si>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</si>
  <si>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</si>
  <si>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</si>
  <si>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</si>
  <si>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</si>
  <si>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</si>
  <si>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</si>
  <si>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</si>
  <si>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</si>
  <si>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</si>
  <si>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</si>
  <si>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</si>
  <si>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</si>
  <si>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</si>
  <si>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</si>
  <si>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</si>
  <si>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</si>
  <si>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</si>
  <si>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</si>
  <si>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</si>
  <si>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</si>
  <si>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</si>
  <si>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</si>
  <si>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</si>
  <si>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</si>
  <si>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</si>
  <si>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</si>
  <si>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</si>
  <si>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</si>
  <si>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</si>
  <si>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</si>
  <si>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</si>
  <si>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</si>
  <si>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</si>
  <si>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</si>
  <si>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</si>
  <si>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</si>
  <si>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</si>
  <si>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</si>
  <si>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</si>
  <si>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</si>
  <si>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</si>
  <si>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</si>
  <si>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</si>
  <si>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</si>
  <si>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</si>
  <si>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</si>
  <si>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</si>
  <si>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</si>
  <si>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</si>
  <si>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</si>
  <si>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</si>
  <si>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</si>
  <si>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</si>
  <si>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</si>
  <si>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</si>
  <si>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</si>
  <si>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</si>
  <si>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</si>
  <si>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</si>
  <si>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</si>
  <si>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</si>
  <si>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</si>
  <si>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</si>
  <si>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</si>
  <si>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</si>
  <si>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</si>
  <si>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</si>
  <si>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</si>
  <si>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</si>
  <si>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</si>
  <si>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</si>
  <si>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</si>
  <si>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</si>
  <si>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</si>
  <si>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</si>
  <si>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</si>
  <si>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</si>
  <si>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</si>
  <si>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</si>
  <si>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</si>
  <si>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</si>
  <si>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</si>
  <si>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</si>
  <si>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</si>
  <si>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</si>
  <si>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</si>
  <si>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</si>
  <si>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</si>
  <si>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</si>
  <si>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</si>
  <si>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</si>
  <si>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</si>
  <si>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</si>
  <si>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</si>
  <si>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</si>
  <si>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</si>
  <si>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</si>
  <si>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</si>
  <si>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</si>
  <si>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</si>
  <si>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</si>
  <si>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</si>
  <si>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</si>
  <si>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</si>
  <si>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</si>
  <si>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</si>
  <si>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</si>
  <si>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</si>
  <si>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</si>
  <si>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</si>
  <si>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</si>
  <si>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</si>
  <si>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</si>
  <si>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</si>
  <si>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</si>
  <si>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</si>
  <si>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</si>
  <si>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</si>
  <si>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</si>
  <si>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</si>
  <si>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</si>
  <si>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</si>
  <si>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</si>
  <si>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</si>
  <si>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</si>
  <si>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</si>
  <si>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</si>
  <si>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</si>
  <si>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</si>
  <si>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</si>
  <si>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</si>
  <si>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</si>
  <si>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</si>
  <si>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</si>
  <si>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</si>
  <si>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</si>
  <si>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</si>
  <si>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</si>
  <si>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</si>
  <si>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</si>
  <si>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</si>
  <si>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</si>
  <si>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</si>
  <si>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</si>
  <si>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</si>
  <si>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</si>
  <si>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</si>
  <si>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</si>
  <si>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</si>
  <si>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</si>
  <si>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</si>
  <si>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</si>
  <si>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</si>
  <si>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</si>
  <si>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</si>
  <si>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</si>
  <si>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</si>
  <si>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</si>
  <si>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</si>
  <si>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</si>
  <si>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</si>
  <si>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</si>
  <si>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</si>
  <si>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</si>
  <si>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</si>
  <si>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</si>
  <si>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</si>
  <si>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</si>
  <si>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</si>
  <si>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</si>
  <si>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</si>
  <si>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</si>
  <si>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</si>
  <si>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</si>
  <si>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</si>
  <si>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</si>
  <si>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</si>
  <si>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</si>
  <si>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</si>
  <si>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</si>
  <si>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</si>
  <si>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</si>
  <si>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</si>
  <si>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</si>
  <si>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</si>
  <si>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</si>
  <si>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</si>
  <si>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</si>
  <si>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</si>
  <si>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</si>
  <si>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</si>
  <si>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</si>
  <si>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</si>
  <si>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</si>
  <si>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</si>
  <si>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</si>
  <si>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</si>
  <si>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</si>
  <si>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</si>
  <si>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</si>
  <si>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</si>
  <si>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</si>
  <si>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</si>
  <si>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</si>
  <si>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</si>
  <si>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</si>
  <si>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</si>
  <si>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</si>
  <si>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</si>
  <si>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</si>
  <si>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</si>
  <si>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</si>
  <si>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</si>
  <si>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</si>
  <si>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</si>
  <si>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</si>
  <si>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</si>
  <si>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</si>
  <si>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</si>
  <si>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</si>
  <si>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</si>
  <si>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</si>
  <si>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</si>
  <si>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</si>
  <si>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</si>
  <si>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</si>
  <si>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</si>
  <si>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</si>
  <si>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</si>
  <si>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</si>
  <si>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</si>
  <si>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</si>
  <si>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</si>
  <si>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</si>
  <si>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</si>
  <si>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</si>
  <si>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</si>
  <si>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</si>
  <si>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</si>
  <si>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</si>
  <si>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</si>
  <si>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</si>
  <si>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</si>
  <si>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</si>
  <si>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</si>
  <si>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</si>
  <si>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</si>
  <si>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</si>
  <si>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</si>
  <si>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</si>
  <si>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</si>
  <si>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</si>
  <si>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</si>
  <si>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</si>
  <si>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</si>
  <si>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</si>
  <si>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</si>
  <si>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</si>
  <si>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</si>
  <si>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</si>
  <si>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</si>
  <si>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</si>
  <si>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</si>
  <si>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</si>
  <si>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</si>
  <si>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</si>
  <si>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</si>
  <si>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</si>
  <si>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</si>
  <si>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</si>
  <si>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</si>
  <si>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</si>
  <si>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</si>
  <si>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</si>
  <si>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</si>
  <si>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</si>
  <si>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</si>
  <si>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</si>
  <si>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</si>
  <si>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</si>
  <si>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</si>
  <si>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</si>
  <si>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</si>
  <si>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</si>
  <si>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</si>
  <si>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</si>
  <si>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</si>
  <si>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</si>
  <si>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</si>
  <si>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</si>
  <si>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</si>
  <si>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</si>
  <si>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</si>
  <si>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</si>
  <si>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</si>
  <si>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</si>
  <si>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</si>
  <si>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</si>
  <si>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</si>
  <si>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</si>
  <si>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</si>
  <si>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</si>
  <si>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</si>
  <si>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</si>
  <si>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</si>
  <si>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</si>
  <si>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</si>
  <si>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</si>
  <si>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</si>
  <si>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</si>
  <si>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</si>
  <si>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</si>
  <si>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</si>
  <si>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</si>
  <si>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</si>
  <si>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</si>
  <si>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</si>
  <si>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</si>
  <si>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</si>
  <si>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</si>
  <si>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</si>
  <si>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</si>
  <si>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</si>
  <si>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</si>
  <si>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</si>
  <si>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</si>
  <si>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</si>
  <si>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</si>
  <si>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</si>
  <si>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</si>
  <si>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</si>
  <si>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</si>
  <si>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</si>
  <si>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</si>
  <si>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</si>
  <si>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</si>
  <si>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</si>
  <si>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</si>
  <si>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</si>
  <si>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</si>
  <si>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</si>
  <si>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</si>
  <si>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</si>
  <si>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</si>
  <si>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</si>
  <si>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</si>
  <si>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</si>
  <si>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</si>
  <si>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</si>
  <si>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</si>
  <si>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</si>
  <si>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</si>
  <si>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</si>
  <si>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</si>
  <si>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</si>
  <si>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</si>
  <si>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</si>
  <si>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</si>
  <si>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</si>
  <si>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</si>
  <si>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</si>
  <si>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</si>
  <si>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</si>
  <si>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</si>
  <si>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</si>
  <si>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</si>
  <si>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</si>
  <si>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</si>
  <si>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</si>
  <si>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</si>
  <si>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</si>
  <si>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</si>
  <si>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</si>
  <si>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</si>
  <si>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</si>
  <si>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</si>
  <si>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</si>
  <si>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</si>
  <si>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</si>
  <si>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</si>
  <si>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</si>
  <si>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</si>
  <si>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</si>
  <si>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</si>
  <si>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</si>
  <si>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</si>
  <si>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</si>
  <si>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</si>
  <si>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</si>
  <si>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</si>
  <si>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</si>
  <si>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</si>
  <si>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</si>
  <si>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</si>
  <si>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</si>
  <si>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</si>
  <si>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</si>
  <si>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</si>
  <si>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</si>
  <si>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</si>
  <si>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</si>
  <si>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</si>
  <si>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</si>
  <si>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</si>
  <si>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</si>
  <si>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</si>
  <si>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</si>
  <si>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</si>
  <si>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</si>
  <si>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</si>
  <si>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</si>
  <si>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</si>
  <si>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</si>
  <si>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</si>
  <si>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</si>
  <si>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</si>
  <si>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</si>
  <si>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</si>
  <si>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</si>
  <si>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</si>
  <si>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</si>
  <si>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</si>
  <si>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</si>
  <si>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</si>
  <si>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</si>
  <si>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</si>
  <si>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</si>
  <si>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</si>
  <si>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</si>
  <si>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</si>
  <si>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</si>
  <si>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</si>
  <si>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</si>
  <si>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</si>
  <si>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</si>
  <si>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</si>
  <si>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</si>
  <si>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</si>
  <si>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</si>
  <si>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</si>
  <si>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</si>
  <si>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</si>
  <si>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</si>
  <si>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</si>
  <si>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</si>
  <si>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</si>
  <si>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</si>
  <si>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</si>
  <si>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</si>
  <si>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</si>
  <si>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</si>
  <si>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</si>
  <si>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</si>
  <si>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</si>
  <si>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</si>
  <si>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</si>
  <si>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</si>
  <si>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</si>
  <si>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</si>
  <si>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</si>
  <si>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</si>
  <si>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</si>
  <si>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</si>
  <si>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</si>
  <si>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</si>
  <si>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</si>
  <si>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</si>
  <si>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</si>
  <si>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</si>
  <si>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</si>
  <si>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</si>
  <si>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</si>
  <si>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</si>
  <si>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</si>
  <si>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</si>
  <si>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</si>
  <si>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</si>
  <si>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</si>
  <si>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</si>
  <si>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</si>
  <si>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</si>
  <si>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</si>
  <si>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</si>
  <si>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</si>
  <si>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</si>
  <si>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</si>
  <si>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</si>
  <si>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</si>
  <si>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</si>
  <si>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</si>
  <si>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</si>
  <si>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</si>
  <si>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</si>
  <si>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</si>
  <si>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</si>
  <si>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</si>
  <si>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</si>
  <si>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</si>
  <si>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</si>
  <si>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</si>
  <si>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</si>
  <si>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</si>
  <si>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</si>
  <si>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</si>
  <si>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</si>
  <si>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</si>
  <si>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</si>
  <si>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</si>
  <si>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</si>
  <si>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</si>
  <si>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</si>
  <si>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</si>
  <si>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</si>
  <si>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</si>
  <si>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</si>
  <si>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</si>
  <si>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</si>
  <si>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</si>
  <si>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</si>
  <si>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</si>
  <si>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</si>
  <si>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</si>
  <si>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</si>
  <si>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</si>
  <si>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</si>
  <si>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</si>
  <si>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</si>
  <si>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</si>
  <si>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</si>
  <si>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</si>
  <si>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</si>
  <si>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</si>
  <si>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</si>
  <si>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</si>
  <si>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</si>
  <si>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</si>
  <si>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</si>
  <si>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</si>
  <si>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</si>
  <si>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</si>
  <si>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</si>
  <si>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</si>
  <si>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</si>
  <si>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</si>
  <si>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</si>
  <si>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</si>
  <si>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</si>
  <si>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</si>
  <si>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</si>
  <si>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</si>
  <si>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</si>
  <si>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</si>
  <si>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</si>
  <si>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</si>
  <si>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</si>
  <si>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</si>
  <si>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</si>
  <si>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</si>
  <si>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</si>
  <si>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</si>
  <si>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</si>
  <si>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</si>
  <si>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</si>
  <si>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</si>
  <si>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</si>
  <si>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</si>
  <si>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</si>
  <si>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</si>
  <si>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</si>
  <si>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</si>
  <si>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</si>
  <si>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</si>
  <si>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</si>
  <si>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</si>
  <si>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</si>
  <si>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</si>
  <si>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</si>
  <si>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</si>
  <si>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</si>
  <si>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</si>
  <si>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</si>
  <si>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</si>
  <si>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</si>
  <si>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</si>
  <si>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</si>
  <si>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</si>
  <si>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</si>
  <si>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</si>
  <si>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</si>
  <si>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</si>
  <si>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</si>
  <si>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</si>
  <si>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</si>
  <si>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</si>
  <si>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</si>
  <si>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</si>
  <si>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</si>
  <si>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</si>
  <si>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</si>
  <si>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</si>
  <si>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</si>
  <si>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</si>
  <si>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</si>
  <si>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</si>
  <si>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</si>
  <si>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</si>
  <si>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</si>
  <si>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</si>
  <si>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</si>
  <si>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</si>
  <si>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</si>
  <si>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</si>
  <si>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</si>
  <si>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</si>
  <si>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</si>
  <si>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</si>
  <si>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</si>
  <si>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</si>
  <si>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</si>
  <si>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</si>
  <si>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</si>
  <si>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</si>
  <si>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</si>
  <si>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</si>
  <si>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</si>
  <si>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</si>
  <si>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</si>
  <si>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</si>
  <si>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</si>
  <si>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</si>
  <si>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</si>
  <si>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</si>
  <si>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</si>
  <si>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</si>
  <si>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</si>
  <si>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</si>
  <si>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</si>
  <si>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</si>
  <si>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</si>
  <si>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</si>
  <si>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</si>
  <si>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</si>
  <si>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</si>
  <si>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</si>
  <si>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</si>
  <si>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</si>
  <si>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</si>
  <si>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</si>
  <si>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</si>
  <si>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</si>
  <si>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</si>
  <si>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</si>
  <si>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</si>
  <si>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</si>
  <si>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</si>
  <si>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</si>
  <si>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</si>
  <si>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</si>
  <si>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</si>
  <si>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</si>
  <si>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</si>
  <si>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</si>
  <si>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</si>
  <si>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</si>
  <si>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</si>
  <si>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</si>
  <si>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</si>
  <si>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</si>
  <si>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</si>
  <si>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</si>
  <si>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</si>
  <si>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</si>
  <si>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</si>
  <si>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</si>
  <si>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</si>
  <si>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</si>
  <si>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</si>
  <si>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</si>
  <si>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</si>
  <si>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</si>
  <si>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</si>
  <si>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</si>
  <si>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</si>
  <si>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</si>
  <si>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</si>
  <si>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</si>
  <si>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</si>
  <si>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</si>
  <si>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</si>
  <si>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</si>
  <si>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</si>
  <si>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</si>
  <si>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</si>
  <si>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</si>
  <si>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</si>
  <si>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</si>
  <si>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</si>
  <si>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</si>
  <si>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</si>
  <si>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</si>
  <si>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</si>
  <si>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</si>
  <si>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</si>
  <si>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</si>
  <si>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</si>
  <si>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</si>
  <si>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</si>
  <si>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</si>
  <si>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</si>
  <si>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</si>
  <si>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</si>
  <si>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</si>
  <si>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</si>
  <si>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</si>
  <si>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</si>
  <si>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</si>
  <si>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</si>
  <si>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</si>
  <si>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</si>
  <si>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</si>
  <si>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</si>
  <si>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</si>
  <si>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</si>
  <si>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</si>
  <si>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</si>
  <si>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</si>
  <si>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</si>
  <si>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</si>
  <si>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</si>
  <si>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</si>
  <si>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</si>
  <si>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</si>
  <si>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</si>
  <si>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</si>
  <si>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</si>
  <si>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</si>
  <si>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</si>
  <si>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</si>
  <si>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</si>
  <si>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</si>
  <si>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</si>
  <si>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</si>
  <si>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</si>
  <si>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</si>
  <si>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</si>
  <si>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</si>
  <si>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</si>
  <si>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</si>
  <si>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</si>
  <si>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</si>
  <si>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</si>
  <si>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</si>
  <si>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</si>
  <si>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</si>
  <si>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</si>
  <si>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</si>
  <si>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</si>
  <si>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</si>
  <si>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</si>
  <si>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</si>
  <si>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</si>
  <si>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</si>
  <si>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</si>
  <si>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</si>
  <si>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</si>
  <si>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</si>
  <si>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</si>
  <si>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</si>
  <si>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</si>
  <si>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</si>
  <si>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</si>
  <si>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</si>
  <si>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</si>
  <si>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</si>
  <si>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</si>
  <si>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</si>
  <si>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</si>
  <si>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</si>
  <si>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</si>
  <si>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</si>
  <si>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</si>
  <si>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</si>
  <si>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</si>
  <si>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</si>
  <si>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</si>
  <si>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</si>
  <si>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</si>
  <si>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</si>
  <si>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</si>
  <si>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</si>
  <si>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</si>
  <si>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</si>
  <si>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</si>
  <si>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</si>
  <si>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</si>
  <si>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</si>
  <si>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</si>
  <si>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</si>
  <si>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</si>
  <si>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</si>
  <si>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</si>
  <si>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</si>
  <si>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</si>
  <si>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</si>
  <si>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</si>
  <si>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</si>
  <si>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</si>
  <si>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</si>
  <si>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</si>
  <si>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</si>
  <si>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</si>
  <si>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</si>
  <si>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</si>
  <si>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</si>
  <si>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</si>
  <si>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</si>
  <si>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</si>
  <si>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</si>
  <si>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</si>
  <si>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</si>
  <si>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</si>
  <si>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</si>
  <si>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</si>
  <si>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</si>
  <si>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</si>
  <si>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</si>
  <si>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</si>
  <si>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</si>
  <si>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</si>
  <si>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</si>
  <si>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</si>
  <si>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</si>
  <si>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</si>
  <si>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</si>
  <si>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</si>
  <si>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</si>
  <si>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</si>
  <si>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</si>
  <si>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</si>
  <si>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</si>
  <si>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</si>
  <si>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</si>
  <si>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</si>
  <si>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</si>
  <si>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</si>
  <si>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</si>
  <si>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</si>
  <si>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</si>
  <si>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</si>
  <si>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</si>
  <si>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</si>
  <si>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</si>
  <si>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</si>
  <si>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</si>
  <si>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</si>
  <si>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</si>
  <si>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</si>
  <si>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</si>
  <si>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</si>
  <si>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</si>
  <si>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</si>
  <si>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</si>
  <si>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</si>
  <si>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</si>
  <si>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</si>
  <si>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</si>
  <si>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</si>
  <si>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</si>
  <si>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</si>
  <si>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</si>
  <si>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</si>
  <si>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</si>
  <si>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</si>
  <si>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</si>
  <si>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</si>
  <si>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</si>
  <si>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</si>
  <si>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</si>
  <si>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</si>
  <si>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</si>
  <si>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</si>
  <si>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</si>
  <si>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</si>
  <si>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</si>
  <si>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</si>
  <si>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</si>
  <si>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</si>
  <si>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</si>
  <si>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</si>
  <si>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</si>
  <si>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</si>
  <si>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</si>
  <si>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</si>
  <si>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</si>
  <si>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</si>
  <si>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</si>
  <si>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</si>
  <si>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</si>
  <si>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</si>
  <si>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</si>
  <si>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</si>
  <si>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</si>
  <si>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</si>
  <si>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</si>
  <si>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</si>
  <si>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</si>
  <si>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</si>
  <si>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</si>
  <si>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</si>
  <si>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</si>
  <si>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</si>
  <si>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</si>
  <si>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</si>
  <si>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</si>
  <si>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</si>
  <si>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</si>
  <si>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</si>
  <si>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</si>
  <si>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</si>
  <si>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</si>
  <si>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</si>
  <si>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</si>
  <si>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</si>
  <si>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</si>
  <si>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</si>
  <si>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</si>
  <si>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</si>
  <si>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</si>
  <si>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</si>
  <si>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</si>
  <si>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</si>
  <si>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</si>
  <si>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</si>
  <si>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</si>
  <si>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</si>
  <si>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</si>
  <si>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</si>
  <si>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</si>
  <si>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</si>
  <si>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</si>
  <si>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</si>
  <si>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</si>
  <si>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</si>
  <si>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</si>
  <si>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</si>
  <si>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</si>
  <si>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</si>
  <si>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</si>
  <si>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</si>
  <si>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</si>
  <si>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</si>
  <si>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</si>
  <si>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</si>
  <si>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</si>
  <si>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</si>
  <si>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</si>
  <si>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</si>
  <si>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</si>
  <si>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</si>
  <si>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</si>
  <si>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</si>
  <si>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</si>
  <si>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</si>
  <si>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</si>
  <si>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</si>
  <si>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</si>
  <si>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</si>
  <si>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</si>
  <si>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</si>
  <si>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</si>
  <si>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</si>
  <si>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</si>
  <si>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</si>
  <si>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</si>
  <si>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</si>
  <si>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</si>
  <si>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</si>
  <si>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</si>
  <si>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</si>
  <si>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</si>
  <si>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</si>
  <si>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</si>
  <si>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</si>
  <si>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</si>
  <si>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</si>
  <si>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</si>
  <si>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</si>
  <si>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</si>
  <si>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</si>
  <si>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</si>
  <si>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</si>
  <si>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</si>
  <si>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</si>
  <si>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</si>
  <si>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</si>
  <si>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</si>
  <si>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</si>
  <si>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</si>
  <si>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</si>
  <si>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</si>
  <si>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</si>
  <si>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</si>
  <si>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</si>
  <si>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</si>
  <si>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</si>
  <si>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</si>
  <si>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</si>
  <si>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</si>
  <si>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</si>
  <si>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</si>
  <si>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</si>
  <si>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</si>
  <si>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</si>
  <si>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</si>
  <si>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</si>
  <si>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</si>
  <si>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</si>
  <si>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</si>
  <si>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</si>
  <si>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</si>
  <si>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</si>
  <si>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</si>
  <si>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</si>
  <si>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</si>
  <si>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</si>
  <si>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</si>
  <si>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</si>
  <si>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</si>
  <si>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</si>
  <si>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</si>
  <si>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</si>
  <si>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</si>
  <si>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</si>
  <si>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</si>
  <si>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</si>
  <si>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</si>
  <si>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</si>
  <si>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</si>
  <si>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</si>
  <si>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</si>
  <si>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</si>
  <si>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</si>
  <si>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</si>
  <si>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</si>
  <si>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</si>
  <si>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</si>
  <si>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</si>
  <si>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</si>
  <si>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</si>
  <si>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</si>
  <si>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</si>
  <si>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</si>
  <si>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</si>
  <si>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</si>
  <si>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</si>
  <si>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</si>
  <si>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</si>
  <si>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</si>
  <si>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</si>
  <si>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</si>
  <si>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</si>
  <si>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</si>
  <si>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</si>
  <si>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</si>
  <si>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</si>
  <si>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</si>
  <si>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</si>
  <si>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</si>
  <si>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</si>
  <si>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</si>
  <si>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</si>
  <si>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</si>
  <si>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</si>
  <si>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</si>
  <si>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</si>
  <si>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</si>
  <si>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</si>
  <si>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</si>
  <si>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</si>
  <si>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</si>
  <si>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</si>
  <si>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</si>
  <si>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</si>
  <si>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</si>
  <si>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</si>
  <si>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</si>
  <si>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</si>
  <si>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</si>
  <si>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</si>
  <si>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</si>
  <si>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</si>
  <si>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</si>
  <si>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</si>
  <si>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</si>
  <si>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</si>
  <si>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</si>
  <si>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</si>
  <si>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</si>
  <si>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</si>
  <si>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</si>
  <si>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</si>
  <si>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</si>
  <si>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</si>
  <si>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</si>
  <si>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</si>
  <si>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</si>
  <si>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</si>
  <si>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</si>
  <si>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</si>
  <si>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</si>
  <si>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</si>
  <si>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</si>
  <si>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</si>
  <si>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</si>
  <si>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</si>
  <si>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</si>
  <si>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</si>
  <si>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</si>
  <si>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</si>
  <si>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</si>
  <si>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</si>
  <si>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</si>
  <si>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</si>
  <si>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</si>
  <si>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</si>
  <si>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</si>
  <si>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</si>
  <si>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</si>
  <si>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</si>
  <si>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</si>
  <si>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</si>
  <si>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</si>
  <si>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</si>
  <si>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</si>
  <si>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</si>
  <si>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</si>
  <si>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</si>
  <si>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</si>
  <si>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</si>
  <si>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</si>
  <si>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</si>
  <si>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</si>
  <si>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</si>
  <si>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</si>
  <si>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</si>
  <si>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</si>
  <si>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</si>
  <si>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</si>
  <si>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</si>
  <si>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</si>
  <si>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</si>
  <si>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</si>
  <si>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</si>
  <si>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</si>
  <si>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</si>
  <si>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</si>
  <si>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</si>
  <si>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</si>
  <si>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</si>
  <si>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</si>
  <si>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</si>
  <si>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</si>
  <si>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</si>
  <si>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企业</t>
  </si>
  <si>
    <t>北京恒基伟业移动通讯技术有限公司</t>
    <phoneticPr fontId="3" type="noConversion"/>
  </si>
  <si>
    <r>
      <rPr>
        <sz val="10"/>
        <color theme="9" tint="-0.249977111117893"/>
        <rFont val="宋体"/>
        <family val="3"/>
        <charset val="134"/>
      </rPr>
      <t>朝阳区望京东路</t>
    </r>
    <r>
      <rPr>
        <sz val="10"/>
        <color theme="9" tint="-0.249977111117893"/>
        <rFont val="Arial"/>
        <family val="2"/>
      </rPr>
      <t>4</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phoneticPr fontId="3" type="noConversion"/>
  </si>
  <si>
    <t>是</t>
  </si>
  <si>
    <t>否</t>
  </si>
  <si>
    <t>现房</t>
  </si>
  <si>
    <t>Ⅳ-电子城西</t>
  </si>
  <si>
    <t>土地证</t>
    <phoneticPr fontId="134" type="noConversion"/>
  </si>
  <si>
    <t>建设用地规划许可证</t>
    <phoneticPr fontId="134" type="noConversion"/>
  </si>
  <si>
    <t>总用地面积</t>
    <phoneticPr fontId="134" type="noConversion"/>
  </si>
  <si>
    <t>证号</t>
    <phoneticPr fontId="134" type="noConversion"/>
  </si>
  <si>
    <t>土地使用权人</t>
    <phoneticPr fontId="134" type="noConversion"/>
  </si>
  <si>
    <t>座落</t>
    <phoneticPr fontId="134" type="noConversion"/>
  </si>
  <si>
    <t>地类（用途）</t>
    <phoneticPr fontId="134" type="noConversion"/>
  </si>
  <si>
    <t>使用权类型</t>
    <phoneticPr fontId="134" type="noConversion"/>
  </si>
  <si>
    <t>终止日期</t>
    <phoneticPr fontId="134" type="noConversion"/>
  </si>
  <si>
    <t>使用权面积</t>
    <phoneticPr fontId="134" type="noConversion"/>
  </si>
  <si>
    <t>中关村电子城西区E8-2项目</t>
    <phoneticPr fontId="134" type="noConversion"/>
  </si>
  <si>
    <t>地上容积率</t>
    <phoneticPr fontId="134" type="noConversion"/>
  </si>
  <si>
    <r>
      <t>京朝国用（2</t>
    </r>
    <r>
      <rPr>
        <sz val="11"/>
        <color theme="1"/>
        <rFont val="宋体"/>
        <family val="3"/>
        <charset val="134"/>
        <scheme val="minor"/>
      </rPr>
      <t>011出）第00172号</t>
    </r>
    <phoneticPr fontId="134" type="noConversion"/>
  </si>
  <si>
    <t>北京中关村电子城建设有限公司</t>
    <phoneticPr fontId="134" type="noConversion"/>
  </si>
  <si>
    <r>
      <t>朝阳区中关村科技园区电子城西区E</t>
    </r>
    <r>
      <rPr>
        <sz val="11"/>
        <color theme="1"/>
        <rFont val="宋体"/>
        <family val="3"/>
        <charset val="134"/>
        <scheme val="minor"/>
      </rPr>
      <t>8-2地块</t>
    </r>
    <phoneticPr fontId="134" type="noConversion"/>
  </si>
  <si>
    <t>综合（研发、生产、办公）、地下综合、地下车库</t>
    <phoneticPr fontId="134" type="noConversion"/>
  </si>
  <si>
    <t>出让</t>
    <phoneticPr fontId="134" type="noConversion"/>
  </si>
  <si>
    <t>建设工程规划许可证</t>
    <phoneticPr fontId="134" type="noConversion"/>
  </si>
  <si>
    <t>建筑面积</t>
    <phoneticPr fontId="134" type="noConversion"/>
  </si>
  <si>
    <t>层数</t>
    <phoneticPr fontId="134" type="noConversion"/>
  </si>
  <si>
    <t>高度</t>
    <phoneticPr fontId="134" type="noConversion"/>
  </si>
  <si>
    <t>地下2层面积</t>
    <phoneticPr fontId="134" type="noConversion"/>
  </si>
  <si>
    <t>序号</t>
    <phoneticPr fontId="134" type="noConversion"/>
  </si>
  <si>
    <t>项目性质</t>
    <phoneticPr fontId="134" type="noConversion"/>
  </si>
  <si>
    <t>总建筑面积</t>
    <phoneticPr fontId="134" type="noConversion"/>
  </si>
  <si>
    <t>栋数</t>
    <phoneticPr fontId="134" type="noConversion"/>
  </si>
  <si>
    <t>地下1层面积</t>
    <phoneticPr fontId="134" type="noConversion"/>
  </si>
  <si>
    <r>
      <t>电子城西区E</t>
    </r>
    <r>
      <rPr>
        <sz val="11"/>
        <color theme="1"/>
        <rFont val="宋体"/>
        <family val="3"/>
        <charset val="134"/>
        <scheme val="minor"/>
      </rPr>
      <t>8-2研发中心</t>
    </r>
    <phoneticPr fontId="134" type="noConversion"/>
  </si>
  <si>
    <t>1层面积</t>
    <phoneticPr fontId="134" type="noConversion"/>
  </si>
  <si>
    <t>人防出入口</t>
    <phoneticPr fontId="134" type="noConversion"/>
  </si>
  <si>
    <t>2-8层面积</t>
    <phoneticPr fontId="134" type="noConversion"/>
  </si>
  <si>
    <t>总计</t>
    <phoneticPr fontId="134" type="noConversion"/>
  </si>
  <si>
    <t>——</t>
    <phoneticPr fontId="134" type="noConversion"/>
  </si>
  <si>
    <t>不动产权证书</t>
    <phoneticPr fontId="134" type="noConversion"/>
  </si>
  <si>
    <t>权利人</t>
    <phoneticPr fontId="134" type="noConversion"/>
  </si>
  <si>
    <t>权利类型</t>
    <phoneticPr fontId="134" type="noConversion"/>
  </si>
  <si>
    <t>权利性质</t>
    <phoneticPr fontId="134" type="noConversion"/>
  </si>
  <si>
    <t>总层数</t>
    <phoneticPr fontId="134" type="noConversion"/>
  </si>
  <si>
    <t>所在层数</t>
    <phoneticPr fontId="134" type="noConversion"/>
  </si>
  <si>
    <t>部位及房号</t>
    <phoneticPr fontId="134" type="noConversion"/>
  </si>
  <si>
    <t>结构</t>
    <phoneticPr fontId="134" type="noConversion"/>
  </si>
  <si>
    <t>京（2016）朝阳区不动产权第0036187号</t>
  </si>
  <si>
    <t>北京恒基伟业移动通讯技术有限公司</t>
    <phoneticPr fontId="134" type="noConversion"/>
  </si>
  <si>
    <r>
      <t>朝阳区望京东路4号院</t>
    </r>
    <r>
      <rPr>
        <sz val="11"/>
        <color theme="1"/>
        <rFont val="宋体"/>
        <family val="3"/>
        <charset val="134"/>
        <scheme val="minor"/>
      </rPr>
      <t>1号楼-2层-204</t>
    </r>
    <phoneticPr fontId="134" type="noConversion"/>
  </si>
  <si>
    <t>房屋所有权</t>
    <phoneticPr fontId="134" type="noConversion"/>
  </si>
  <si>
    <t>商品房</t>
    <phoneticPr fontId="134" type="noConversion"/>
  </si>
  <si>
    <t>地下车库</t>
    <phoneticPr fontId="134" type="noConversion"/>
  </si>
  <si>
    <t>08（-02）</t>
    <phoneticPr fontId="134" type="noConversion"/>
  </si>
  <si>
    <t>钢混</t>
    <phoneticPr fontId="134" type="noConversion"/>
  </si>
  <si>
    <t>京（2016）朝阳区不动产权第0036505号</t>
    <phoneticPr fontId="134" type="noConversion"/>
  </si>
  <si>
    <t>朝阳区望京东路4号院1号楼-1层-106</t>
    <phoneticPr fontId="134" type="noConversion"/>
  </si>
  <si>
    <t>地下车库面积合计</t>
    <phoneticPr fontId="134" type="noConversion"/>
  </si>
  <si>
    <t>地下面积占比</t>
    <phoneticPr fontId="134" type="noConversion"/>
  </si>
  <si>
    <t>京（2016）朝阳区不动产权第0036201号</t>
    <phoneticPr fontId="134" type="noConversion"/>
  </si>
  <si>
    <t>朝阳区望京东路4号院1号楼1层103</t>
    <phoneticPr fontId="134" type="noConversion"/>
  </si>
  <si>
    <t>研发中心</t>
    <phoneticPr fontId="134" type="noConversion"/>
  </si>
  <si>
    <t>地上研发面积合计</t>
    <phoneticPr fontId="134" type="noConversion"/>
  </si>
  <si>
    <t>地上面积占比</t>
    <phoneticPr fontId="134" type="noConversion"/>
  </si>
  <si>
    <t>京（2016）朝阳区不动产权第0036496号</t>
    <phoneticPr fontId="134" type="noConversion"/>
  </si>
  <si>
    <t>朝阳区望京东路4号院1号楼1层104</t>
    <phoneticPr fontId="134" type="noConversion"/>
  </si>
  <si>
    <t>京（2016）朝阳区不动产权第0036495号</t>
    <phoneticPr fontId="134" type="noConversion"/>
  </si>
  <si>
    <t>朝阳区望京东路4号院1号楼1层105</t>
    <phoneticPr fontId="134" type="noConversion"/>
  </si>
  <si>
    <t>京（2016）朝阳区不动产权第0036504号</t>
    <phoneticPr fontId="134" type="noConversion"/>
  </si>
  <si>
    <t>朝阳区望京东路4号院1号楼1层106</t>
    <phoneticPr fontId="134" type="noConversion"/>
  </si>
  <si>
    <t>京（2016）朝阳区不动产权第0036203号</t>
    <phoneticPr fontId="134" type="noConversion"/>
  </si>
  <si>
    <t>朝阳区望京东路4号院1号楼1层107</t>
    <phoneticPr fontId="134" type="noConversion"/>
  </si>
  <si>
    <t>京（2016）朝阳区不动产权第0036205号</t>
    <phoneticPr fontId="134" type="noConversion"/>
  </si>
  <si>
    <t>朝阳区望京东路4号院1号楼2层202</t>
    <phoneticPr fontId="134" type="noConversion"/>
  </si>
  <si>
    <t>京（2016）朝阳区不动产权第0036214号</t>
    <phoneticPr fontId="134" type="noConversion"/>
  </si>
  <si>
    <t>朝阳区望京东路4号院1号楼2层203</t>
    <phoneticPr fontId="134" type="noConversion"/>
  </si>
  <si>
    <t>京（2016）朝阳区不动产权第0036212号</t>
    <phoneticPr fontId="134" type="noConversion"/>
  </si>
  <si>
    <t>朝阳区望京东路4号院1号楼2层204</t>
    <phoneticPr fontId="134" type="noConversion"/>
  </si>
  <si>
    <t>京（2016）朝阳区不动产权第0036209号</t>
    <phoneticPr fontId="134" type="noConversion"/>
  </si>
  <si>
    <t>朝阳区望京东路4号院1号楼2层205</t>
    <phoneticPr fontId="134" type="noConversion"/>
  </si>
  <si>
    <t>京（2016）朝阳区不动产权第0036503号</t>
    <phoneticPr fontId="134" type="noConversion"/>
  </si>
  <si>
    <t>朝阳区望京东路4号院1号楼3层302</t>
    <phoneticPr fontId="134" type="noConversion"/>
  </si>
  <si>
    <t>京（2016）朝阳区不动产权第0036502号</t>
    <phoneticPr fontId="134" type="noConversion"/>
  </si>
  <si>
    <t>朝阳区望京东路4号院1号楼3层303</t>
    <phoneticPr fontId="134" type="noConversion"/>
  </si>
  <si>
    <t>京（2016）朝阳区不动产权第0036501号</t>
    <phoneticPr fontId="134" type="noConversion"/>
  </si>
  <si>
    <t>朝阳区望京东路4号院1号楼3层304</t>
    <phoneticPr fontId="134" type="noConversion"/>
  </si>
  <si>
    <t>京（2016）朝阳区不动产权第0036500号</t>
    <phoneticPr fontId="134" type="noConversion"/>
  </si>
  <si>
    <t>朝阳区望京东路4号院1号楼4层402</t>
    <phoneticPr fontId="134" type="noConversion"/>
  </si>
  <si>
    <t>研发实验室</t>
    <phoneticPr fontId="134" type="noConversion"/>
  </si>
  <si>
    <t>京（2016）朝阳区不动产权第0036499号</t>
    <phoneticPr fontId="134" type="noConversion"/>
  </si>
  <si>
    <t>朝阳区望京东路4号院1号楼4层403</t>
    <phoneticPr fontId="134" type="noConversion"/>
  </si>
  <si>
    <t>京（2016）朝阳区不动产权第0036498号</t>
    <phoneticPr fontId="134" type="noConversion"/>
  </si>
  <si>
    <t>朝阳区望京东路4号院1号楼4层404</t>
    <phoneticPr fontId="134" type="noConversion"/>
  </si>
  <si>
    <t>京（2016）朝阳区不动产权第0036497号</t>
    <phoneticPr fontId="134" type="noConversion"/>
  </si>
  <si>
    <t>朝阳区望京东路4号院1号楼4层405</t>
    <phoneticPr fontId="134" type="noConversion"/>
  </si>
  <si>
    <t>京（2016）朝阳区不动产权第0036208号</t>
    <phoneticPr fontId="134" type="noConversion"/>
  </si>
  <si>
    <t>朝阳区望京东路4号院1号楼5层502</t>
    <phoneticPr fontId="134" type="noConversion"/>
  </si>
  <si>
    <t>京（2016）朝阳区不动产权第0036207号</t>
    <phoneticPr fontId="134" type="noConversion"/>
  </si>
  <si>
    <t>朝阳区望京东路4号院1号楼5层503</t>
    <phoneticPr fontId="134" type="noConversion"/>
  </si>
  <si>
    <t>京（2016）朝阳区不动产权第0036507号</t>
    <phoneticPr fontId="134" type="noConversion"/>
  </si>
  <si>
    <t>朝阳区望京东路4号院1号楼5层504</t>
    <phoneticPr fontId="134" type="noConversion"/>
  </si>
  <si>
    <t>京（2016）朝阳区不动产权第0036178号</t>
    <phoneticPr fontId="134" type="noConversion"/>
  </si>
  <si>
    <t>朝阳区望京东路4号院1号楼6层602</t>
    <phoneticPr fontId="134" type="noConversion"/>
  </si>
  <si>
    <t>京（2016）朝阳区不动产权第0036179号</t>
    <phoneticPr fontId="134" type="noConversion"/>
  </si>
  <si>
    <t>朝阳区望京东路4号院1号楼6层603</t>
    <phoneticPr fontId="134" type="noConversion"/>
  </si>
  <si>
    <t>京（2016）朝阳区不动产权第0036181号</t>
    <phoneticPr fontId="134" type="noConversion"/>
  </si>
  <si>
    <t>朝阳区望京东路4号院1号楼6层604</t>
    <phoneticPr fontId="134" type="noConversion"/>
  </si>
  <si>
    <t>京（2016）朝阳区不动产权第0036184号</t>
    <phoneticPr fontId="134" type="noConversion"/>
  </si>
  <si>
    <t>朝阳区望京东路4号院1号楼6层605</t>
    <phoneticPr fontId="134" type="noConversion"/>
  </si>
  <si>
    <t>京（2016）朝阳区不动产权第0036506号</t>
    <phoneticPr fontId="134" type="noConversion"/>
  </si>
  <si>
    <t>朝阳区望京东路4号院1号楼7层702</t>
    <phoneticPr fontId="134" type="noConversion"/>
  </si>
  <si>
    <t>京（2016）朝阳区不动产权第0036191号</t>
    <phoneticPr fontId="134" type="noConversion"/>
  </si>
  <si>
    <t>朝阳区望京东路4号院1号楼7层703</t>
    <phoneticPr fontId="134" type="noConversion"/>
  </si>
  <si>
    <t>京（2016）朝阳区不动产权第0036192号</t>
    <phoneticPr fontId="134" type="noConversion"/>
  </si>
  <si>
    <t>朝阳区望京东路4号院1号楼7层704</t>
    <phoneticPr fontId="134" type="noConversion"/>
  </si>
  <si>
    <t>京（2016）朝阳区不动产权第0036195号</t>
    <phoneticPr fontId="134" type="noConversion"/>
  </si>
  <si>
    <t>朝阳区望京东路4号院1号楼7层705</t>
    <phoneticPr fontId="134" type="noConversion"/>
  </si>
  <si>
    <t>京（2016）朝阳区不动产权第0036196号</t>
    <phoneticPr fontId="134" type="noConversion"/>
  </si>
  <si>
    <t>朝阳区望京东路4号院1号楼8层802</t>
    <phoneticPr fontId="134" type="noConversion"/>
  </si>
  <si>
    <t>京（2016）朝阳区不动产权第0036197号</t>
    <phoneticPr fontId="134" type="noConversion"/>
  </si>
  <si>
    <t>朝阳区望京东路4号院1号楼8层803</t>
    <phoneticPr fontId="134" type="noConversion"/>
  </si>
  <si>
    <t>京（2016）朝阳区不动产权第0036199号</t>
    <phoneticPr fontId="134" type="noConversion"/>
  </si>
  <si>
    <t>朝阳区望京东路4号院1号楼8层804</t>
    <phoneticPr fontId="134" type="noConversion"/>
  </si>
  <si>
    <t>京（2016）朝阳区不动产权第0036200号</t>
    <phoneticPr fontId="134" type="noConversion"/>
  </si>
  <si>
    <t>朝阳区望京东路4号院1号楼8层805</t>
    <phoneticPr fontId="134" type="noConversion"/>
  </si>
  <si>
    <t>地上</t>
  </si>
  <si>
    <t>地下</t>
  </si>
  <si>
    <t>研发中心</t>
  </si>
  <si>
    <t>研发中心</t>
    <phoneticPr fontId="7" type="noConversion"/>
  </si>
  <si>
    <t>成新度</t>
  </si>
  <si>
    <t>产权方介绍</t>
    <phoneticPr fontId="3" type="noConversion"/>
  </si>
  <si>
    <t>直线</t>
    <phoneticPr fontId="3" type="noConversion"/>
  </si>
  <si>
    <t>建成年代</t>
    <phoneticPr fontId="3" type="noConversion"/>
  </si>
  <si>
    <t>收益法</t>
  </si>
  <si>
    <t>望京街道</t>
    <phoneticPr fontId="3" type="noConversion"/>
  </si>
  <si>
    <r>
      <rPr>
        <sz val="10"/>
        <color theme="9" tint="-0.249977111117893"/>
        <rFont val="宋体"/>
        <family val="3"/>
        <charset val="134"/>
      </rPr>
      <t>估价对象周边居住用地比例、居住小区规模和社区发展完善程度，综合评价居住社区成熟度一般</t>
    </r>
    <phoneticPr fontId="3"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</si>
  <si>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3" type="noConversion"/>
  </si>
  <si>
    <t>估价对象位于北五环内，周边有望京国际研发园、望京数字创意园、锐创国际中心等办公项目，办公集聚程度较好</t>
    <phoneticPr fontId="3" type="noConversion"/>
  </si>
  <si>
    <t>估价对象临城市支路——屏翠东路，周边1公里范围内有专112、专15、547等多条公交线路，距地铁15号线望京东站约589米，项目内有停车位，停车便捷度较好，综合评价交通便捷度较好。</t>
    <phoneticPr fontId="3" type="noConversion"/>
  </si>
  <si>
    <t>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t>
    <phoneticPr fontId="3" type="noConversion"/>
  </si>
  <si>
    <t>七通</t>
    <phoneticPr fontId="3" type="noConversion"/>
  </si>
  <si>
    <t>区域自然环境：大望京公园、善各庄公园；无人文环境；综合评价环境状况较好</t>
    <phoneticPr fontId="3" type="noConversion"/>
  </si>
  <si>
    <r>
      <rPr>
        <sz val="10"/>
        <color theme="9" tint="-0.249977111117893"/>
        <rFont val="宋体"/>
        <family val="3"/>
        <charset val="134"/>
      </rPr>
      <t>城市支路</t>
    </r>
    <r>
      <rPr>
        <sz val="10"/>
        <color theme="9" tint="-0.249977111117893"/>
        <rFont val="Arial"/>
        <family val="2"/>
      </rPr>
      <t>——</t>
    </r>
    <r>
      <rPr>
        <sz val="10"/>
        <color theme="9" tint="-0.249977111117893"/>
        <rFont val="宋体"/>
        <family val="3"/>
        <charset val="134"/>
      </rPr>
      <t>翠平东路</t>
    </r>
    <phoneticPr fontId="3" type="noConversion"/>
  </si>
  <si>
    <t>项目模式</t>
  </si>
  <si>
    <t>售价</t>
  </si>
  <si>
    <t>正常</t>
  </si>
  <si>
    <t>研发</t>
    <phoneticPr fontId="3" type="noConversion"/>
  </si>
  <si>
    <r>
      <t>30-40</t>
    </r>
    <r>
      <rPr>
        <sz val="11"/>
        <color indexed="8"/>
        <rFont val="宋体"/>
        <family val="3"/>
        <charset val="134"/>
      </rPr>
      <t>（含）</t>
    </r>
    <phoneticPr fontId="3" type="noConversion"/>
  </si>
  <si>
    <t>研发</t>
  </si>
  <si>
    <t>根据建成年代推测土地使用期限</t>
    <phoneticPr fontId="3" type="noConversion"/>
  </si>
  <si>
    <t>位于西五环外，周边有领袖大厦、首特钢创业大厦等办公项目，办公集聚程度较好</t>
    <phoneticPr fontId="3" type="noConversion"/>
  </si>
  <si>
    <r>
      <t>20-30</t>
    </r>
    <r>
      <rPr>
        <sz val="11"/>
        <color indexed="8"/>
        <rFont val="宋体"/>
        <family val="3"/>
        <charset val="134"/>
      </rPr>
      <t>（含）</t>
    </r>
    <phoneticPr fontId="3" type="noConversion"/>
  </si>
  <si>
    <r>
      <t>2049/1/5</t>
    </r>
    <r>
      <rPr>
        <sz val="11"/>
        <color indexed="8"/>
        <rFont val="宋体"/>
        <family val="3"/>
        <charset val="134"/>
      </rPr>
      <t>，剩余</t>
    </r>
    <r>
      <rPr>
        <sz val="11"/>
        <color indexed="8"/>
        <rFont val="Arial"/>
        <family val="2"/>
      </rPr>
      <t>23.58</t>
    </r>
    <r>
      <rPr>
        <sz val="11"/>
        <color indexed="8"/>
        <rFont val="宋体"/>
        <family val="3"/>
        <charset val="134"/>
      </rPr>
      <t>年</t>
    </r>
    <phoneticPr fontId="3" type="noConversion"/>
  </si>
  <si>
    <t>根据大宗案例信息里的土地使用期限</t>
    <phoneticPr fontId="3" type="noConversion"/>
  </si>
  <si>
    <r>
      <rPr>
        <sz val="11"/>
        <rFont val="宋体"/>
        <family val="3"/>
        <charset val="134"/>
      </rPr>
      <t>位于北五环外，周边有金隅制造工场、京城尚德智造产业园、中关村东升科技园</t>
    </r>
    <r>
      <rPr>
        <sz val="11"/>
        <rFont val="Arial"/>
        <family val="2"/>
      </rPr>
      <t>6</t>
    </r>
    <r>
      <rPr>
        <sz val="11"/>
        <rFont val="宋体"/>
        <family val="3"/>
        <charset val="134"/>
      </rPr>
      <t>号院等项目，办公集聚程度较好</t>
    </r>
    <phoneticPr fontId="3" type="noConversion"/>
  </si>
  <si>
    <r>
      <t>40-50</t>
    </r>
    <r>
      <rPr>
        <sz val="11"/>
        <color indexed="8"/>
        <rFont val="宋体"/>
        <family val="3"/>
        <charset val="134"/>
      </rPr>
      <t>（含）</t>
    </r>
    <phoneticPr fontId="3" type="noConversion"/>
  </si>
  <si>
    <r>
      <rPr>
        <sz val="11"/>
        <color indexed="8"/>
        <rFont val="宋体"/>
        <family val="3"/>
        <charset val="134"/>
      </rPr>
      <t>根据中指，</t>
    </r>
    <r>
      <rPr>
        <sz val="11"/>
        <color indexed="8"/>
        <rFont val="Arial"/>
        <family val="2"/>
      </rPr>
      <t>2018</t>
    </r>
    <r>
      <rPr>
        <sz val="11"/>
        <color indexed="8"/>
        <rFont val="宋体"/>
        <family val="3"/>
        <charset val="134"/>
      </rPr>
      <t>年拿地，剩余</t>
    </r>
    <phoneticPr fontId="3" type="noConversion"/>
  </si>
  <si>
    <t>位于北五环外，周边有朝来科技园、融新科技中心、望京诚盈中心、望京生命科学园等项目，办公集聚程度较好</t>
    <phoneticPr fontId="3" type="noConversion"/>
  </si>
  <si>
    <r>
      <rPr>
        <sz val="11"/>
        <rFont val="宋体"/>
        <family val="3"/>
        <charset val="134"/>
      </rPr>
      <t>周边</t>
    </r>
    <r>
      <rPr>
        <sz val="11"/>
        <rFont val="Arial"/>
        <family val="2"/>
      </rPr>
      <t>1</t>
    </r>
    <r>
      <rPr>
        <sz val="11"/>
        <rFont val="宋体"/>
        <family val="3"/>
        <charset val="134"/>
      </rPr>
      <t>公里范围内有</t>
    </r>
    <r>
      <rPr>
        <sz val="11"/>
        <rFont val="Arial"/>
        <family val="2"/>
      </rPr>
      <t>503</t>
    </r>
    <r>
      <rPr>
        <sz val="11"/>
        <rFont val="宋体"/>
        <family val="3"/>
        <charset val="134"/>
      </rPr>
      <t>、专</t>
    </r>
    <r>
      <rPr>
        <sz val="11"/>
        <rFont val="Arial"/>
        <family val="2"/>
      </rPr>
      <t>61</t>
    </r>
    <r>
      <rPr>
        <sz val="11"/>
        <rFont val="宋体"/>
        <family val="3"/>
        <charset val="134"/>
      </rPr>
      <t>、专</t>
    </r>
    <r>
      <rPr>
        <sz val="11"/>
        <rFont val="Arial"/>
        <family val="2"/>
      </rPr>
      <t>152</t>
    </r>
    <r>
      <rPr>
        <sz val="11"/>
        <rFont val="宋体"/>
        <family val="3"/>
        <charset val="134"/>
      </rPr>
      <t>等多条公交线路，距地铁</t>
    </r>
    <r>
      <rPr>
        <sz val="11"/>
        <rFont val="Arial"/>
        <family val="2"/>
      </rPr>
      <t>1</t>
    </r>
    <r>
      <rPr>
        <sz val="11"/>
        <rFont val="宋体"/>
        <family val="3"/>
        <charset val="134"/>
      </rPr>
      <t>号线八通线、6号线、S1号线苹果园地铁站约910米，项目内有停车位，停车便捷度较好，综合评价交通便捷度较好</t>
    </r>
    <phoneticPr fontId="3" type="noConversion"/>
  </si>
  <si>
    <r>
      <rPr>
        <sz val="11"/>
        <rFont val="宋体"/>
        <family val="3"/>
        <charset val="134"/>
      </rPr>
      <t>周边</t>
    </r>
    <r>
      <rPr>
        <sz val="11"/>
        <rFont val="Arial"/>
        <family val="2"/>
      </rPr>
      <t>1</t>
    </r>
    <r>
      <rPr>
        <sz val="11"/>
        <rFont val="宋体"/>
        <family val="3"/>
        <charset val="134"/>
      </rPr>
      <t>公里范围内有</t>
    </r>
    <r>
      <rPr>
        <sz val="11"/>
        <rFont val="Arial"/>
        <family val="2"/>
      </rPr>
      <t>315</t>
    </r>
    <r>
      <rPr>
        <sz val="11"/>
        <rFont val="宋体"/>
        <family val="3"/>
        <charset val="134"/>
      </rPr>
      <t>、</t>
    </r>
    <r>
      <rPr>
        <sz val="11"/>
        <rFont val="Arial"/>
        <family val="2"/>
      </rPr>
      <t>432</t>
    </r>
    <r>
      <rPr>
        <sz val="11"/>
        <rFont val="宋体"/>
        <family val="3"/>
        <charset val="134"/>
      </rPr>
      <t>、</t>
    </r>
    <r>
      <rPr>
        <sz val="11"/>
        <rFont val="Arial"/>
        <family val="2"/>
      </rPr>
      <t>614</t>
    </r>
    <r>
      <rPr>
        <sz val="11"/>
        <rFont val="宋体"/>
        <family val="3"/>
        <charset val="134"/>
      </rPr>
      <t>等多条公交线路，距地铁</t>
    </r>
    <r>
      <rPr>
        <sz val="11"/>
        <rFont val="Arial"/>
        <family val="2"/>
      </rPr>
      <t>13</t>
    </r>
    <r>
      <rPr>
        <sz val="11"/>
        <rFont val="宋体"/>
        <family val="3"/>
        <charset val="134"/>
      </rPr>
      <t>号线、8号线霍营地铁站约1200米，项目内有停车位，停车便捷度较好，综合评价交通便捷度较好</t>
    </r>
    <phoneticPr fontId="3" type="noConversion"/>
  </si>
  <si>
    <r>
      <rPr>
        <sz val="11"/>
        <rFont val="宋体"/>
        <family val="3"/>
        <charset val="134"/>
      </rPr>
      <t>周边</t>
    </r>
    <r>
      <rPr>
        <sz val="11"/>
        <rFont val="Arial"/>
        <family val="2"/>
      </rPr>
      <t>1</t>
    </r>
    <r>
      <rPr>
        <sz val="11"/>
        <rFont val="宋体"/>
        <family val="3"/>
        <charset val="134"/>
      </rPr>
      <t>公里范围内有</t>
    </r>
    <r>
      <rPr>
        <sz val="11"/>
        <rFont val="Arial"/>
        <family val="2"/>
      </rPr>
      <t>467</t>
    </r>
    <r>
      <rPr>
        <sz val="11"/>
        <rFont val="宋体"/>
        <family val="3"/>
        <charset val="134"/>
      </rPr>
      <t>、</t>
    </r>
    <r>
      <rPr>
        <sz val="11"/>
        <rFont val="Arial"/>
        <family val="2"/>
      </rPr>
      <t>547</t>
    </r>
    <r>
      <rPr>
        <sz val="11"/>
        <rFont val="宋体"/>
        <family val="3"/>
        <charset val="134"/>
      </rPr>
      <t>、专</t>
    </r>
    <r>
      <rPr>
        <sz val="11"/>
        <rFont val="Arial"/>
        <family val="2"/>
      </rPr>
      <t>116</t>
    </r>
    <r>
      <rPr>
        <sz val="11"/>
        <rFont val="宋体"/>
        <family val="3"/>
        <charset val="134"/>
      </rPr>
      <t>等多条公交线路，距地铁</t>
    </r>
    <r>
      <rPr>
        <sz val="11"/>
        <rFont val="Arial"/>
        <family val="2"/>
      </rPr>
      <t>14</t>
    </r>
    <r>
      <rPr>
        <sz val="11"/>
        <rFont val="宋体"/>
        <family val="3"/>
        <charset val="134"/>
      </rPr>
      <t>号线善各庄地铁站约</t>
    </r>
    <r>
      <rPr>
        <sz val="11"/>
        <rFont val="Arial"/>
        <family val="2"/>
      </rPr>
      <t>173</t>
    </r>
    <r>
      <rPr>
        <sz val="11"/>
        <rFont val="宋体"/>
        <family val="3"/>
        <charset val="134"/>
      </rPr>
      <t>米，项目内有停车位，停车便捷度较好，综合评价交通便捷度较好</t>
    </r>
    <phoneticPr fontId="3" type="noConversion"/>
  </si>
  <si>
    <r>
      <rPr>
        <sz val="11"/>
        <rFont val="宋体"/>
        <family val="3"/>
        <charset val="134"/>
      </rPr>
      <t>周边</t>
    </r>
    <r>
      <rPr>
        <sz val="11"/>
        <rFont val="Arial"/>
        <family val="2"/>
      </rPr>
      <t>2</t>
    </r>
    <r>
      <rPr>
        <sz val="11"/>
        <rFont val="宋体"/>
        <family val="3"/>
        <charset val="134"/>
      </rPr>
      <t>公里内的公共服务配套设施较为齐备，有购物场所（喜隆多、京西大悦城、北京金安环宇荟）、医院（北京市石景山区古城街道老古城社区卫生服务站、北京市石景山区杨庄医院）、银行（北京农商银行、中国农业银行、招商银行）、学校（瑞丁国际幼稚园（古城西路）、石景山区古城小学、北京市十一学校石景山实验中学）、餐饮等公共服务配套设施。</t>
    </r>
    <phoneticPr fontId="3" type="noConversion"/>
  </si>
  <si>
    <r>
      <rPr>
        <sz val="11"/>
        <rFont val="宋体"/>
        <family val="3"/>
        <charset val="134"/>
      </rPr>
      <t>周边</t>
    </r>
    <r>
      <rPr>
        <sz val="11"/>
        <rFont val="Arial"/>
        <family val="2"/>
      </rPr>
      <t>2</t>
    </r>
    <r>
      <rPr>
        <sz val="11"/>
        <rFont val="宋体"/>
        <family val="3"/>
        <charset val="134"/>
      </rPr>
      <t>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t>
    </r>
    <phoneticPr fontId="3" type="noConversion"/>
  </si>
  <si>
    <r>
      <rPr>
        <sz val="11"/>
        <rFont val="宋体"/>
        <family val="3"/>
        <charset val="134"/>
      </rPr>
      <t>周边</t>
    </r>
    <r>
      <rPr>
        <sz val="11"/>
        <rFont val="Arial"/>
        <family val="2"/>
      </rPr>
      <t>2</t>
    </r>
    <r>
      <rPr>
        <sz val="11"/>
        <rFont val="宋体"/>
        <family val="3"/>
        <charset val="134"/>
      </rPr>
      <t>公里内的公共服务配套设施较为齐备，有购物场所（保利广场（香宾路店）、北京望京万象汇）、医院（崔各庄社区卫生服务中心瑞平分中心、北京惠兰医院）、银行（中国银行、上海银行、北京农商银行）、学校（北京市朝阳区教育国资中心幼儿园（瑞平西园）、北京市陈经纶中学分校小学部（利泽校区）、北京市第八十中学（温榆河分校））、餐饮等公共服务配套设施。</t>
    </r>
    <phoneticPr fontId="3" type="noConversion"/>
  </si>
  <si>
    <t>七通</t>
  </si>
  <si>
    <t>较好</t>
  </si>
  <si>
    <t>钢混</t>
  </si>
  <si>
    <t>专业</t>
  </si>
  <si>
    <t>普通装修</t>
  </si>
  <si>
    <r>
      <t>10-20%</t>
    </r>
    <r>
      <rPr>
        <sz val="11"/>
        <color indexed="8"/>
        <rFont val="宋体"/>
        <family val="3"/>
        <charset val="134"/>
      </rPr>
      <t>（含）</t>
    </r>
    <phoneticPr fontId="3" type="noConversion"/>
  </si>
  <si>
    <t>毛坯</t>
  </si>
  <si>
    <r>
      <t>0-10%</t>
    </r>
    <r>
      <rPr>
        <sz val="11"/>
        <color indexed="8"/>
        <rFont val="宋体"/>
        <family val="3"/>
        <charset val="134"/>
      </rPr>
      <t>（含）</t>
    </r>
    <phoneticPr fontId="3" type="noConversion"/>
  </si>
  <si>
    <t>项目名称</t>
    <phoneticPr fontId="3" type="noConversion"/>
  </si>
  <si>
    <t>位置</t>
    <phoneticPr fontId="3" type="noConversion"/>
  </si>
  <si>
    <t>所属区县</t>
    <phoneticPr fontId="3" type="noConversion"/>
  </si>
  <si>
    <t>商圈</t>
    <phoneticPr fontId="3" type="noConversion"/>
  </si>
  <si>
    <t>卖方</t>
    <phoneticPr fontId="3" type="noConversion"/>
  </si>
  <si>
    <t>用途</t>
    <phoneticPr fontId="3" type="noConversion"/>
  </si>
  <si>
    <t>土地面积（㎡）</t>
    <phoneticPr fontId="3" type="noConversion"/>
  </si>
  <si>
    <t>总建筑面积（㎡）</t>
    <phoneticPr fontId="3" type="noConversion"/>
  </si>
  <si>
    <t>地上建筑面积（㎡）</t>
    <phoneticPr fontId="3" type="noConversion"/>
  </si>
  <si>
    <t>地下建筑面积（㎡）</t>
    <phoneticPr fontId="3" type="noConversion"/>
  </si>
  <si>
    <t>整购价（万元）</t>
    <phoneticPr fontId="3" type="noConversion"/>
  </si>
  <si>
    <t>总建筑面积单价（元/㎡）</t>
    <phoneticPr fontId="3" type="noConversion"/>
  </si>
  <si>
    <t>地上楼面单价（元/㎡）</t>
    <phoneticPr fontId="3" type="noConversion"/>
  </si>
  <si>
    <t>购买方</t>
    <phoneticPr fontId="3" type="noConversion"/>
  </si>
  <si>
    <t>购买日期</t>
    <phoneticPr fontId="3" type="noConversion"/>
  </si>
  <si>
    <t>建筑规模及楼层</t>
    <phoneticPr fontId="3" type="noConversion"/>
  </si>
  <si>
    <t>竣工交付日期</t>
    <phoneticPr fontId="3" type="noConversion"/>
  </si>
  <si>
    <t>网络报价（万元）</t>
    <phoneticPr fontId="3" type="noConversion"/>
  </si>
  <si>
    <t>网络报价地上建筑面楼面单价（元㎡）</t>
    <phoneticPr fontId="3" type="noConversion"/>
  </si>
  <si>
    <t>备注</t>
    <phoneticPr fontId="3" type="noConversion"/>
  </si>
  <si>
    <t>成交价与报价的比例</t>
    <phoneticPr fontId="3" type="noConversion"/>
  </si>
  <si>
    <t>其他</t>
    <phoneticPr fontId="3" type="noConversion"/>
  </si>
  <si>
    <t>首特钢大厦2号楼</t>
    <phoneticPr fontId="3" type="noConversion"/>
  </si>
  <si>
    <t>石景山区新融中街1号院</t>
    <phoneticPr fontId="3" type="noConversion"/>
  </si>
  <si>
    <t>京西商务园</t>
    <phoneticPr fontId="3" type="noConversion"/>
  </si>
  <si>
    <t>首特钢园区（农发银行/首钢集团）</t>
    <phoneticPr fontId="3" type="noConversion"/>
  </si>
  <si>
    <t>科研办公用房</t>
    <phoneticPr fontId="3" type="noConversion"/>
  </si>
  <si>
    <t>深空探测实验室北京分部</t>
    <phoneticPr fontId="3" type="noConversion"/>
  </si>
  <si>
    <t>地上13层，定制精装修（根据新闻推断）</t>
    <phoneticPr fontId="3" type="noConversion"/>
  </si>
  <si>
    <t>2022年</t>
    <phoneticPr fontId="3" type="noConversion"/>
  </si>
  <si>
    <t>网签+新闻</t>
    <phoneticPr fontId="3" type="noConversion"/>
  </si>
  <si>
    <t>中关村西三旗(金隅)科技园T7研发设计楼地上1-5层</t>
    <phoneticPr fontId="3" type="noConversion"/>
  </si>
  <si>
    <t>海淀区西三旗建材城中路，地块四至南与东升科技园二期接壤，北到西三旗建材城路，东临昌平区东小口镇，西靠北新建材国家机关保障性住宅用地</t>
    <phoneticPr fontId="3" type="noConversion"/>
  </si>
  <si>
    <t>西三旗</t>
    <phoneticPr fontId="3" type="noConversion"/>
  </si>
  <si>
    <t>金隅</t>
    <phoneticPr fontId="3" type="noConversion"/>
  </si>
  <si>
    <t>研发办公</t>
    <phoneticPr fontId="3" type="noConversion"/>
  </si>
  <si>
    <t>天智航</t>
    <phoneticPr fontId="3" type="noConversion"/>
  </si>
  <si>
    <t>钢筋混凝土框架结构。该楼宇标准层层高4.2米，首层层高6米，地上建筑层数为5层，目前规划一层为多功能展示厅、商务办公区，二层至四层为研发试验及产品中试区，五层为办公区；使用期限至2049年01月05日止</t>
    <phoneticPr fontId="3" type="noConversion"/>
  </si>
  <si>
    <t>2023年</t>
    <phoneticPr fontId="3" type="noConversion"/>
  </si>
  <si>
    <t>公告</t>
    <phoneticPr fontId="3" type="noConversion"/>
  </si>
  <si>
    <t>自在香山9#号楼</t>
    <phoneticPr fontId="3" type="noConversion"/>
  </si>
  <si>
    <t>海淀区瀚河园9号楼-1至3层02号房屋</t>
    <phoneticPr fontId="3" type="noConversion"/>
  </si>
  <si>
    <t>西山</t>
    <phoneticPr fontId="3" type="noConversion"/>
  </si>
  <si>
    <t>科研办公楼</t>
    <phoneticPr fontId="3" type="noConversion"/>
  </si>
  <si>
    <t>个人</t>
    <phoneticPr fontId="3" type="noConversion"/>
  </si>
  <si>
    <t>B1至3层</t>
    <phoneticPr fontId="3" type="noConversion"/>
  </si>
  <si>
    <t>2008年</t>
    <phoneticPr fontId="3" type="noConversion"/>
  </si>
  <si>
    <t>拍卖</t>
    <phoneticPr fontId="3" type="noConversion"/>
  </si>
  <si>
    <t>中电科智能科技园4号楼</t>
    <phoneticPr fontId="134" type="noConversion"/>
  </si>
  <si>
    <t>标的名称</t>
  </si>
  <si>
    <t>项目名称</t>
  </si>
  <si>
    <t>城市</t>
  </si>
  <si>
    <t>区县</t>
  </si>
  <si>
    <t>商圈</t>
  </si>
  <si>
    <t>一级物业类型</t>
  </si>
  <si>
    <t>二级物业类型</t>
  </si>
  <si>
    <t>等级</t>
  </si>
  <si>
    <t>成交时间</t>
  </si>
  <si>
    <t>交易状态</t>
  </si>
  <si>
    <t>交易类型</t>
  </si>
  <si>
    <t>成交总价（万元）</t>
  </si>
  <si>
    <t>成交单价（元/㎡）</t>
  </si>
  <si>
    <t>成交面积（㎡）</t>
  </si>
  <si>
    <t>买家(买家类型)</t>
  </si>
  <si>
    <t>卖家</t>
  </si>
  <si>
    <t>北京朝阳区创远路28号院1号楼</t>
  </si>
  <si>
    <t>望京·华樾中心</t>
    <phoneticPr fontId="134" type="noConversion"/>
  </si>
  <si>
    <t>北京</t>
  </si>
  <si>
    <t>朝阳</t>
  </si>
  <si>
    <t>来广营</t>
  </si>
  <si>
    <t>写字楼</t>
  </si>
  <si>
    <t>甲级</t>
  </si>
  <si>
    <t>2023-06-27</t>
  </si>
  <si>
    <t>成交</t>
  </si>
  <si>
    <t>资产交易</t>
  </si>
  <si>
    <t>48000</t>
  </si>
  <si>
    <t>45388</t>
  </si>
  <si>
    <t>10575.42</t>
  </si>
  <si>
    <t>乐华娱乐(内资)</t>
  </si>
  <si>
    <t>北京金开连泰</t>
  </si>
  <si>
    <t>自然环境：新安城市记忆公园、古城公园、首钢园；无人文环境；综合评价环境状况较好</t>
    <phoneticPr fontId="3" type="noConversion"/>
  </si>
  <si>
    <t>自然环境：新都公园、海淀区西小口公园；无人文环境；综合评价环境状况较好</t>
    <phoneticPr fontId="3" type="noConversion"/>
  </si>
  <si>
    <t>自然环境：善各庄公园、来广营艺术园、北京朝来森林公园；人文环境：首都师范大学（来广营校区）；综合评价环境状况较好</t>
    <phoneticPr fontId="3" type="noConversion"/>
  </si>
  <si>
    <r>
      <t>10-20</t>
    </r>
    <r>
      <rPr>
        <sz val="11"/>
        <rFont val="宋体"/>
        <family val="3"/>
        <charset val="134"/>
      </rPr>
      <t>（含）</t>
    </r>
    <phoneticPr fontId="3" type="noConversion"/>
  </si>
  <si>
    <r>
      <t>20-30</t>
    </r>
    <r>
      <rPr>
        <sz val="11"/>
        <rFont val="宋体"/>
        <family val="3"/>
        <charset val="134"/>
      </rPr>
      <t>（含）</t>
    </r>
    <phoneticPr fontId="3" type="noConversion"/>
  </si>
  <si>
    <r>
      <t>30-40</t>
    </r>
    <r>
      <rPr>
        <sz val="11"/>
        <rFont val="宋体"/>
        <family val="3"/>
        <charset val="134"/>
      </rPr>
      <t>（含）</t>
    </r>
    <phoneticPr fontId="3" type="noConversion"/>
  </si>
  <si>
    <r>
      <t>40-50</t>
    </r>
    <r>
      <rPr>
        <sz val="11"/>
        <rFont val="宋体"/>
        <family val="3"/>
        <charset val="134"/>
      </rPr>
      <t>（含）</t>
    </r>
    <phoneticPr fontId="3" type="noConversion"/>
  </si>
  <si>
    <r>
      <t>0-10</t>
    </r>
    <r>
      <rPr>
        <sz val="11"/>
        <rFont val="宋体"/>
        <family val="3"/>
        <charset val="134"/>
      </rPr>
      <t>（含）</t>
    </r>
    <phoneticPr fontId="3"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</si>
  <si>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 type="noConversion"/>
  </si>
  <si>
    <t>主干道</t>
    <phoneticPr fontId="3" type="noConversion"/>
  </si>
  <si>
    <t>次干道</t>
    <phoneticPr fontId="3" type="noConversion"/>
  </si>
  <si>
    <t>支路</t>
    <phoneticPr fontId="3" type="noConversion"/>
  </si>
  <si>
    <t>钢混</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</si>
  <si>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</si>
  <si>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</si>
  <si>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</si>
  <si>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</si>
  <si>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</si>
  <si>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普通</t>
    <phoneticPr fontId="3" type="noConversion"/>
  </si>
  <si>
    <t>六通</t>
    <phoneticPr fontId="3" type="noConversion"/>
  </si>
  <si>
    <t>五通</t>
    <phoneticPr fontId="3" type="noConversion"/>
  </si>
  <si>
    <t>标准</t>
    <phoneticPr fontId="3" type="noConversion"/>
  </si>
  <si>
    <t>地下面积占比</t>
    <phoneticPr fontId="3" type="noConversion"/>
  </si>
  <si>
    <t>押一</t>
  </si>
  <si>
    <t>非生产用房</t>
  </si>
  <si>
    <t>比较法-办公</t>
  </si>
  <si>
    <t>自定义</t>
  </si>
  <si>
    <t>总价</t>
  </si>
  <si>
    <t>单价：</t>
    <phoneticPr fontId="3" type="noConversion"/>
  </si>
  <si>
    <t>总价</t>
    <phoneticPr fontId="3" type="noConversion"/>
  </si>
  <si>
    <t>建安取值</t>
  </si>
  <si>
    <t>建筑面积</t>
  </si>
  <si>
    <t>单方建安</t>
  </si>
  <si>
    <t>合计</t>
  </si>
  <si>
    <t>建安</t>
  </si>
  <si>
    <t>主体</t>
  </si>
  <si>
    <t>装修</t>
    <phoneticPr fontId="3" type="noConversion"/>
  </si>
  <si>
    <t>设备</t>
  </si>
  <si>
    <t>人防</t>
  </si>
  <si>
    <t>综合平均</t>
  </si>
  <si>
    <t>中高层建筑</t>
  </si>
  <si>
    <t>中高层建筑</t>
    <phoneticPr fontId="31" type="noConversion"/>
  </si>
  <si>
    <t>多层建筑</t>
  </si>
  <si>
    <t>多层建筑</t>
    <phoneticPr fontId="31" type="noConversion"/>
  </si>
  <si>
    <t>序号</t>
  </si>
  <si>
    <t>租户</t>
  </si>
  <si>
    <t>租赁部位（含楼层）</t>
  </si>
  <si>
    <t>计租面积</t>
  </si>
  <si>
    <t>合同期限</t>
  </si>
  <si>
    <t>租金涨幅情况</t>
  </si>
  <si>
    <t>日租金（元/天/平方米）</t>
  </si>
  <si>
    <t>年租金</t>
  </si>
  <si>
    <t>物业费</t>
  </si>
  <si>
    <t>年物业费</t>
  </si>
  <si>
    <t>年度租金及物业费小计</t>
  </si>
  <si>
    <t>品牌</t>
  </si>
  <si>
    <t>单位名称</t>
  </si>
  <si>
    <t>平方米</t>
  </si>
  <si>
    <t>起止年/月/日</t>
  </si>
  <si>
    <t>不含税</t>
  </si>
  <si>
    <t>含税</t>
  </si>
  <si>
    <t>美团</t>
  </si>
  <si>
    <t>北京三快在线科技有限公司</t>
  </si>
  <si>
    <t>北京市朝阳区望京东路4号院B、C座，除B座6层和C座下沉广场上方1层的1500平方米</t>
  </si>
  <si>
    <t>2025/3/1-2030/2/28</t>
  </si>
  <si>
    <t>租金固定日单价
物业费固定月单价</t>
  </si>
  <si>
    <t>每月30.00</t>
  </si>
  <si>
    <t>北京市朝阳区望京东路4号院B、C座地下车库90个车位</t>
  </si>
  <si>
    <t>租金0
物业费固定月单价</t>
  </si>
  <si>
    <t>每月每个车位160元</t>
  </si>
  <si>
    <t>北京市朝阳区望京东路4号院B、C座地下车库150个车位</t>
  </si>
  <si>
    <t>租金固定单价
物业费固定月单价</t>
  </si>
  <si>
    <t>每个每月590</t>
  </si>
  <si>
    <t>北京市朝阳区望京东路4号院B座-2层礼品店仓库</t>
  </si>
  <si>
    <t>租金固定日单价
物业费0</t>
  </si>
  <si>
    <t>-</t>
  </si>
  <si>
    <t>都市味蕾</t>
  </si>
  <si>
    <t>北京都市味蕾餐饮管理有限公司</t>
  </si>
  <si>
    <t>北京市朝阳区望京东路4号院C座负一层</t>
  </si>
  <si>
    <t>/</t>
  </si>
  <si>
    <t>映月湾</t>
  </si>
  <si>
    <t>北京映月湾商贸有限公司</t>
  </si>
  <si>
    <t>北京市朝阳区望京东路4号院C座一层</t>
  </si>
  <si>
    <t>租金固定日单价
物业费固定日单价</t>
  </si>
  <si>
    <t>每日1.00</t>
  </si>
  <si>
    <t>四为</t>
  </si>
  <si>
    <t>深圳四为教育培训有限公司</t>
  </si>
  <si>
    <t>北京市朝阳区望京东路4号院B座6层部分区域</t>
  </si>
  <si>
    <t>2025/6/16-2030/6/15</t>
  </si>
  <si>
    <t>锐创国际中心</t>
    <phoneticPr fontId="134" type="noConversion"/>
  </si>
  <si>
    <r>
      <t>2</t>
    </r>
    <r>
      <rPr>
        <sz val="11"/>
        <color theme="1"/>
        <rFont val="宋体"/>
        <family val="3"/>
        <charset val="134"/>
        <scheme val="minor"/>
      </rPr>
      <t>.5-5.5</t>
    </r>
    <phoneticPr fontId="134" type="noConversion"/>
  </si>
  <si>
    <r>
      <t>望京SOHO、方恒时代中心有</t>
    </r>
    <r>
      <rPr>
        <sz val="11"/>
        <color theme="1"/>
        <rFont val="宋体"/>
        <family val="3"/>
        <charset val="134"/>
        <scheme val="minor"/>
      </rPr>
      <t>2.5元/天，含物业取暖不含票</t>
    </r>
    <phoneticPr fontId="134" type="noConversion"/>
  </si>
  <si>
    <t>中轻大厦</t>
    <phoneticPr fontId="134" type="noConversion"/>
  </si>
  <si>
    <r>
      <t>4</t>
    </r>
    <r>
      <rPr>
        <sz val="11"/>
        <color theme="1"/>
        <rFont val="宋体"/>
        <family val="3"/>
        <charset val="134"/>
        <scheme val="minor"/>
      </rPr>
      <t>-4.7</t>
    </r>
    <phoneticPr fontId="134" type="noConversion"/>
  </si>
  <si>
    <r>
      <t>1</t>
    </r>
    <r>
      <rPr>
        <sz val="11"/>
        <color theme="1"/>
        <rFont val="宋体"/>
        <family val="3"/>
        <charset val="134"/>
        <scheme val="minor"/>
      </rPr>
      <t>45平，月租金1万</t>
    </r>
    <phoneticPr fontId="134" type="noConversion"/>
  </si>
  <si>
    <t>启明国际大厦</t>
    <phoneticPr fontId="134" type="noConversion"/>
  </si>
  <si>
    <r>
      <t>2</t>
    </r>
    <r>
      <rPr>
        <sz val="11"/>
        <color theme="1"/>
        <rFont val="宋体"/>
        <family val="3"/>
        <charset val="134"/>
        <scheme val="minor"/>
      </rPr>
      <t>00多平，月租金1万7500</t>
    </r>
    <phoneticPr fontId="134" type="noConversion"/>
  </si>
  <si>
    <t>津港</t>
    <phoneticPr fontId="134" type="noConversion"/>
  </si>
  <si>
    <t>中辰大厦</t>
    <phoneticPr fontId="134" type="noConversion"/>
  </si>
  <si>
    <t>月租金</t>
    <phoneticPr fontId="134" type="noConversion"/>
  </si>
  <si>
    <t>日租金</t>
    <phoneticPr fontId="134" type="noConversion"/>
  </si>
  <si>
    <t>华彩大厦</t>
    <phoneticPr fontId="134" type="noConversion"/>
  </si>
  <si>
    <t>绿地中心</t>
    <phoneticPr fontId="134" type="noConversion"/>
  </si>
  <si>
    <r>
      <t>3</t>
    </r>
    <r>
      <rPr>
        <sz val="11"/>
        <color theme="1"/>
        <rFont val="宋体"/>
        <family val="3"/>
        <charset val="134"/>
        <scheme val="minor"/>
      </rPr>
      <t>-6.6</t>
    </r>
    <phoneticPr fontId="134" type="noConversion"/>
  </si>
  <si>
    <t>保利国际广场</t>
    <phoneticPr fontId="134" type="noConversion"/>
  </si>
  <si>
    <r>
      <t>4</t>
    </r>
    <r>
      <rPr>
        <sz val="11"/>
        <color theme="1"/>
        <rFont val="宋体"/>
        <family val="3"/>
        <charset val="134"/>
        <scheme val="minor"/>
      </rPr>
      <t>-7.5</t>
    </r>
    <phoneticPr fontId="134" type="noConversion"/>
  </si>
  <si>
    <t>望京商务中心</t>
    <phoneticPr fontId="134" type="noConversion"/>
  </si>
  <si>
    <r>
      <t>4</t>
    </r>
    <r>
      <rPr>
        <sz val="11"/>
        <color theme="1"/>
        <rFont val="宋体"/>
        <family val="3"/>
        <charset val="134"/>
        <scheme val="minor"/>
      </rPr>
      <t>.18-6</t>
    </r>
    <phoneticPr fontId="134" type="noConversion"/>
  </si>
  <si>
    <t>融科望京中心</t>
    <phoneticPr fontId="134" type="noConversion"/>
  </si>
  <si>
    <t>2.6-4.93</t>
    <phoneticPr fontId="134" type="noConversion"/>
  </si>
  <si>
    <t>望京SOHO</t>
    <phoneticPr fontId="134" type="noConversion"/>
  </si>
  <si>
    <r>
      <t>2</t>
    </r>
    <r>
      <rPr>
        <sz val="11"/>
        <color theme="1"/>
        <rFont val="宋体"/>
        <family val="3"/>
        <charset val="134"/>
        <scheme val="minor"/>
      </rPr>
      <t>.8-7.34</t>
    </r>
    <phoneticPr fontId="134" type="noConversion"/>
  </si>
  <si>
    <t>不含车库</t>
    <phoneticPr fontId="134" type="noConversion"/>
  </si>
  <si>
    <t>含税日租金</t>
    <phoneticPr fontId="134" type="noConversion"/>
  </si>
  <si>
    <r>
      <t>2024</t>
    </r>
    <r>
      <rPr>
        <sz val="10"/>
        <color indexed="8"/>
        <rFont val="宋体"/>
        <family val="3"/>
        <charset val="134"/>
      </rPr>
      <t>年</t>
    </r>
    <r>
      <rPr>
        <sz val="10"/>
        <color indexed="8"/>
        <rFont val="Arial"/>
        <family val="2"/>
      </rPr>
      <t>10</t>
    </r>
    <r>
      <rPr>
        <sz val="10"/>
        <color indexed="8"/>
        <rFont val="宋体"/>
        <family val="3"/>
        <charset val="134"/>
      </rPr>
      <t>月出过预评</t>
    </r>
    <phoneticPr fontId="3" type="noConversion"/>
  </si>
  <si>
    <r>
      <rPr>
        <sz val="10"/>
        <color indexed="8"/>
        <rFont val="宋体"/>
        <family val="3"/>
        <charset val="134"/>
      </rPr>
      <t>银行要求不低于</t>
    </r>
    <r>
      <rPr>
        <sz val="10"/>
        <color indexed="8"/>
        <rFont val="Arial"/>
        <family val="2"/>
      </rPr>
      <t>2024</t>
    </r>
    <r>
      <rPr>
        <sz val="10"/>
        <color indexed="8"/>
        <rFont val="宋体"/>
        <family val="3"/>
        <charset val="134"/>
      </rPr>
      <t>年的价值</t>
    </r>
    <phoneticPr fontId="8" type="noConversion"/>
  </si>
  <si>
    <t>恒基伟业大厦B、C座</t>
    <phoneticPr fontId="3" type="noConversion"/>
  </si>
  <si>
    <t>朝阳区望京东路4号院1号楼</t>
    <phoneticPr fontId="3" type="noConversion"/>
  </si>
  <si>
    <t>中关村西三旗(金隅)科技园T7研发设计楼地上1-5层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</si>
</sst>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_ "/>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name val="宋体"/>
      <family val="3"/>
      <charset val="134"/>
      <scheme val="minor"/>
    </font>
    <font>
      <sz val="11"/>
      <color rgb="FFFF0000"/>
      <name val="宋体"/>
      <family val="3"/>
      <charset val="134"/>
      <scheme val="minor"/>
    </font>
    <font>
      <sz val="11"/>
      <name val="Arial"/>
      <family val="3"/>
      <charset val="134"/>
    </font>
    <font>
      <sz val="11"/>
      <color indexed="8"/>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indexed="64"/>
      </left>
      <right style="thin">
        <color indexed="8"/>
      </right>
      <top style="thin">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77" fillId="7" borderId="54" xfId="0" applyFont="1" applyFill="1" applyBorder="1" applyAlignment="1" applyProtection="1">
      <alignment vertical="center" wrapText="1"/>
      <protection locked="0"/>
    </xf>
    <xf numFmtId="49" fontId="272" fillId="12" borderId="4" xfId="0" applyNumberFormat="1" applyFont="1" applyFill="1" applyBorder="1" applyAlignment="1" applyProtection="1">
      <alignment horizontal="left" vertical="center"/>
      <protection locked="0"/>
    </xf>
    <xf numFmtId="0" fontId="95" fillId="0" borderId="1" xfId="0" applyFont="1" applyBorder="1">
      <alignment vertical="center"/>
    </xf>
    <xf numFmtId="0" fontId="0" fillId="0" borderId="1" xfId="0" applyBorder="1">
      <alignment vertical="center"/>
    </xf>
    <xf numFmtId="0" fontId="0" fillId="0" borderId="0" xfId="0" applyAlignment="1">
      <alignment vertical="center" wrapText="1"/>
    </xf>
    <xf numFmtId="0" fontId="95" fillId="0" borderId="1" xfId="0" applyFont="1" applyBorder="1" applyAlignment="1">
      <alignment vertical="center" wrapText="1"/>
    </xf>
    <xf numFmtId="14" fontId="273" fillId="0" borderId="1" xfId="0" applyNumberFormat="1" applyFont="1" applyBorder="1" applyAlignment="1">
      <alignment vertical="center" wrapText="1"/>
    </xf>
    <xf numFmtId="0" fontId="0" fillId="0" borderId="1" xfId="0" applyBorder="1" applyAlignment="1">
      <alignment vertical="center" wrapText="1"/>
    </xf>
    <xf numFmtId="0" fontId="274" fillId="0" borderId="0" xfId="0" applyFont="1">
      <alignment vertical="center"/>
    </xf>
    <xf numFmtId="14" fontId="0" fillId="0" borderId="0" xfId="0" applyNumberFormat="1">
      <alignment vertical="center"/>
    </xf>
    <xf numFmtId="0" fontId="95" fillId="0" borderId="0" xfId="0" applyFont="1" applyAlignment="1">
      <alignment vertical="center" wrapText="1"/>
    </xf>
    <xf numFmtId="0" fontId="77" fillId="12" borderId="0" xfId="0" applyFont="1" applyFill="1" applyProtection="1">
      <alignment vertical="center"/>
      <protection locked="0"/>
    </xf>
    <xf numFmtId="0" fontId="53" fillId="12" borderId="0" xfId="0" applyFont="1" applyFill="1" applyProtection="1">
      <alignment vertical="center"/>
      <protection locked="0"/>
    </xf>
    <xf numFmtId="0" fontId="19" fillId="12" borderId="0" xfId="0" applyFont="1" applyFill="1" applyProtection="1">
      <alignment vertical="center"/>
      <protection locked="0"/>
    </xf>
    <xf numFmtId="179" fontId="128" fillId="12" borderId="0" xfId="0" applyNumberFormat="1" applyFont="1" applyFill="1" applyProtection="1">
      <alignment vertical="center"/>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2" fillId="0" borderId="49" xfId="0" applyFont="1" applyBorder="1" applyProtection="1">
      <alignment vertical="center"/>
      <protection locked="0"/>
    </xf>
    <xf numFmtId="0" fontId="128" fillId="0" borderId="51" xfId="0" applyFont="1" applyBorder="1" applyAlignment="1" applyProtection="1">
      <alignment horizontal="center" vertical="center" wrapText="1"/>
      <protection locked="0"/>
    </xf>
    <xf numFmtId="0" fontId="128" fillId="0" borderId="12" xfId="0" applyFont="1" applyBorder="1" applyAlignment="1" applyProtection="1">
      <alignment horizontal="center" vertical="center" wrapText="1"/>
      <protection locked="0"/>
    </xf>
    <xf numFmtId="49" fontId="94" fillId="0" borderId="40" xfId="0" applyNumberFormat="1" applyFont="1" applyBorder="1" applyAlignment="1" applyProtection="1">
      <alignment horizontal="center" vertical="center" wrapText="1"/>
      <protection locked="0"/>
    </xf>
    <xf numFmtId="14" fontId="44" fillId="0" borderId="41" xfId="0" applyNumberFormat="1" applyFont="1" applyBorder="1" applyAlignment="1" applyProtection="1">
      <alignment horizontal="center" vertical="center" wrapText="1"/>
      <protection locked="0"/>
    </xf>
    <xf numFmtId="0" fontId="128" fillId="0" borderId="7" xfId="0" applyFont="1" applyBorder="1" applyAlignment="1" applyProtection="1">
      <alignment horizontal="center" vertical="center" wrapText="1"/>
      <protection locked="0"/>
    </xf>
    <xf numFmtId="49" fontId="275" fillId="0" borderId="39" xfId="0" applyNumberFormat="1" applyFont="1" applyBorder="1" applyAlignment="1" applyProtection="1">
      <alignment horizontal="center" vertical="center" wrapText="1"/>
      <protection locked="0"/>
    </xf>
    <xf numFmtId="0" fontId="276" fillId="0" borderId="41" xfId="0" applyFont="1" applyBorder="1" applyAlignment="1" applyProtection="1">
      <alignment horizontal="center" vertical="center" wrapText="1"/>
      <protection locked="0"/>
    </xf>
    <xf numFmtId="49" fontId="94" fillId="0" borderId="39" xfId="0" applyNumberFormat="1" applyFont="1" applyBorder="1" applyAlignment="1" applyProtection="1">
      <alignment horizontal="center" vertical="center" wrapText="1"/>
      <protection locked="0"/>
    </xf>
    <xf numFmtId="49" fontId="275" fillId="0" borderId="14" xfId="0" applyNumberFormat="1" applyFont="1" applyBorder="1" applyAlignment="1" applyProtection="1">
      <alignment horizontal="center" vertical="center" wrapText="1"/>
      <protection locked="0"/>
    </xf>
    <xf numFmtId="49" fontId="275" fillId="0" borderId="11" xfId="0" applyNumberFormat="1" applyFont="1" applyBorder="1" applyAlignment="1" applyProtection="1">
      <alignment horizontal="center" vertical="center" wrapText="1"/>
      <protection locked="0"/>
    </xf>
    <xf numFmtId="0" fontId="19" fillId="0" borderId="1" xfId="0" applyFont="1" applyBorder="1" applyAlignment="1">
      <alignment horizontal="center" vertical="center" wrapText="1"/>
    </xf>
    <xf numFmtId="176" fontId="19" fillId="0" borderId="1" xfId="0" applyNumberFormat="1" applyFont="1" applyBorder="1" applyAlignment="1">
      <alignment horizontal="center" vertical="center" wrapText="1"/>
    </xf>
    <xf numFmtId="183" fontId="19" fillId="0" borderId="1" xfId="0" applyNumberFormat="1" applyFont="1" applyBorder="1" applyAlignment="1">
      <alignment horizontal="center" vertical="center" wrapText="1"/>
    </xf>
    <xf numFmtId="1" fontId="19" fillId="0" borderId="1" xfId="0" applyNumberFormat="1" applyFont="1" applyBorder="1" applyAlignment="1">
      <alignment horizontal="center" vertical="center" wrapText="1"/>
    </xf>
    <xf numFmtId="189" fontId="19" fillId="0" borderId="13" xfId="0" applyNumberFormat="1" applyFont="1" applyBorder="1" applyAlignment="1">
      <alignment horizontal="center" vertical="center" wrapText="1"/>
    </xf>
    <xf numFmtId="9" fontId="19" fillId="0" borderId="1" xfId="17" applyFont="1" applyFill="1" applyBorder="1" applyAlignment="1">
      <alignment horizontal="center" vertical="center" wrapText="1"/>
    </xf>
    <xf numFmtId="0" fontId="0" fillId="0" borderId="0" xfId="0" applyAlignment="1">
      <alignment wrapText="1"/>
    </xf>
    <xf numFmtId="0" fontId="19" fillId="0" borderId="1" xfId="0" applyFont="1" applyBorder="1" applyAlignment="1">
      <alignment horizontal="center" vertical="center"/>
    </xf>
    <xf numFmtId="176" fontId="19" fillId="0" borderId="1" xfId="0" applyNumberFormat="1" applyFont="1" applyBorder="1" applyAlignment="1">
      <alignment horizontal="center" vertical="center"/>
    </xf>
    <xf numFmtId="1" fontId="19" fillId="0" borderId="1" xfId="0" applyNumberFormat="1" applyFont="1" applyBorder="1" applyAlignment="1">
      <alignment horizontal="center" vertical="center"/>
    </xf>
    <xf numFmtId="189" fontId="19" fillId="0" borderId="1" xfId="0" applyNumberFormat="1" applyFont="1" applyBorder="1" applyAlignment="1">
      <alignment horizontal="center" vertical="center"/>
    </xf>
    <xf numFmtId="9" fontId="19" fillId="0" borderId="1" xfId="17" applyFont="1" applyFill="1" applyBorder="1" applyAlignment="1">
      <alignment horizontal="center" vertical="center"/>
    </xf>
    <xf numFmtId="0" fontId="19" fillId="7" borderId="1" xfId="0" applyFont="1" applyFill="1" applyBorder="1" applyAlignment="1">
      <alignment horizontal="center" vertical="center" wrapText="1"/>
    </xf>
    <xf numFmtId="1" fontId="19" fillId="7" borderId="1" xfId="0" applyNumberFormat="1" applyFont="1" applyFill="1" applyBorder="1" applyAlignment="1">
      <alignment horizontal="center" vertical="center"/>
    </xf>
    <xf numFmtId="183" fontId="19" fillId="0" borderId="1" xfId="0" applyNumberFormat="1" applyFont="1" applyBorder="1" applyAlignment="1">
      <alignment horizontal="center" vertical="center"/>
    </xf>
    <xf numFmtId="9" fontId="19" fillId="0" borderId="1" xfId="17" applyFont="1" applyBorder="1" applyAlignment="1">
      <alignment horizontal="center" vertical="center"/>
    </xf>
    <xf numFmtId="0" fontId="19" fillId="0" borderId="15" xfId="0" applyFont="1" applyBorder="1" applyAlignment="1">
      <alignment horizontal="center" vertical="center" wrapText="1"/>
    </xf>
    <xf numFmtId="179" fontId="0" fillId="0" borderId="0" xfId="0" applyNumberFormat="1" applyAlignment="1">
      <alignment wrapText="1"/>
    </xf>
    <xf numFmtId="49" fontId="94" fillId="0" borderId="14"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276"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77" fillId="6" borderId="0" xfId="0" applyFont="1" applyFill="1" applyProtection="1">
      <alignment vertical="center"/>
      <protection locked="0"/>
    </xf>
    <xf numFmtId="0" fontId="0" fillId="0" borderId="0" xfId="0" applyProtection="1">
      <alignmen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0" fontId="79" fillId="12" borderId="1" xfId="0" applyFont="1" applyFill="1" applyBorder="1" applyAlignment="1" applyProtection="1">
      <alignment horizontal="left" vertical="center"/>
      <protection locked="0"/>
    </xf>
    <xf numFmtId="176" fontId="52" fillId="12" borderId="1" xfId="0" applyNumberFormat="1"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0" fontId="47" fillId="12" borderId="0" xfId="0" applyFont="1" applyFill="1" applyAlignment="1" applyProtection="1">
      <alignment horizontal="left" vertical="center"/>
      <protection locked="0"/>
    </xf>
    <xf numFmtId="197" fontId="19" fillId="0" borderId="1" xfId="0" applyNumberFormat="1" applyFont="1" applyBorder="1" applyAlignment="1">
      <alignment horizontal="center" vertical="center" wrapText="1"/>
    </xf>
    <xf numFmtId="0" fontId="80" fillId="0" borderId="176" xfId="0" applyFont="1" applyBorder="1" applyAlignment="1">
      <alignment horizontal="center" vertical="center" wrapText="1"/>
    </xf>
    <xf numFmtId="197" fontId="80" fillId="0" borderId="176" xfId="0" applyNumberFormat="1" applyFont="1" applyBorder="1" applyAlignment="1">
      <alignment horizontal="center" vertical="center" wrapText="1"/>
    </xf>
    <xf numFmtId="43" fontId="19" fillId="0" borderId="1" xfId="0" applyNumberFormat="1" applyFont="1" applyBorder="1" applyAlignment="1">
      <alignment horizontal="center" vertical="center"/>
    </xf>
    <xf numFmtId="197" fontId="19" fillId="0" borderId="1" xfId="0" applyNumberFormat="1" applyFont="1" applyBorder="1" applyAlignment="1">
      <alignment horizontal="center" vertical="center"/>
    </xf>
    <xf numFmtId="43" fontId="80" fillId="0" borderId="176" xfId="0" applyNumberFormat="1" applyFont="1" applyBorder="1" applyAlignment="1">
      <alignment horizontal="left" vertical="center"/>
    </xf>
    <xf numFmtId="0" fontId="19" fillId="0" borderId="0" xfId="0" applyFont="1" applyAlignment="1">
      <alignment horizontal="left" vertical="center"/>
    </xf>
    <xf numFmtId="43" fontId="80" fillId="0" borderId="176" xfId="0" applyNumberFormat="1" applyFont="1" applyBorder="1" applyAlignment="1">
      <alignment horizontal="center" vertical="center"/>
    </xf>
    <xf numFmtId="0" fontId="19" fillId="0" borderId="0" xfId="0" applyFont="1" applyAlignment="1">
      <alignment horizontal="center" vertical="center"/>
    </xf>
    <xf numFmtId="43" fontId="19" fillId="0" borderId="1" xfId="14" applyNumberFormat="1" applyFont="1" applyBorder="1" applyAlignment="1">
      <alignment horizontal="center" vertical="center"/>
    </xf>
    <xf numFmtId="197" fontId="19" fillId="0" borderId="0" xfId="0" applyNumberFormat="1" applyFont="1" applyAlignment="1">
      <alignment horizontal="left" vertical="center"/>
    </xf>
    <xf numFmtId="0" fontId="80" fillId="0" borderId="0" xfId="0" applyFont="1" applyAlignment="1">
      <alignment horizontal="left" vertical="center"/>
    </xf>
    <xf numFmtId="0" fontId="19" fillId="0" borderId="0" xfId="0" applyFont="1" applyAlignment="1">
      <alignment horizontal="center" vertical="center" wrapText="1"/>
    </xf>
    <xf numFmtId="43" fontId="19" fillId="0" borderId="0" xfId="14" applyNumberFormat="1" applyFont="1" applyBorder="1" applyAlignment="1">
      <alignment horizontal="center" vertical="center"/>
    </xf>
    <xf numFmtId="197" fontId="19" fillId="0" borderId="0" xfId="0" applyNumberFormat="1" applyFont="1" applyAlignment="1">
      <alignment horizontal="center" vertical="center"/>
    </xf>
    <xf numFmtId="43" fontId="80" fillId="0" borderId="0" xfId="0" applyNumberFormat="1" applyFont="1" applyAlignment="1">
      <alignment horizontal="left" vertical="center"/>
    </xf>
    <xf numFmtId="0" fontId="277" fillId="6"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208"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95" fillId="0" borderId="1" xfId="0" applyFont="1" applyBorder="1" applyAlignment="1">
      <alignment horizontal="center" vertical="center" wrapText="1"/>
    </xf>
    <xf numFmtId="0" fontId="95" fillId="0" borderId="1" xfId="0" applyFont="1" applyBorder="1" applyAlignment="1">
      <alignment horizontal="center" vertical="center"/>
    </xf>
    <xf numFmtId="0" fontId="116" fillId="0" borderId="60" xfId="0" applyFont="1" applyBorder="1" applyAlignment="1">
      <alignment horizontal="center" vertical="center"/>
    </xf>
    <xf numFmtId="197" fontId="19"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22</xdr:col>
      <xdr:colOff>381001</xdr:colOff>
      <xdr:row>4</xdr:row>
      <xdr:rowOff>143933</xdr:rowOff>
    </xdr:from>
    <xdr:to>
      <xdr:col>33</xdr:col>
      <xdr:colOff>125457</xdr:colOff>
      <xdr:row>25</xdr:row>
      <xdr:rowOff>49900</xdr:rowOff>
    </xdr:to>
    <xdr:pic>
      <xdr:nvPicPr>
        <xdr:cNvPr id="2" name="图片 1">
          <a:extLst>
            <a:ext uri="{FF2B5EF4-FFF2-40B4-BE49-F238E27FC236}">
              <a16:creationId xmlns:a16="http://schemas.microsoft.com/office/drawing/2014/main" id="{BE2E21B5-9F4C-43F5-BE1C-7F49D108FB28}"/>
            </a:ext>
          </a:extLst>
        </xdr:cNvPr>
        <xdr:cNvPicPr>
          <a:picLocks noChangeAspect="1"/>
        </xdr:cNvPicPr>
      </xdr:nvPicPr>
      <xdr:blipFill>
        <a:blip xmlns:r="http://schemas.openxmlformats.org/officeDocument/2006/relationships" r:embed="rId1"/>
        <a:stretch>
          <a:fillRect/>
        </a:stretch>
      </xdr:blipFill>
      <xdr:spPr>
        <a:xfrm>
          <a:off x="18719801" y="1744133"/>
          <a:ext cx="6450056" cy="36397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600710</xdr:colOff>
      <xdr:row>27</xdr:row>
      <xdr:rowOff>0</xdr:rowOff>
    </xdr:from>
    <xdr:to>
      <xdr:col>14</xdr:col>
      <xdr:colOff>164095</xdr:colOff>
      <xdr:row>54</xdr:row>
      <xdr:rowOff>163859</xdr:rowOff>
    </xdr:to>
    <xdr:pic>
      <xdr:nvPicPr>
        <xdr:cNvPr id="2" name="图片 1">
          <a:extLst>
            <a:ext uri="{FF2B5EF4-FFF2-40B4-BE49-F238E27FC236}">
              <a16:creationId xmlns:a16="http://schemas.microsoft.com/office/drawing/2014/main" id="{1AB7E418-2AD9-46AF-8EC9-4385E6A206B9}"/>
            </a:ext>
          </a:extLst>
        </xdr:cNvPr>
        <xdr:cNvPicPr>
          <a:picLocks noChangeAspect="1"/>
        </xdr:cNvPicPr>
      </xdr:nvPicPr>
      <xdr:blipFill>
        <a:blip xmlns:r="http://schemas.openxmlformats.org/officeDocument/2006/relationships" r:embed="rId1"/>
        <a:stretch>
          <a:fillRect/>
        </a:stretch>
      </xdr:blipFill>
      <xdr:spPr>
        <a:xfrm>
          <a:off x="7814310" y="5829300"/>
          <a:ext cx="8129535" cy="4710459"/>
        </a:xfrm>
        <a:prstGeom prst="rect">
          <a:avLst/>
        </a:prstGeom>
      </xdr:spPr>
    </xdr:pic>
    <xdr:clientData/>
  </xdr:twoCellAnchor>
  <xdr:twoCellAnchor editAs="oneCell">
    <xdr:from>
      <xdr:col>1</xdr:col>
      <xdr:colOff>0</xdr:colOff>
      <xdr:row>30</xdr:row>
      <xdr:rowOff>40640</xdr:rowOff>
    </xdr:from>
    <xdr:to>
      <xdr:col>6</xdr:col>
      <xdr:colOff>355989</xdr:colOff>
      <xdr:row>46</xdr:row>
      <xdr:rowOff>119664</xdr:rowOff>
    </xdr:to>
    <xdr:pic>
      <xdr:nvPicPr>
        <xdr:cNvPr id="3" name="图片 2">
          <a:extLst>
            <a:ext uri="{FF2B5EF4-FFF2-40B4-BE49-F238E27FC236}">
              <a16:creationId xmlns:a16="http://schemas.microsoft.com/office/drawing/2014/main" id="{849A2527-F077-4650-A561-E9F446A1C9AA}"/>
            </a:ext>
          </a:extLst>
        </xdr:cNvPr>
        <xdr:cNvPicPr>
          <a:picLocks noChangeAspect="1"/>
        </xdr:cNvPicPr>
      </xdr:nvPicPr>
      <xdr:blipFill>
        <a:blip xmlns:r="http://schemas.openxmlformats.org/officeDocument/2006/relationships" r:embed="rId2"/>
        <a:stretch>
          <a:fillRect/>
        </a:stretch>
      </xdr:blipFill>
      <xdr:spPr>
        <a:xfrm>
          <a:off x="419100" y="6441440"/>
          <a:ext cx="7150489" cy="2733324"/>
        </a:xfrm>
        <a:prstGeom prst="rect">
          <a:avLst/>
        </a:prstGeom>
      </xdr:spPr>
    </xdr:pic>
    <xdr:clientData/>
  </xdr:twoCellAnchor>
  <xdr:twoCellAnchor editAs="oneCell">
    <xdr:from>
      <xdr:col>1</xdr:col>
      <xdr:colOff>0</xdr:colOff>
      <xdr:row>47</xdr:row>
      <xdr:rowOff>66040</xdr:rowOff>
    </xdr:from>
    <xdr:to>
      <xdr:col>3</xdr:col>
      <xdr:colOff>1097445</xdr:colOff>
      <xdr:row>60</xdr:row>
      <xdr:rowOff>134970</xdr:rowOff>
    </xdr:to>
    <xdr:pic>
      <xdr:nvPicPr>
        <xdr:cNvPr id="4" name="图片 3">
          <a:extLst>
            <a:ext uri="{FF2B5EF4-FFF2-40B4-BE49-F238E27FC236}">
              <a16:creationId xmlns:a16="http://schemas.microsoft.com/office/drawing/2014/main" id="{DFCB9A94-545E-4EE5-959C-FA262FB65FC3}"/>
            </a:ext>
          </a:extLst>
        </xdr:cNvPr>
        <xdr:cNvPicPr>
          <a:picLocks noChangeAspect="1"/>
        </xdr:cNvPicPr>
      </xdr:nvPicPr>
      <xdr:blipFill>
        <a:blip xmlns:r="http://schemas.openxmlformats.org/officeDocument/2006/relationships" r:embed="rId3"/>
        <a:stretch>
          <a:fillRect/>
        </a:stretch>
      </xdr:blipFill>
      <xdr:spPr>
        <a:xfrm>
          <a:off x="419100" y="9286240"/>
          <a:ext cx="3783495" cy="2215230"/>
        </a:xfrm>
        <a:prstGeom prst="rect">
          <a:avLst/>
        </a:prstGeom>
      </xdr:spPr>
    </xdr:pic>
    <xdr:clientData/>
  </xdr:twoCellAnchor>
  <xdr:twoCellAnchor editAs="oneCell">
    <xdr:from>
      <xdr:col>3</xdr:col>
      <xdr:colOff>1301750</xdr:colOff>
      <xdr:row>48</xdr:row>
      <xdr:rowOff>78740</xdr:rowOff>
    </xdr:from>
    <xdr:to>
      <xdr:col>8</xdr:col>
      <xdr:colOff>19000</xdr:colOff>
      <xdr:row>62</xdr:row>
      <xdr:rowOff>91776</xdr:rowOff>
    </xdr:to>
    <xdr:pic>
      <xdr:nvPicPr>
        <xdr:cNvPr id="5" name="图片 4">
          <a:extLst>
            <a:ext uri="{FF2B5EF4-FFF2-40B4-BE49-F238E27FC236}">
              <a16:creationId xmlns:a16="http://schemas.microsoft.com/office/drawing/2014/main" id="{D388B3CF-D1A3-4035-81B4-F0026A0AEC16}"/>
            </a:ext>
          </a:extLst>
        </xdr:cNvPr>
        <xdr:cNvPicPr>
          <a:picLocks noChangeAspect="1"/>
        </xdr:cNvPicPr>
      </xdr:nvPicPr>
      <xdr:blipFill>
        <a:blip xmlns:r="http://schemas.openxmlformats.org/officeDocument/2006/relationships" r:embed="rId4"/>
        <a:stretch>
          <a:fillRect/>
        </a:stretch>
      </xdr:blipFill>
      <xdr:spPr>
        <a:xfrm>
          <a:off x="4406900" y="9464040"/>
          <a:ext cx="5530800" cy="2324436"/>
        </a:xfrm>
        <a:prstGeom prst="rect">
          <a:avLst/>
        </a:prstGeom>
      </xdr:spPr>
    </xdr:pic>
    <xdr:clientData/>
  </xdr:twoCellAnchor>
  <xdr:twoCellAnchor editAs="oneCell">
    <xdr:from>
      <xdr:col>1</xdr:col>
      <xdr:colOff>182880</xdr:colOff>
      <xdr:row>61</xdr:row>
      <xdr:rowOff>127000</xdr:rowOff>
    </xdr:from>
    <xdr:to>
      <xdr:col>3</xdr:col>
      <xdr:colOff>1459376</xdr:colOff>
      <xdr:row>75</xdr:row>
      <xdr:rowOff>49878</xdr:rowOff>
    </xdr:to>
    <xdr:pic>
      <xdr:nvPicPr>
        <xdr:cNvPr id="6" name="图片 5">
          <a:extLst>
            <a:ext uri="{FF2B5EF4-FFF2-40B4-BE49-F238E27FC236}">
              <a16:creationId xmlns:a16="http://schemas.microsoft.com/office/drawing/2014/main" id="{71A9373A-28A7-4313-AF03-E55F65E3B27B}"/>
            </a:ext>
          </a:extLst>
        </xdr:cNvPr>
        <xdr:cNvPicPr>
          <a:picLocks noChangeAspect="1"/>
        </xdr:cNvPicPr>
      </xdr:nvPicPr>
      <xdr:blipFill>
        <a:blip xmlns:r="http://schemas.openxmlformats.org/officeDocument/2006/relationships" r:embed="rId5"/>
        <a:stretch>
          <a:fillRect/>
        </a:stretch>
      </xdr:blipFill>
      <xdr:spPr>
        <a:xfrm>
          <a:off x="601980" y="11658600"/>
          <a:ext cx="3962546" cy="2234278"/>
        </a:xfrm>
        <a:prstGeom prst="rect">
          <a:avLst/>
        </a:prstGeom>
      </xdr:spPr>
    </xdr:pic>
    <xdr:clientData/>
  </xdr:twoCellAnchor>
  <xdr:twoCellAnchor editAs="oneCell">
    <xdr:from>
      <xdr:col>3</xdr:col>
      <xdr:colOff>1301750</xdr:colOff>
      <xdr:row>62</xdr:row>
      <xdr:rowOff>78740</xdr:rowOff>
    </xdr:from>
    <xdr:to>
      <xdr:col>7</xdr:col>
      <xdr:colOff>1069943</xdr:colOff>
      <xdr:row>80</xdr:row>
      <xdr:rowOff>63755</xdr:rowOff>
    </xdr:to>
    <xdr:pic>
      <xdr:nvPicPr>
        <xdr:cNvPr id="7" name="图片 6">
          <a:extLst>
            <a:ext uri="{FF2B5EF4-FFF2-40B4-BE49-F238E27FC236}">
              <a16:creationId xmlns:a16="http://schemas.microsoft.com/office/drawing/2014/main" id="{A6835CD1-96D5-4813-8EC4-D322A9631567}"/>
            </a:ext>
          </a:extLst>
        </xdr:cNvPr>
        <xdr:cNvPicPr>
          <a:picLocks noChangeAspect="1"/>
        </xdr:cNvPicPr>
      </xdr:nvPicPr>
      <xdr:blipFill>
        <a:blip xmlns:r="http://schemas.openxmlformats.org/officeDocument/2006/relationships" r:embed="rId6"/>
        <a:stretch>
          <a:fillRect/>
        </a:stretch>
      </xdr:blipFill>
      <xdr:spPr>
        <a:xfrm>
          <a:off x="4406900" y="11775440"/>
          <a:ext cx="5387943" cy="2956815"/>
        </a:xfrm>
        <a:prstGeom prst="rect">
          <a:avLst/>
        </a:prstGeom>
      </xdr:spPr>
    </xdr:pic>
    <xdr:clientData/>
  </xdr:twoCellAnchor>
  <xdr:twoCellAnchor editAs="oneCell">
    <xdr:from>
      <xdr:col>7</xdr:col>
      <xdr:colOff>1009500</xdr:colOff>
      <xdr:row>49</xdr:row>
      <xdr:rowOff>146050</xdr:rowOff>
    </xdr:from>
    <xdr:to>
      <xdr:col>15</xdr:col>
      <xdr:colOff>119202</xdr:colOff>
      <xdr:row>82</xdr:row>
      <xdr:rowOff>101600</xdr:rowOff>
    </xdr:to>
    <xdr:pic>
      <xdr:nvPicPr>
        <xdr:cNvPr id="8" name="图片 7">
          <a:extLst>
            <a:ext uri="{FF2B5EF4-FFF2-40B4-BE49-F238E27FC236}">
              <a16:creationId xmlns:a16="http://schemas.microsoft.com/office/drawing/2014/main" id="{B18AFD89-54F8-E25F-DB73-467675DF4215}"/>
            </a:ext>
          </a:extLst>
        </xdr:cNvPr>
        <xdr:cNvPicPr>
          <a:picLocks noChangeAspect="1"/>
        </xdr:cNvPicPr>
      </xdr:nvPicPr>
      <xdr:blipFill>
        <a:blip xmlns:r="http://schemas.openxmlformats.org/officeDocument/2006/relationships" r:embed="rId7"/>
        <a:stretch>
          <a:fillRect/>
        </a:stretch>
      </xdr:blipFill>
      <xdr:spPr>
        <a:xfrm>
          <a:off x="9734400" y="10191750"/>
          <a:ext cx="7301202" cy="5403850"/>
        </a:xfrm>
        <a:prstGeom prst="rect">
          <a:avLst/>
        </a:prstGeom>
      </xdr:spPr>
    </xdr:pic>
    <xdr:clientData/>
  </xdr:twoCellAnchor>
  <xdr:twoCellAnchor editAs="oneCell">
    <xdr:from>
      <xdr:col>7</xdr:col>
      <xdr:colOff>742950</xdr:colOff>
      <xdr:row>78</xdr:row>
      <xdr:rowOff>23130</xdr:rowOff>
    </xdr:from>
    <xdr:to>
      <xdr:col>14</xdr:col>
      <xdr:colOff>1005591</xdr:colOff>
      <xdr:row>113</xdr:row>
      <xdr:rowOff>94035</xdr:rowOff>
    </xdr:to>
    <xdr:pic>
      <xdr:nvPicPr>
        <xdr:cNvPr id="9" name="图片 8">
          <a:extLst>
            <a:ext uri="{FF2B5EF4-FFF2-40B4-BE49-F238E27FC236}">
              <a16:creationId xmlns:a16="http://schemas.microsoft.com/office/drawing/2014/main" id="{AC6D7520-2615-C3E1-AEBD-6CB4A820DBD1}"/>
            </a:ext>
          </a:extLst>
        </xdr:cNvPr>
        <xdr:cNvPicPr>
          <a:picLocks noChangeAspect="1"/>
        </xdr:cNvPicPr>
      </xdr:nvPicPr>
      <xdr:blipFill>
        <a:blip xmlns:r="http://schemas.openxmlformats.org/officeDocument/2006/relationships" r:embed="rId8"/>
        <a:stretch>
          <a:fillRect/>
        </a:stretch>
      </xdr:blipFill>
      <xdr:spPr>
        <a:xfrm>
          <a:off x="9467850" y="14856730"/>
          <a:ext cx="7317491" cy="5849405"/>
        </a:xfrm>
        <a:prstGeom prst="rect">
          <a:avLst/>
        </a:prstGeom>
      </xdr:spPr>
    </xdr:pic>
    <xdr:clientData/>
  </xdr:twoCellAnchor>
  <xdr:twoCellAnchor editAs="oneCell">
    <xdr:from>
      <xdr:col>0</xdr:col>
      <xdr:colOff>97876</xdr:colOff>
      <xdr:row>78</xdr:row>
      <xdr:rowOff>146050</xdr:rowOff>
    </xdr:from>
    <xdr:to>
      <xdr:col>5</xdr:col>
      <xdr:colOff>765111</xdr:colOff>
      <xdr:row>110</xdr:row>
      <xdr:rowOff>52852</xdr:rowOff>
    </xdr:to>
    <xdr:pic>
      <xdr:nvPicPr>
        <xdr:cNvPr id="10" name="图片 9">
          <a:extLst>
            <a:ext uri="{FF2B5EF4-FFF2-40B4-BE49-F238E27FC236}">
              <a16:creationId xmlns:a16="http://schemas.microsoft.com/office/drawing/2014/main" id="{E04B962F-89D1-60D1-123D-72728C7E6E38}"/>
            </a:ext>
          </a:extLst>
        </xdr:cNvPr>
        <xdr:cNvPicPr>
          <a:picLocks noChangeAspect="1"/>
        </xdr:cNvPicPr>
      </xdr:nvPicPr>
      <xdr:blipFill>
        <a:blip xmlns:r="http://schemas.openxmlformats.org/officeDocument/2006/relationships" r:embed="rId9"/>
        <a:stretch>
          <a:fillRect/>
        </a:stretch>
      </xdr:blipFill>
      <xdr:spPr>
        <a:xfrm>
          <a:off x="97876" y="14979650"/>
          <a:ext cx="7017235" cy="51900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551009</xdr:colOff>
      <xdr:row>41</xdr:row>
      <xdr:rowOff>16206</xdr:rowOff>
    </xdr:to>
    <xdr:pic>
      <xdr:nvPicPr>
        <xdr:cNvPr id="2" name="图片 1">
          <a:extLst>
            <a:ext uri="{FF2B5EF4-FFF2-40B4-BE49-F238E27FC236}">
              <a16:creationId xmlns:a16="http://schemas.microsoft.com/office/drawing/2014/main" id="{90B24EDE-CDDF-470A-9134-5BC9A6AD8082}"/>
            </a:ext>
          </a:extLst>
        </xdr:cNvPr>
        <xdr:cNvPicPr>
          <a:picLocks noChangeAspect="1"/>
        </xdr:cNvPicPr>
      </xdr:nvPicPr>
      <xdr:blipFill>
        <a:blip xmlns:r="http://schemas.openxmlformats.org/officeDocument/2006/relationships" r:embed="rId1"/>
        <a:stretch>
          <a:fillRect/>
        </a:stretch>
      </xdr:blipFill>
      <xdr:spPr>
        <a:xfrm>
          <a:off x="0" y="0"/>
          <a:ext cx="11523809" cy="7306006"/>
        </a:xfrm>
        <a:prstGeom prst="rect">
          <a:avLst/>
        </a:prstGeom>
      </xdr:spPr>
    </xdr:pic>
    <xdr:clientData/>
  </xdr:twoCellAnchor>
  <xdr:twoCellAnchor editAs="oneCell">
    <xdr:from>
      <xdr:col>0</xdr:col>
      <xdr:colOff>0</xdr:colOff>
      <xdr:row>42</xdr:row>
      <xdr:rowOff>0</xdr:rowOff>
    </xdr:from>
    <xdr:to>
      <xdr:col>20</xdr:col>
      <xdr:colOff>436571</xdr:colOff>
      <xdr:row>78</xdr:row>
      <xdr:rowOff>92510</xdr:rowOff>
    </xdr:to>
    <xdr:pic>
      <xdr:nvPicPr>
        <xdr:cNvPr id="3" name="图片 2">
          <a:extLst>
            <a:ext uri="{FF2B5EF4-FFF2-40B4-BE49-F238E27FC236}">
              <a16:creationId xmlns:a16="http://schemas.microsoft.com/office/drawing/2014/main" id="{5A479C73-A61F-4F5D-9491-60118CC06B77}"/>
            </a:ext>
          </a:extLst>
        </xdr:cNvPr>
        <xdr:cNvPicPr>
          <a:picLocks noChangeAspect="1"/>
        </xdr:cNvPicPr>
      </xdr:nvPicPr>
      <xdr:blipFill>
        <a:blip xmlns:r="http://schemas.openxmlformats.org/officeDocument/2006/relationships" r:embed="rId2"/>
        <a:stretch>
          <a:fillRect/>
        </a:stretch>
      </xdr:blipFill>
      <xdr:spPr>
        <a:xfrm>
          <a:off x="0" y="7467600"/>
          <a:ext cx="12628571" cy="6493310"/>
        </a:xfrm>
        <a:prstGeom prst="rect">
          <a:avLst/>
        </a:prstGeom>
      </xdr:spPr>
    </xdr:pic>
    <xdr:clientData/>
  </xdr:twoCellAnchor>
  <xdr:twoCellAnchor editAs="oneCell">
    <xdr:from>
      <xdr:col>0</xdr:col>
      <xdr:colOff>0</xdr:colOff>
      <xdr:row>80</xdr:row>
      <xdr:rowOff>0</xdr:rowOff>
    </xdr:from>
    <xdr:to>
      <xdr:col>23</xdr:col>
      <xdr:colOff>217295</xdr:colOff>
      <xdr:row>91</xdr:row>
      <xdr:rowOff>140701</xdr:rowOff>
    </xdr:to>
    <xdr:pic>
      <xdr:nvPicPr>
        <xdr:cNvPr id="4" name="图片 3">
          <a:extLst>
            <a:ext uri="{FF2B5EF4-FFF2-40B4-BE49-F238E27FC236}">
              <a16:creationId xmlns:a16="http://schemas.microsoft.com/office/drawing/2014/main" id="{D7270DB7-410F-4F5E-A21B-445DACC5B277}"/>
            </a:ext>
          </a:extLst>
        </xdr:cNvPr>
        <xdr:cNvPicPr>
          <a:picLocks noChangeAspect="1"/>
        </xdr:cNvPicPr>
      </xdr:nvPicPr>
      <xdr:blipFill>
        <a:blip xmlns:r="http://schemas.openxmlformats.org/officeDocument/2006/relationships" r:embed="rId3"/>
        <a:stretch>
          <a:fillRect/>
        </a:stretch>
      </xdr:blipFill>
      <xdr:spPr>
        <a:xfrm>
          <a:off x="0" y="14224000"/>
          <a:ext cx="14238095" cy="20965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E:\2025\&#36827;&#34892;&#20013;\2025-1-0469-F01-&#26395;&#20140;&#19996;&#36335;4&#21495;&#38498;-&#27494;&#21733;-&#37073;&#12289;&#29579;-1&#12289;2\2025-1-0469-F01&#26395;&#20140;&#19996;&#36335;4&#21495;&#38498;&#27979;&#31639;&#34920;.xlsx" TargetMode="External"/><Relationship Id="rId1" Type="http://schemas.openxmlformats.org/officeDocument/2006/relationships/externalLinkPath" Target="2025-1-0469-F01&#26395;&#20140;&#19996;&#36335;4&#21495;&#38498;&#27979;&#31639;&#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元)"/>
      <sheetName val="假设开发法"/>
      <sheetName val="比较法-办公"/>
      <sheetName val="收益法"/>
      <sheetName val="信息"/>
      <sheetName val="租赁情况"/>
      <sheetName val="大宗案例"/>
      <sheetName val="比较法案例选用"/>
      <sheetName val="案例中指信息"/>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Sheet1"/>
      <sheetName val="成本法"/>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6">
          <cell r="N6">
            <v>0.83</v>
          </cell>
        </row>
        <row r="16">
          <cell r="K16">
            <v>55858.959999999977</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ow r="3">
          <cell r="G3">
            <v>58268</v>
          </cell>
        </row>
        <row r="17">
          <cell r="O17">
            <v>8191.59</v>
          </cell>
        </row>
        <row r="18">
          <cell r="O18">
            <v>47667.369999999981</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北京市朝阳区望京东路4号院1号楼房地产抵押价值预评估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受贵公司委托，我公司对北京市朝阳区望京东路4号院1号楼房地产抵押价值进行了预评估。</v>
      </c>
    </row>
    <row r="7" spans="1:2">
      <c r="A7" s="1119" t="s">
        <v>566</v>
      </c>
      <c r="B7" s="1120" t="str">
        <f>'预评函-1'!A7</f>
        <v>估价对象为北京市朝阳区望京东路4号院1号楼房地产，为北京恒基伟业移动通讯技术有限公司所有。根据《国有土地使用证》[]，估价对象（分摊）出让国有建设用地使用权面积为0平方米，建筑面积为55858.96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望京东路4号院1号楼房地产,属北京恒基伟业移动通讯技术有限公司开发建设的，该项目尚在开发建设中。根据《国有土地使用证》[]，估价对象（分摊）出让国有建设用地使用权面积为0平方米，规划建筑面积为55858.96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望京东路4号院1号楼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2025年9月1日</v>
      </c>
    </row>
    <row r="13" spans="1:2">
      <c r="A13" s="1119" t="s">
        <v>529</v>
      </c>
      <c r="B13" s="1120" t="str">
        <f>'预评函-1'!A18</f>
        <v>本次估价的“房地产价值”是指在正常市场情况下，在价值时点2025年9月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本次评估采用的主估价方法为比较法和收益法。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180656</v>
      </c>
    </row>
    <row r="21" spans="1:2">
      <c r="A21" s="1119" t="s">
        <v>537</v>
      </c>
      <c r="B21" s="1120">
        <f ca="1">'预评函-2'!D7</f>
        <v>32341</v>
      </c>
    </row>
    <row r="22" spans="1:2">
      <c r="A22" s="1119" t="s">
        <v>538</v>
      </c>
      <c r="B22" s="1120" t="str">
        <f ca="1">'预评函-2'!D6</f>
        <v>壹拾捌亿零陆佰伍拾陆万元整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180656</v>
      </c>
    </row>
    <row r="31" spans="1:2">
      <c r="A31" s="1119" t="s">
        <v>576</v>
      </c>
      <c r="B31" s="1120">
        <f ca="1">'预评函-2'!D15</f>
        <v>32341</v>
      </c>
    </row>
    <row r="32" spans="1:2">
      <c r="A32" s="1119" t="s">
        <v>543</v>
      </c>
      <c r="B32" s="1120" t="str">
        <f ca="1">'预评函-2'!D14</f>
        <v>壹拾捌亿零陆佰伍拾陆万元整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北京市朝阳区望京东路4号院1号楼房地产</v>
      </c>
    </row>
    <row r="42" spans="1:2" ht="30">
      <c r="A42" s="1119" t="s">
        <v>590</v>
      </c>
      <c r="B42" s="1120" t="str">
        <f>'预评函-3'!B2</f>
        <v>建筑面积</v>
      </c>
    </row>
    <row r="43" spans="1:2">
      <c r="A43" s="1119" t="s">
        <v>591</v>
      </c>
      <c r="B43" s="1120">
        <f>'预评函-3'!B4</f>
        <v>55858.959999999992</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3345</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3401</v>
      </c>
      <c r="AA1" s="1438" t="s">
        <v>3400</v>
      </c>
      <c r="AB1" s="1438" t="s">
        <v>3</v>
      </c>
    </row>
    <row r="2" spans="1:28">
      <c r="A2" s="1441" t="s">
        <v>19</v>
      </c>
      <c r="B2" s="1441" t="s">
        <v>993</v>
      </c>
      <c r="C2" s="1442" t="s">
        <v>315</v>
      </c>
      <c r="D2" s="1443" t="s">
        <v>994</v>
      </c>
      <c r="E2" s="1443" t="s">
        <v>995</v>
      </c>
      <c r="F2" s="1443" t="s">
        <v>996</v>
      </c>
      <c r="G2" s="1443">
        <v>20</v>
      </c>
      <c r="H2" s="1443" t="s">
        <v>996</v>
      </c>
      <c r="I2" s="1443" t="s">
        <v>3331</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2435</v>
      </c>
      <c r="Y2" s="1445" t="s">
        <v>3408</v>
      </c>
      <c r="Z2" s="1445" t="s">
        <v>2448</v>
      </c>
      <c r="AA2" s="1445" t="s">
        <v>3409</v>
      </c>
      <c r="AB2" s="1445" t="s">
        <v>2475</v>
      </c>
    </row>
    <row r="3" spans="1:28">
      <c r="A3" s="1441" t="s">
        <v>1001</v>
      </c>
      <c r="B3" s="1444" t="s">
        <v>448</v>
      </c>
      <c r="C3" s="1442" t="s">
        <v>316</v>
      </c>
      <c r="D3" s="1443" t="s">
        <v>1002</v>
      </c>
      <c r="E3" s="1443" t="s">
        <v>13</v>
      </c>
      <c r="F3" s="1443" t="s">
        <v>1003</v>
      </c>
      <c r="G3" s="1443">
        <v>40</v>
      </c>
      <c r="H3" s="1443" t="s">
        <v>1003</v>
      </c>
      <c r="I3" s="1443" t="s">
        <v>3332</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2437</v>
      </c>
      <c r="Z3" s="1445" t="s">
        <v>2450</v>
      </c>
      <c r="AB3" s="1445" t="s">
        <v>2477</v>
      </c>
    </row>
    <row r="4" spans="1:28">
      <c r="A4" s="1441" t="s">
        <v>1008</v>
      </c>
      <c r="B4" s="1441" t="s">
        <v>1009</v>
      </c>
      <c r="C4" s="1442" t="s">
        <v>317</v>
      </c>
      <c r="D4" s="1443" t="s">
        <v>389</v>
      </c>
      <c r="E4" s="1443" t="s">
        <v>1010</v>
      </c>
      <c r="F4" s="1443" t="s">
        <v>1011</v>
      </c>
      <c r="G4" s="1443">
        <v>50</v>
      </c>
      <c r="H4" s="1443" t="s">
        <v>1011</v>
      </c>
      <c r="I4" s="1443" t="s">
        <v>3333</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2439</v>
      </c>
      <c r="Z4" s="1445" t="s">
        <v>2452</v>
      </c>
      <c r="AB4" s="1445" t="s">
        <v>2479</v>
      </c>
    </row>
    <row r="5" spans="1:28">
      <c r="A5" s="1441" t="s">
        <v>1014</v>
      </c>
      <c r="B5" s="1441" t="s">
        <v>1015</v>
      </c>
      <c r="C5" s="1442" t="s">
        <v>318</v>
      </c>
      <c r="F5" s="1443" t="s">
        <v>1016</v>
      </c>
      <c r="G5" s="1443">
        <v>70</v>
      </c>
      <c r="H5" s="1443" t="s">
        <v>1017</v>
      </c>
      <c r="I5" s="1443" t="s">
        <v>3334</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2441</v>
      </c>
      <c r="Z5" s="1445" t="s">
        <v>2454</v>
      </c>
      <c r="AB5" s="1445" t="s">
        <v>3410</v>
      </c>
    </row>
    <row r="6" spans="1:28">
      <c r="A6" s="1441" t="s">
        <v>1020</v>
      </c>
      <c r="B6" s="1444" t="s">
        <v>449</v>
      </c>
      <c r="C6" s="1446" t="s">
        <v>24</v>
      </c>
      <c r="F6" s="1443" t="s">
        <v>1017</v>
      </c>
      <c r="H6" s="1443" t="s">
        <v>1021</v>
      </c>
      <c r="I6" s="1443" t="s">
        <v>3335</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2443</v>
      </c>
      <c r="Z6" s="1445" t="s">
        <v>2456</v>
      </c>
      <c r="AB6" s="1445" t="s">
        <v>2482</v>
      </c>
    </row>
    <row r="7" spans="1:28">
      <c r="A7" s="1441" t="s">
        <v>1023</v>
      </c>
      <c r="B7" s="1444" t="s">
        <v>450</v>
      </c>
      <c r="C7" s="1442" t="s">
        <v>25</v>
      </c>
      <c r="F7" s="1443" t="s">
        <v>1024</v>
      </c>
      <c r="H7" s="1443" t="s">
        <v>1025</v>
      </c>
      <c r="I7" s="1443" t="s">
        <v>3336</v>
      </c>
      <c r="X7" s="1445" t="s">
        <v>2445</v>
      </c>
      <c r="Z7" s="1445" t="s">
        <v>2458</v>
      </c>
      <c r="AB7" s="1445" t="s">
        <v>2484</v>
      </c>
    </row>
    <row r="8" spans="1:28">
      <c r="A8" s="1441" t="s">
        <v>1026</v>
      </c>
      <c r="B8" s="1441" t="s">
        <v>1027</v>
      </c>
      <c r="C8" s="1442" t="s">
        <v>319</v>
      </c>
      <c r="F8" s="1443" t="s">
        <v>1028</v>
      </c>
      <c r="H8" s="1443" t="s">
        <v>2573</v>
      </c>
      <c r="I8" s="1443" t="s">
        <v>3337</v>
      </c>
      <c r="X8" s="1445" t="s">
        <v>3411</v>
      </c>
      <c r="Z8" s="1445" t="s">
        <v>2460</v>
      </c>
      <c r="AB8" s="1445" t="s">
        <v>2486</v>
      </c>
    </row>
    <row r="9" spans="1:28">
      <c r="A9" s="1441" t="s">
        <v>1029</v>
      </c>
      <c r="B9" s="1441" t="s">
        <v>1030</v>
      </c>
      <c r="C9" s="1442" t="s">
        <v>320</v>
      </c>
      <c r="F9" s="1443" t="s">
        <v>1031</v>
      </c>
      <c r="H9" s="1443"/>
      <c r="I9" s="1445" t="s">
        <v>3338</v>
      </c>
      <c r="X9" s="1445" t="s">
        <v>3412</v>
      </c>
      <c r="Z9" s="1445" t="s">
        <v>2462</v>
      </c>
      <c r="AB9" s="1445" t="s">
        <v>2488</v>
      </c>
    </row>
    <row r="10" spans="1:28">
      <c r="A10" s="1441" t="s">
        <v>1032</v>
      </c>
      <c r="B10" s="1441" t="s">
        <v>1033</v>
      </c>
      <c r="C10" s="1442" t="s">
        <v>321</v>
      </c>
      <c r="F10" s="1443" t="s">
        <v>2574</v>
      </c>
      <c r="I10" s="1445" t="s">
        <v>3339</v>
      </c>
      <c r="Z10" s="1445" t="s">
        <v>2464</v>
      </c>
      <c r="AB10" s="1445" t="s">
        <v>2490</v>
      </c>
    </row>
    <row r="11" spans="1:28">
      <c r="A11" s="1441" t="s">
        <v>1034</v>
      </c>
      <c r="B11" s="1441" t="s">
        <v>1035</v>
      </c>
      <c r="C11" s="1442" t="s">
        <v>322</v>
      </c>
      <c r="F11" s="1443" t="s">
        <v>13</v>
      </c>
      <c r="I11" s="1445" t="s">
        <v>3340</v>
      </c>
      <c r="Z11" s="1445" t="s">
        <v>2466</v>
      </c>
      <c r="AB11" s="1445" t="s">
        <v>2492</v>
      </c>
    </row>
    <row r="12" spans="1:28">
      <c r="A12" s="1441" t="s">
        <v>1036</v>
      </c>
      <c r="B12" s="1441" t="s">
        <v>1037</v>
      </c>
      <c r="C12" s="1442" t="s">
        <v>323</v>
      </c>
      <c r="I12" s="1445" t="s">
        <v>3341</v>
      </c>
      <c r="Z12" s="1445" t="s">
        <v>2468</v>
      </c>
      <c r="AB12" s="1445" t="s">
        <v>2494</v>
      </c>
    </row>
    <row r="13" spans="1:28">
      <c r="A13" s="1441" t="s">
        <v>1038</v>
      </c>
      <c r="B13" s="1441" t="s">
        <v>1039</v>
      </c>
      <c r="C13" s="1442" t="s">
        <v>324</v>
      </c>
      <c r="I13" s="1445" t="s">
        <v>3342</v>
      </c>
      <c r="Z13" s="1445" t="s">
        <v>2470</v>
      </c>
    </row>
    <row r="14" spans="1:28">
      <c r="A14" s="1441" t="s">
        <v>1040</v>
      </c>
      <c r="B14" s="1441" t="s">
        <v>1041</v>
      </c>
      <c r="C14" s="1443" t="s">
        <v>13</v>
      </c>
      <c r="I14" s="1445" t="s">
        <v>3343</v>
      </c>
      <c r="Z14" s="1445" t="s">
        <v>2472</v>
      </c>
    </row>
    <row r="15" spans="1:28">
      <c r="A15" s="1441" t="s">
        <v>1042</v>
      </c>
      <c r="B15" s="1441" t="s">
        <v>1043</v>
      </c>
      <c r="C15" s="1442"/>
      <c r="I15" s="1445" t="s">
        <v>3344</v>
      </c>
    </row>
    <row r="16" spans="1:28">
      <c r="A16" s="1441" t="s">
        <v>1044</v>
      </c>
      <c r="B16" s="1441" t="s">
        <v>312</v>
      </c>
      <c r="C16" s="1442"/>
    </row>
    <row r="17" spans="1:3">
      <c r="A17" s="1441" t="s">
        <v>1045</v>
      </c>
      <c r="B17" s="1441" t="s">
        <v>2289</v>
      </c>
      <c r="C17" s="1442"/>
    </row>
    <row r="18" spans="1:3">
      <c r="A18" s="1441" t="s">
        <v>1046</v>
      </c>
      <c r="B18" s="1441" t="s">
        <v>2429</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望京东路4号院1号楼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8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6"/>
      <c r="B54" s="1447" t="s">
        <v>385</v>
      </c>
      <c r="C54" s="1445" t="s">
        <v>583</v>
      </c>
    </row>
    <row r="55" spans="1:4">
      <c r="A55" s="3286"/>
      <c r="B55" s="1447" t="s">
        <v>386</v>
      </c>
      <c r="C55" s="1445" t="s">
        <v>584</v>
      </c>
    </row>
    <row r="56" spans="1:4">
      <c r="A56" s="3286"/>
      <c r="B56" s="1447" t="s">
        <v>387</v>
      </c>
      <c r="C56" s="1445" t="s">
        <v>588</v>
      </c>
    </row>
    <row r="57" spans="1:4">
      <c r="A57" s="328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6"/>
    <col min="8" max="8" width="5.453125" style="2756" customWidth="1"/>
    <col min="9" max="13" width="9.453125" style="2797" customWidth="1"/>
    <col min="14" max="18" width="9.453125" style="2756" customWidth="1"/>
    <col min="19" max="16384" width="15.26953125" style="2756"/>
  </cols>
  <sheetData>
    <row r="1" spans="1:18">
      <c r="A1" s="2753" t="s">
        <v>2496</v>
      </c>
      <c r="B1" s="2754"/>
      <c r="C1" s="2754"/>
      <c r="D1" s="2754"/>
      <c r="E1" s="2754"/>
      <c r="F1" s="2755"/>
      <c r="I1" s="3132" t="s">
        <v>2589</v>
      </c>
      <c r="J1" s="2780"/>
      <c r="K1" s="2780"/>
      <c r="L1" s="2780"/>
      <c r="M1" s="2780"/>
      <c r="N1" s="2965"/>
      <c r="O1" s="2965"/>
      <c r="P1" s="2965"/>
      <c r="Q1" s="2965"/>
      <c r="R1" s="2965"/>
    </row>
    <row r="2" spans="1:18">
      <c r="A2" s="2757"/>
      <c r="B2" s="2758"/>
      <c r="C2" s="2758"/>
      <c r="D2" s="2758"/>
      <c r="E2" s="2758"/>
      <c r="F2" s="2759"/>
      <c r="I2" s="3287" t="s">
        <v>2576</v>
      </c>
      <c r="J2" s="3287"/>
      <c r="K2" s="3287"/>
      <c r="L2" s="3287"/>
      <c r="M2" s="3287"/>
      <c r="N2" s="3287"/>
      <c r="O2" s="3287"/>
      <c r="P2" s="3287"/>
      <c r="Q2" s="3287"/>
      <c r="R2" s="3287"/>
    </row>
    <row r="3" spans="1:18">
      <c r="A3" s="2760" t="s">
        <v>2497</v>
      </c>
      <c r="B3" s="2761">
        <f>项目基本情况!D3</f>
        <v>45901</v>
      </c>
      <c r="C3" s="2763"/>
      <c r="D3" s="2763"/>
      <c r="E3" s="2763"/>
      <c r="F3" s="2759"/>
      <c r="I3" s="2775"/>
      <c r="J3" s="2775" t="s">
        <v>2580</v>
      </c>
      <c r="K3" s="2775" t="s">
        <v>2581</v>
      </c>
      <c r="L3" s="2775" t="s">
        <v>2582</v>
      </c>
      <c r="M3" s="2775" t="s">
        <v>2583</v>
      </c>
      <c r="N3" s="3133" t="s">
        <v>2584</v>
      </c>
      <c r="O3" s="3133" t="s">
        <v>2585</v>
      </c>
      <c r="P3" s="3133" t="s">
        <v>2586</v>
      </c>
      <c r="Q3" s="3133" t="s">
        <v>2587</v>
      </c>
      <c r="R3" s="3133" t="s">
        <v>2588</v>
      </c>
    </row>
    <row r="4" spans="1:18">
      <c r="A4" s="2760" t="s">
        <v>2498</v>
      </c>
      <c r="B4" s="2763" t="s">
        <v>2499</v>
      </c>
      <c r="C4" s="2763" t="s">
        <v>2500</v>
      </c>
      <c r="D4" s="2763" t="s">
        <v>2501</v>
      </c>
      <c r="E4" s="2763" t="s">
        <v>2502</v>
      </c>
      <c r="F4" s="2759"/>
      <c r="I4" s="2775" t="s">
        <v>2577</v>
      </c>
      <c r="J4" s="2775">
        <v>80</v>
      </c>
      <c r="K4" s="2775">
        <v>70</v>
      </c>
      <c r="L4" s="2775">
        <v>20</v>
      </c>
      <c r="M4" s="2775">
        <v>30</v>
      </c>
      <c r="N4" s="2763">
        <v>45</v>
      </c>
      <c r="O4" s="2763">
        <v>60</v>
      </c>
      <c r="P4" s="2763">
        <v>50</v>
      </c>
      <c r="Q4" s="2763">
        <v>20</v>
      </c>
      <c r="R4" s="2763">
        <v>375</v>
      </c>
    </row>
    <row r="5" spans="1:18">
      <c r="A5" s="2764">
        <v>40</v>
      </c>
      <c r="B5" s="2761">
        <v>46375</v>
      </c>
      <c r="C5" s="2763">
        <f>ROUNDDOWN(MIN((B5-B3)/365,A5),2)</f>
        <v>1.29</v>
      </c>
      <c r="D5" s="2765">
        <f>IF(ISERROR(ROUND(POWER(1+E5,A5-C5)*(POWER(1+E5,C5)-1)/(POWER(1+E5,A5)-1),3)),0,ROUND(POWER(1+E5,A5-C5)*(POWER(1+E5,C5)-1)/(POWER(1+E5,A5)-1),4))</f>
        <v>6.2300000000000001E-2</v>
      </c>
      <c r="E5" s="2766">
        <v>0.04</v>
      </c>
      <c r="F5" s="2759"/>
      <c r="I5" s="2775" t="s">
        <v>2578</v>
      </c>
      <c r="J5" s="2775">
        <v>70</v>
      </c>
      <c r="K5" s="2775">
        <v>60</v>
      </c>
      <c r="L5" s="2775">
        <v>15</v>
      </c>
      <c r="M5" s="2775">
        <v>25</v>
      </c>
      <c r="N5" s="2763">
        <v>40</v>
      </c>
      <c r="O5" s="2763">
        <v>50</v>
      </c>
      <c r="P5" s="2763">
        <v>40</v>
      </c>
      <c r="Q5" s="2763">
        <v>15</v>
      </c>
      <c r="R5" s="2763">
        <v>315</v>
      </c>
    </row>
    <row r="6" spans="1:18">
      <c r="A6" s="2764">
        <v>50</v>
      </c>
      <c r="B6" s="2761">
        <v>50028</v>
      </c>
      <c r="C6" s="2763">
        <f>ROUNDDOWN(MIN((B6-B3)/365,A6),2)</f>
        <v>11.3</v>
      </c>
      <c r="D6" s="2765">
        <f>IF(ISERROR(ROUND(POWER(1+E6,A6-C6)*(POWER(1+E6,C6)-1)/(POWER(1+E6,A6)-1),3)),0,ROUND(POWER(1+E6,A6-C6)*(POWER(1+E6,C6)-1)/(POWER(1+E6,A6)-1),4))</f>
        <v>0.41660000000000003</v>
      </c>
      <c r="E6" s="2766">
        <v>0.04</v>
      </c>
      <c r="F6" s="2759"/>
      <c r="I6" s="2775" t="s">
        <v>2579</v>
      </c>
      <c r="J6" s="2775">
        <v>60</v>
      </c>
      <c r="K6" s="2775">
        <v>50</v>
      </c>
      <c r="L6" s="2775">
        <v>10</v>
      </c>
      <c r="M6" s="2775">
        <v>20</v>
      </c>
      <c r="N6" s="2763">
        <v>35</v>
      </c>
      <c r="O6" s="2763">
        <v>40</v>
      </c>
      <c r="P6" s="2763">
        <v>30</v>
      </c>
      <c r="Q6" s="2763">
        <v>10</v>
      </c>
      <c r="R6" s="2763">
        <v>255</v>
      </c>
    </row>
    <row r="7" spans="1:18">
      <c r="A7" s="2764">
        <v>70</v>
      </c>
      <c r="B7" s="2761">
        <v>57333</v>
      </c>
      <c r="C7" s="2763">
        <f>ROUNDDOWN(MIN((B7-B3)/365,A7),2)</f>
        <v>31.32</v>
      </c>
      <c r="D7" s="2765">
        <f>IF(ISERROR(ROUND(POWER(1+E7,A7-C7)*(POWER(1+E7,C7)-1)/(POWER(1+E7,A7)-1),3)),0,ROUND(POWER(1+E7,A7-C7)*(POWER(1+E7,C7)-1)/(POWER(1+E7,A7)-1),4))</f>
        <v>0.75580000000000003</v>
      </c>
      <c r="E7" s="2766">
        <v>0.04</v>
      </c>
      <c r="F7" s="2759"/>
    </row>
    <row r="8" spans="1:18">
      <c r="A8" s="2757"/>
      <c r="B8" s="2758"/>
      <c r="C8" s="2758"/>
      <c r="D8" s="2758"/>
      <c r="E8" s="2758"/>
      <c r="F8" s="2759"/>
    </row>
    <row r="9" spans="1:18">
      <c r="A9" s="2760" t="s">
        <v>2503</v>
      </c>
      <c r="B9" s="2763"/>
      <c r="C9" s="2763"/>
      <c r="D9" s="2763"/>
      <c r="E9" s="2763"/>
      <c r="F9" s="2767"/>
    </row>
    <row r="10" spans="1:18">
      <c r="A10" s="2760" t="s">
        <v>2504</v>
      </c>
      <c r="B10" s="2763"/>
      <c r="C10" s="2763"/>
      <c r="D10" s="2763" t="s">
        <v>2502</v>
      </c>
      <c r="E10" s="2763"/>
      <c r="F10" s="2767" t="s">
        <v>2501</v>
      </c>
    </row>
    <row r="11" spans="1:18">
      <c r="A11" s="2760" t="s">
        <v>2505</v>
      </c>
      <c r="B11" s="2768">
        <v>70</v>
      </c>
      <c r="C11" s="2763" t="s">
        <v>2506</v>
      </c>
      <c r="D11" s="2768">
        <v>4.4999999999999998E-2</v>
      </c>
      <c r="E11" s="2763" t="s">
        <v>2507</v>
      </c>
      <c r="F11" s="2769">
        <f>ROUND(1-(1/(POWER(1+D11,B11))),4)</f>
        <v>0.95409999999999995</v>
      </c>
    </row>
    <row r="12" spans="1:18">
      <c r="A12" s="2760" t="s">
        <v>2508</v>
      </c>
      <c r="B12" s="2768">
        <v>40</v>
      </c>
      <c r="C12" s="2763" t="s">
        <v>2509</v>
      </c>
      <c r="D12" s="2768">
        <v>4.4999999999999998E-2</v>
      </c>
      <c r="E12" s="2763" t="s">
        <v>2510</v>
      </c>
      <c r="F12" s="2769">
        <f>ROUND(1-(1/(POWER(1+D12,B12))),4)</f>
        <v>0.82809999999999995</v>
      </c>
    </row>
    <row r="13" spans="1:18">
      <c r="A13" s="2760" t="s">
        <v>2511</v>
      </c>
      <c r="B13" s="2763"/>
      <c r="C13" s="2763"/>
      <c r="D13" s="2758"/>
      <c r="E13" s="2758"/>
      <c r="F13" s="2759"/>
    </row>
    <row r="14" spans="1:18">
      <c r="A14" s="2760" t="s">
        <v>2512</v>
      </c>
      <c r="B14" s="2768">
        <v>5000</v>
      </c>
      <c r="C14" s="2762"/>
      <c r="D14" s="2758"/>
      <c r="E14" s="2758"/>
      <c r="F14" s="2759"/>
    </row>
    <row r="15" spans="1:18">
      <c r="A15" s="2760" t="s">
        <v>2513</v>
      </c>
      <c r="B15" s="2763">
        <f>ROUND(B14*F12/F11,2)</f>
        <v>4339.6899999999996</v>
      </c>
      <c r="C15" s="2763">
        <f>ROUND(F12/F11,4)</f>
        <v>0.8679</v>
      </c>
      <c r="D15" s="2758"/>
      <c r="E15" s="2758"/>
      <c r="F15" s="2759"/>
    </row>
    <row r="16" spans="1:18">
      <c r="A16" s="2760" t="s">
        <v>2514</v>
      </c>
      <c r="B16" s="2763"/>
      <c r="C16" s="2763"/>
      <c r="D16" s="2758"/>
      <c r="E16" s="2758"/>
      <c r="F16" s="2759"/>
    </row>
    <row r="17" spans="1:14">
      <c r="A17" s="2760" t="s">
        <v>2513</v>
      </c>
      <c r="B17" s="2768">
        <v>4810</v>
      </c>
      <c r="C17" s="2762"/>
      <c r="D17" s="2758"/>
      <c r="E17" s="2758"/>
      <c r="F17" s="2759"/>
    </row>
    <row r="18" spans="1:14" ht="14.5" thickBot="1">
      <c r="A18" s="2770" t="s">
        <v>2512</v>
      </c>
      <c r="B18" s="2771">
        <f>ROUND(B17*F11/F12,2)</f>
        <v>5541.87</v>
      </c>
      <c r="C18" s="2771">
        <f>ROUND(F11/F12,4)</f>
        <v>1.1521999999999999</v>
      </c>
      <c r="D18" s="2772"/>
      <c r="E18" s="2772"/>
      <c r="F18" s="2773"/>
    </row>
    <row r="19" spans="1:14" ht="14.5" thickBot="1"/>
    <row r="20" spans="1:14" s="2806" customFormat="1" ht="14.5" thickTop="1">
      <c r="A20" s="2803" t="s">
        <v>2515</v>
      </c>
      <c r="B20" s="2804"/>
      <c r="C20" s="2804"/>
      <c r="D20" s="2804"/>
      <c r="E20" s="2804"/>
      <c r="F20" s="2804"/>
      <c r="G20" s="2805"/>
      <c r="I20" s="2807" t="s">
        <v>2560</v>
      </c>
      <c r="J20" s="2807" t="s">
        <v>2565</v>
      </c>
      <c r="K20" s="2807"/>
      <c r="L20" s="2807"/>
      <c r="M20" s="2807"/>
    </row>
    <row r="21" spans="1:14">
      <c r="A21" s="2774"/>
      <c r="B21" s="2775" t="s">
        <v>2516</v>
      </c>
      <c r="C21" s="2775" t="s">
        <v>2517</v>
      </c>
      <c r="D21" s="2775" t="s">
        <v>2518</v>
      </c>
      <c r="E21" s="2775" t="s">
        <v>2519</v>
      </c>
      <c r="F21" s="2775" t="s">
        <v>2520</v>
      </c>
      <c r="G21" s="2776" t="s">
        <v>2521</v>
      </c>
      <c r="I21" s="2797">
        <v>5</v>
      </c>
      <c r="J21" s="2797">
        <v>54.2</v>
      </c>
    </row>
    <row r="22" spans="1:14">
      <c r="A22" s="2774" t="s">
        <v>2522</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2523</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2563</v>
      </c>
      <c r="N23" s="3150" t="s">
        <v>2564</v>
      </c>
    </row>
    <row r="24" spans="1:14">
      <c r="A24" s="2774" t="s">
        <v>2524</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2562</v>
      </c>
      <c r="N24" s="3150">
        <v>10</v>
      </c>
    </row>
    <row r="25" spans="1:14">
      <c r="A25" s="2774" t="s">
        <v>2525</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2566</v>
      </c>
      <c r="N25" s="3150">
        <v>8</v>
      </c>
    </row>
    <row r="26" spans="1:14">
      <c r="A26" s="2779"/>
      <c r="B26" s="2780"/>
      <c r="C26" s="2780"/>
      <c r="D26" s="2780"/>
      <c r="E26" s="2780"/>
      <c r="F26" s="2780"/>
      <c r="G26" s="2781"/>
      <c r="I26" s="2797">
        <v>30</v>
      </c>
      <c r="J26" s="2797">
        <v>90.5</v>
      </c>
      <c r="K26" s="2797">
        <f t="shared" si="2"/>
        <v>4.2000000000000028</v>
      </c>
      <c r="L26" s="2797" t="s">
        <v>2567</v>
      </c>
      <c r="N26" s="3150">
        <v>5</v>
      </c>
    </row>
    <row r="27" spans="1:14">
      <c r="A27" s="2779" t="s">
        <v>2526</v>
      </c>
      <c r="B27" s="2780"/>
      <c r="C27" s="2780"/>
      <c r="D27" s="2780"/>
      <c r="E27" s="2780"/>
      <c r="F27" s="2780"/>
      <c r="G27" s="2781"/>
      <c r="I27" s="2797">
        <v>35</v>
      </c>
      <c r="J27" s="2797">
        <v>93.8</v>
      </c>
      <c r="K27" s="2797">
        <f t="shared" si="2"/>
        <v>3.2999999999999972</v>
      </c>
      <c r="L27" s="2797" t="s">
        <v>2568</v>
      </c>
      <c r="N27" s="3150">
        <v>3</v>
      </c>
    </row>
    <row r="28" spans="1:14">
      <c r="A28" s="2779" t="s">
        <v>2527</v>
      </c>
      <c r="B28" s="2780"/>
      <c r="C28" s="2780"/>
      <c r="D28" s="2780"/>
      <c r="E28" s="2780"/>
      <c r="F28" s="2780"/>
      <c r="G28" s="2781"/>
      <c r="I28" s="2797">
        <v>40</v>
      </c>
      <c r="J28" s="2797">
        <v>96.4</v>
      </c>
      <c r="K28" s="2797">
        <f t="shared" si="2"/>
        <v>2.6000000000000085</v>
      </c>
      <c r="L28" s="2797" t="s">
        <v>2569</v>
      </c>
      <c r="N28" s="3150">
        <v>2</v>
      </c>
    </row>
    <row r="29" spans="1:14">
      <c r="A29" s="2779" t="s">
        <v>2528</v>
      </c>
      <c r="B29" s="2780"/>
      <c r="C29" s="2780"/>
      <c r="D29" s="2780"/>
      <c r="E29" s="2780"/>
      <c r="F29" s="2780"/>
      <c r="G29" s="2781"/>
      <c r="I29" s="2797">
        <v>45</v>
      </c>
      <c r="J29" s="2797">
        <v>98.4</v>
      </c>
      <c r="K29" s="2797">
        <f t="shared" si="2"/>
        <v>2</v>
      </c>
    </row>
    <row r="30" spans="1:14">
      <c r="A30" s="2779" t="s">
        <v>2529</v>
      </c>
      <c r="B30" s="2780"/>
      <c r="C30" s="2780"/>
      <c r="D30" s="2780"/>
      <c r="E30" s="2780"/>
      <c r="F30" s="2780"/>
      <c r="G30" s="2781"/>
      <c r="I30" s="2797">
        <v>50</v>
      </c>
      <c r="J30" s="2797">
        <v>100</v>
      </c>
      <c r="K30" s="2797">
        <f t="shared" si="2"/>
        <v>1.5999999999999943</v>
      </c>
    </row>
    <row r="31" spans="1:14">
      <c r="A31" s="2779" t="s">
        <v>2530</v>
      </c>
      <c r="B31" s="2780"/>
      <c r="C31" s="2780"/>
      <c r="D31" s="2780"/>
      <c r="E31" s="2780"/>
      <c r="F31" s="2780"/>
      <c r="G31" s="2781"/>
      <c r="I31" s="2797" t="s">
        <v>2561</v>
      </c>
    </row>
    <row r="32" spans="1:14">
      <c r="A32" s="2779" t="s">
        <v>2531</v>
      </c>
      <c r="B32" s="2780"/>
      <c r="C32" s="2780"/>
      <c r="D32" s="2780"/>
      <c r="E32" s="2780"/>
      <c r="F32" s="2780"/>
      <c r="G32" s="2781"/>
    </row>
    <row r="33" spans="1:14">
      <c r="A33" s="2779" t="s">
        <v>2532</v>
      </c>
      <c r="B33" s="2780"/>
      <c r="C33" s="2780"/>
      <c r="D33" s="2780"/>
      <c r="E33" s="2780"/>
      <c r="F33" s="2780"/>
      <c r="G33" s="2781"/>
      <c r="I33" s="2797" t="s">
        <v>2560</v>
      </c>
      <c r="J33" s="2797" t="s">
        <v>2570</v>
      </c>
    </row>
    <row r="34" spans="1:14">
      <c r="A34" s="2779" t="s">
        <v>2533</v>
      </c>
      <c r="B34" s="2780"/>
      <c r="C34" s="2780"/>
      <c r="D34" s="2780"/>
      <c r="E34" s="2780"/>
      <c r="F34" s="2780"/>
      <c r="G34" s="2781"/>
      <c r="I34" s="2797">
        <v>5</v>
      </c>
      <c r="J34" s="2797">
        <v>55.1</v>
      </c>
    </row>
    <row r="35" spans="1:14">
      <c r="A35" s="2779" t="s">
        <v>2534</v>
      </c>
      <c r="B35" s="2780"/>
      <c r="C35" s="2780"/>
      <c r="D35" s="2780"/>
      <c r="E35" s="2780"/>
      <c r="F35" s="2780"/>
      <c r="G35" s="2781"/>
      <c r="I35" s="2797">
        <v>10</v>
      </c>
      <c r="J35" s="2797">
        <v>67</v>
      </c>
      <c r="K35" s="2797">
        <f>J35-J34</f>
        <v>11.899999999999999</v>
      </c>
    </row>
    <row r="36" spans="1:14">
      <c r="A36" s="2779" t="s">
        <v>2535</v>
      </c>
      <c r="B36" s="2780"/>
      <c r="C36" s="2780"/>
      <c r="D36" s="2780"/>
      <c r="E36" s="2780"/>
      <c r="F36" s="2780"/>
      <c r="G36" s="2781"/>
      <c r="I36" s="2797">
        <v>15</v>
      </c>
      <c r="J36" s="2797">
        <v>76.3</v>
      </c>
      <c r="K36" s="2797">
        <f t="shared" ref="K36:K41" si="3">J36-J35</f>
        <v>9.2999999999999972</v>
      </c>
      <c r="L36" s="2797" t="s">
        <v>2563</v>
      </c>
      <c r="N36" s="3150" t="s">
        <v>2564</v>
      </c>
    </row>
    <row r="37" spans="1:14">
      <c r="A37" s="2779" t="s">
        <v>2536</v>
      </c>
      <c r="B37" s="2780"/>
      <c r="C37" s="2780"/>
      <c r="D37" s="2780"/>
      <c r="E37" s="2780"/>
      <c r="F37" s="2780"/>
      <c r="G37" s="2781"/>
      <c r="I37" s="2797">
        <v>20</v>
      </c>
      <c r="J37" s="2797">
        <v>83.6</v>
      </c>
      <c r="K37" s="2797">
        <f t="shared" si="3"/>
        <v>7.2999999999999972</v>
      </c>
      <c r="L37" s="2797" t="s">
        <v>2562</v>
      </c>
      <c r="N37" s="3150">
        <v>10</v>
      </c>
    </row>
    <row r="38" spans="1:14">
      <c r="A38" s="2779" t="s">
        <v>2537</v>
      </c>
      <c r="B38" s="2780"/>
      <c r="C38" s="2780"/>
      <c r="D38" s="2780"/>
      <c r="E38" s="2780"/>
      <c r="F38" s="2780"/>
      <c r="G38" s="2781"/>
      <c r="I38" s="2797">
        <v>25</v>
      </c>
      <c r="J38" s="2797">
        <v>89.3</v>
      </c>
      <c r="K38" s="2797">
        <f t="shared" si="3"/>
        <v>5.7000000000000028</v>
      </c>
      <c r="L38" s="2797" t="s">
        <v>2566</v>
      </c>
      <c r="N38" s="3150">
        <v>8</v>
      </c>
    </row>
    <row r="39" spans="1:14">
      <c r="A39" s="2779"/>
      <c r="B39" s="2780"/>
      <c r="C39" s="2780"/>
      <c r="D39" s="2780"/>
      <c r="E39" s="2780"/>
      <c r="F39" s="2780"/>
      <c r="G39" s="2781"/>
      <c r="I39" s="2797">
        <v>30</v>
      </c>
      <c r="J39" s="2797">
        <v>93.8</v>
      </c>
      <c r="K39" s="2797">
        <f t="shared" si="3"/>
        <v>4.5</v>
      </c>
      <c r="L39" s="2797" t="s">
        <v>2567</v>
      </c>
      <c r="N39" s="3150">
        <v>6</v>
      </c>
    </row>
    <row r="40" spans="1:14">
      <c r="A40" s="2782" t="s">
        <v>2538</v>
      </c>
      <c r="B40" s="2783"/>
      <c r="C40" s="2783"/>
      <c r="D40" s="2783"/>
      <c r="E40" s="2783"/>
      <c r="F40" s="2783"/>
      <c r="G40" s="2784"/>
      <c r="I40" s="2797">
        <v>35</v>
      </c>
      <c r="J40" s="2797">
        <v>97.2</v>
      </c>
      <c r="K40" s="2797">
        <f t="shared" si="3"/>
        <v>3.4000000000000057</v>
      </c>
      <c r="L40" s="2797" t="s">
        <v>2568</v>
      </c>
      <c r="N40" s="3150">
        <v>3</v>
      </c>
    </row>
    <row r="41" spans="1:14">
      <c r="A41" s="2785" t="s">
        <v>2539</v>
      </c>
      <c r="B41" s="2786" t="s">
        <v>2540</v>
      </c>
      <c r="C41" s="2787" t="s">
        <v>2541</v>
      </c>
      <c r="D41" s="2787" t="s">
        <v>2542</v>
      </c>
      <c r="E41" s="2788"/>
      <c r="F41" s="2789"/>
      <c r="G41" s="2790"/>
      <c r="I41" s="2797">
        <v>40</v>
      </c>
      <c r="J41" s="2797">
        <v>100</v>
      </c>
      <c r="K41" s="2797">
        <f t="shared" si="3"/>
        <v>2.7999999999999972</v>
      </c>
    </row>
    <row r="42" spans="1:14">
      <c r="A42" s="2785" t="s">
        <v>2543</v>
      </c>
      <c r="B42" s="2786" t="s">
        <v>2544</v>
      </c>
      <c r="C42" s="2787" t="s">
        <v>2545</v>
      </c>
      <c r="D42" s="2791" t="s">
        <v>2546</v>
      </c>
      <c r="E42" s="2783" t="s">
        <v>2547</v>
      </c>
      <c r="F42" s="2783"/>
      <c r="G42" s="2784"/>
    </row>
    <row r="43" spans="1:14">
      <c r="A43" s="2785" t="s">
        <v>2548</v>
      </c>
      <c r="B43" s="2786" t="s">
        <v>2549</v>
      </c>
      <c r="C43" s="2787" t="s">
        <v>2550</v>
      </c>
      <c r="D43" s="2787" t="s">
        <v>2551</v>
      </c>
      <c r="E43" s="2788" t="s">
        <v>2552</v>
      </c>
      <c r="F43" s="2789"/>
      <c r="G43" s="2790"/>
      <c r="I43" s="2797" t="s">
        <v>2560</v>
      </c>
      <c r="J43" s="2797" t="s">
        <v>2571</v>
      </c>
    </row>
    <row r="44" spans="1:14">
      <c r="A44" s="2785" t="s">
        <v>2553</v>
      </c>
      <c r="B44" s="2786" t="s">
        <v>2554</v>
      </c>
      <c r="C44" s="2787" t="s">
        <v>2555</v>
      </c>
      <c r="D44" s="2791">
        <v>0.5</v>
      </c>
      <c r="E44" s="2788" t="s">
        <v>2556</v>
      </c>
      <c r="F44" s="2789"/>
      <c r="G44" s="2790"/>
      <c r="I44" s="2797">
        <v>30</v>
      </c>
      <c r="J44" s="2797">
        <v>81.7</v>
      </c>
    </row>
    <row r="45" spans="1:14" ht="14.5" thickBot="1">
      <c r="A45" s="2792" t="s">
        <v>2557</v>
      </c>
      <c r="B45" s="2793" t="s">
        <v>2544</v>
      </c>
      <c r="C45" s="2794" t="s">
        <v>2544</v>
      </c>
      <c r="D45" s="2794" t="s">
        <v>2558</v>
      </c>
      <c r="E45" s="2795" t="s">
        <v>2559</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4.5" thickBot="1"/>
    <row r="49" spans="1:4">
      <c r="A49" s="2753" t="s">
        <v>3381</v>
      </c>
    </row>
    <row r="50" spans="1:4">
      <c r="A50" s="3142" t="s">
        <v>3382</v>
      </c>
      <c r="B50" s="3142" t="s">
        <v>3383</v>
      </c>
      <c r="C50" s="3142" t="s">
        <v>3384</v>
      </c>
      <c r="D50" s="3142" t="s">
        <v>3385</v>
      </c>
    </row>
    <row r="51" spans="1:4">
      <c r="A51" s="3142" t="s">
        <v>3386</v>
      </c>
      <c r="B51" s="2762">
        <f>B52+B53</f>
        <v>15000</v>
      </c>
      <c r="C51" s="3143">
        <f>D51/B51</f>
        <v>2666.6666666666665</v>
      </c>
      <c r="D51" s="2762">
        <f>D52+D53</f>
        <v>40000000</v>
      </c>
    </row>
    <row r="52" spans="1:4">
      <c r="A52" s="3144" t="s">
        <v>3387</v>
      </c>
      <c r="B52" s="3145">
        <v>10000</v>
      </c>
      <c r="C52" s="3145">
        <v>1500</v>
      </c>
      <c r="D52" s="3146">
        <f>C52*B52</f>
        <v>15000000</v>
      </c>
    </row>
    <row r="53" spans="1:4">
      <c r="A53" s="3144" t="s">
        <v>3388</v>
      </c>
      <c r="B53" s="3145">
        <v>5000</v>
      </c>
      <c r="C53" s="3145">
        <v>5000</v>
      </c>
      <c r="D53" s="3146">
        <f>C53*B53</f>
        <v>25000000</v>
      </c>
    </row>
    <row r="54" spans="1:4">
      <c r="A54" s="3142" t="s">
        <v>3389</v>
      </c>
      <c r="B54" s="2762">
        <f>B51</f>
        <v>15000</v>
      </c>
      <c r="C54" s="2768">
        <v>700</v>
      </c>
      <c r="D54" s="2762">
        <f t="shared" ref="D54:D55" si="5">C54*B54</f>
        <v>10500000</v>
      </c>
    </row>
    <row r="55" spans="1:4">
      <c r="A55" s="3142" t="s">
        <v>3390</v>
      </c>
      <c r="B55" s="2762">
        <f>B51</f>
        <v>15000</v>
      </c>
      <c r="C55" s="2768">
        <v>1500</v>
      </c>
      <c r="D55" s="2762">
        <f t="shared" si="5"/>
        <v>22500000</v>
      </c>
    </row>
    <row r="56" spans="1:4">
      <c r="A56" s="3142" t="s">
        <v>3391</v>
      </c>
      <c r="B56" s="2762">
        <f>B51</f>
        <v>15000</v>
      </c>
      <c r="C56" s="3147">
        <f>C51+C54+C55</f>
        <v>4866.6666666666661</v>
      </c>
      <c r="D56" s="2762">
        <f>D51+D54+D55</f>
        <v>73000000</v>
      </c>
    </row>
    <row r="58" spans="1:4">
      <c r="A58" s="3142" t="s">
        <v>3392</v>
      </c>
      <c r="B58" s="3148">
        <v>0.05</v>
      </c>
      <c r="C58" s="2762">
        <f>C56*(1+B58)</f>
        <v>5110</v>
      </c>
      <c r="D58" s="2762">
        <f>D56*B58</f>
        <v>3650000</v>
      </c>
    </row>
    <row r="60" spans="1:4">
      <c r="A60" s="3142" t="s">
        <v>3393</v>
      </c>
      <c r="B60" s="2768">
        <v>3500</v>
      </c>
      <c r="C60" s="2768">
        <f>C53</f>
        <v>5000</v>
      </c>
      <c r="D60" s="2762">
        <f>C60*B60</f>
        <v>17500000</v>
      </c>
    </row>
    <row r="62" spans="1:4">
      <c r="A62" s="3142" t="s">
        <v>3394</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5" zoomScaleNormal="100" zoomScaleSheetLayoutView="100" workbookViewId="0">
      <selection activeCell="E42" sqref="E42"/>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88" t="str">
        <f>IF(B10="北京市","北京市",C10)&amp;F10&amp;IF(结果表!G1="在建","出让国有建设用地使用权及在建建筑物",IF(结果表!G1="土地","出让国有建设用地使用权",))&amp;B9&amp;"预评估"</f>
        <v>北京市朝阳区望京东路4号院1号楼房地产抵押价值预评估</v>
      </c>
      <c r="C1" s="3289"/>
      <c r="D1" s="3289"/>
      <c r="E1" s="3289"/>
      <c r="F1" s="3289"/>
      <c r="G1" s="3289"/>
      <c r="H1" s="3289"/>
      <c r="I1" s="3290"/>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北京市朝阳区望京东路4号院1号楼房地产抵押价值</v>
      </c>
      <c r="T1" s="1618"/>
      <c r="U1" s="1618"/>
      <c r="V1" s="1618"/>
      <c r="W1" s="1618"/>
      <c r="X1" s="1618"/>
      <c r="Y1" s="1618"/>
      <c r="Z1" s="1618"/>
      <c r="AA1" s="1618"/>
      <c r="AB1" s="1618"/>
    </row>
    <row r="2" spans="1:30" ht="13">
      <c r="A2" s="2182" t="s">
        <v>2169</v>
      </c>
      <c r="B2" s="122"/>
      <c r="D2" s="2445"/>
      <c r="E2" s="2439"/>
      <c r="F2" s="2439"/>
      <c r="G2" s="2440"/>
      <c r="H2" s="2440"/>
      <c r="I2" s="2440"/>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北京市朝阳区望京东路4号院1号楼房地产</v>
      </c>
      <c r="T2" s="1618"/>
      <c r="U2" s="1618"/>
      <c r="V2" s="1618"/>
      <c r="W2" s="1618"/>
      <c r="X2" s="1618"/>
      <c r="Y2" s="1618"/>
      <c r="Z2" s="1618"/>
      <c r="AA2" s="1618"/>
      <c r="AB2" s="1618"/>
    </row>
    <row r="3" spans="1:30" ht="13">
      <c r="A3" s="294" t="s">
        <v>2170</v>
      </c>
      <c r="B3" s="2185">
        <v>45821</v>
      </c>
      <c r="C3" s="2186" t="s">
        <v>2171</v>
      </c>
      <c r="D3" s="2185">
        <v>45901</v>
      </c>
      <c r="E3" s="2440"/>
      <c r="F3" s="2440"/>
      <c r="G3" s="2440"/>
      <c r="H3" s="2440"/>
      <c r="I3" s="2440"/>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0"/>
      <c r="F5" s="2440"/>
      <c r="G5" s="2440"/>
      <c r="H5" s="2440"/>
      <c r="I5" s="2440"/>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39"/>
      <c r="F6" s="2440"/>
      <c r="G6" s="2440"/>
      <c r="H6" s="2440"/>
      <c r="I6" s="2440"/>
      <c r="J6" s="2244"/>
      <c r="K6" s="2399" t="str">
        <f>IF(COUNTIF(B6,"*上海银行*"),"上海银行","")</f>
        <v/>
      </c>
      <c r="L6" s="2397"/>
      <c r="M6" s="2397"/>
      <c r="N6" s="2244"/>
      <c r="O6" s="1670"/>
      <c r="P6" s="2244"/>
      <c r="Q6" s="2244"/>
      <c r="R6" s="2244"/>
    </row>
    <row r="7" spans="1:30" ht="13">
      <c r="A7" s="2194" t="s">
        <v>2175</v>
      </c>
      <c r="B7" s="2198"/>
      <c r="C7" s="2196"/>
      <c r="D7" s="2197"/>
      <c r="E7" s="2439"/>
      <c r="F7" s="2440"/>
      <c r="G7" s="2440"/>
      <c r="H7" s="2440"/>
      <c r="I7" s="2440"/>
      <c r="J7" s="2244"/>
      <c r="K7" s="2400"/>
      <c r="L7" s="2397"/>
      <c r="M7" s="2397"/>
      <c r="N7" s="2244"/>
      <c r="O7" s="1670"/>
      <c r="P7" s="2244"/>
      <c r="Q7" s="2244"/>
      <c r="R7" s="2244"/>
    </row>
    <row r="8" spans="1:30" ht="13">
      <c r="A8" s="2199" t="s">
        <v>2176</v>
      </c>
      <c r="B8" s="2200" t="s">
        <v>3413</v>
      </c>
      <c r="C8" s="2201"/>
      <c r="D8" s="3291" t="s">
        <v>2177</v>
      </c>
      <c r="E8" s="2202" t="s">
        <v>3414</v>
      </c>
      <c r="F8" s="2203"/>
      <c r="G8" s="2440"/>
      <c r="H8" s="2440"/>
      <c r="I8" s="2440"/>
      <c r="J8" s="2244"/>
      <c r="K8" s="2398"/>
      <c r="L8" s="2397"/>
      <c r="M8" s="2397"/>
      <c r="N8" s="2244"/>
      <c r="O8" s="1670"/>
      <c r="P8" s="2244"/>
      <c r="Q8" s="2244"/>
      <c r="R8" s="2244"/>
    </row>
    <row r="9" spans="1:30" ht="13.5" thickBot="1">
      <c r="A9" s="2204" t="s">
        <v>2178</v>
      </c>
      <c r="B9" s="2205" t="s">
        <v>3414</v>
      </c>
      <c r="C9" s="2206"/>
      <c r="D9" s="3292"/>
      <c r="E9" s="2205"/>
      <c r="F9" s="2207"/>
      <c r="G9" s="2441"/>
      <c r="H9" s="2441"/>
      <c r="I9" s="2441"/>
      <c r="J9" s="2244"/>
      <c r="K9" s="2400"/>
      <c r="L9" s="2397"/>
      <c r="M9" s="2397"/>
      <c r="N9" s="2244"/>
      <c r="O9" s="1670"/>
      <c r="P9" s="2244"/>
      <c r="Q9" s="2244"/>
      <c r="R9" s="2244"/>
    </row>
    <row r="10" spans="1:30" ht="13.5" thickTop="1">
      <c r="A10" s="2208" t="s">
        <v>2179</v>
      </c>
      <c r="B10" s="2209" t="s">
        <v>3415</v>
      </c>
      <c r="C10" s="2210"/>
      <c r="D10" s="2193"/>
      <c r="E10" s="2211" t="s">
        <v>2180</v>
      </c>
      <c r="F10" s="3168" t="s">
        <v>3418</v>
      </c>
      <c r="G10" s="2442"/>
      <c r="H10" s="2443"/>
      <c r="I10" s="2444"/>
      <c r="J10" s="2244"/>
      <c r="K10" s="2400"/>
      <c r="L10" s="2397"/>
      <c r="M10" s="2397"/>
      <c r="N10" s="2244"/>
      <c r="O10" s="1670"/>
      <c r="P10" s="2244"/>
      <c r="Q10" s="2244"/>
      <c r="R10" s="2244"/>
    </row>
    <row r="11" spans="1:30" ht="52">
      <c r="A11" s="2212" t="s">
        <v>2181</v>
      </c>
      <c r="B11" s="2213" t="s">
        <v>3416</v>
      </c>
      <c r="C11" s="3167" t="s">
        <v>3417</v>
      </c>
      <c r="D11" s="2214"/>
      <c r="E11" s="2182"/>
      <c r="F11" s="2182"/>
      <c r="G11" s="2182"/>
      <c r="H11" s="2182"/>
      <c r="I11" s="2182"/>
      <c r="J11" s="2799"/>
      <c r="K11" s="2397"/>
      <c r="L11" s="2397"/>
      <c r="M11" s="2397"/>
      <c r="N11" s="2244"/>
      <c r="O11" s="1670"/>
      <c r="P11" s="2244"/>
      <c r="Q11" s="2244"/>
      <c r="R11" s="2244"/>
    </row>
    <row r="12" spans="1:30" ht="13">
      <c r="A12" s="2215" t="s">
        <v>2182</v>
      </c>
      <c r="B12" s="315" t="s">
        <v>2183</v>
      </c>
      <c r="C12" s="2216" t="s">
        <v>2184</v>
      </c>
      <c r="D12" s="2216" t="s">
        <v>2185</v>
      </c>
      <c r="E12" s="2216" t="s">
        <v>2186</v>
      </c>
      <c r="F12" s="2216" t="s">
        <v>2187</v>
      </c>
      <c r="G12" s="2216" t="s">
        <v>2188</v>
      </c>
      <c r="H12" s="2216" t="s">
        <v>2189</v>
      </c>
      <c r="I12" s="2798" t="s">
        <v>2572</v>
      </c>
      <c r="J12" s="2800"/>
      <c r="K12" s="2397"/>
      <c r="L12" s="2397"/>
      <c r="M12" s="2244"/>
      <c r="N12" s="1670"/>
      <c r="O12" s="2244"/>
      <c r="P12" s="2244"/>
      <c r="Q12" s="2244"/>
      <c r="AD12" s="1618"/>
    </row>
    <row r="13" spans="1:30" ht="13">
      <c r="A13" s="3119" t="s">
        <v>3326</v>
      </c>
      <c r="B13" s="2217" t="s">
        <v>2190</v>
      </c>
      <c r="C13" s="803"/>
      <c r="D13" s="803"/>
      <c r="E13" s="803">
        <f>[2]信息!G3</f>
        <v>58268</v>
      </c>
      <c r="F13" s="803">
        <f>[2]信息!G3</f>
        <v>58268</v>
      </c>
      <c r="G13" s="803"/>
      <c r="H13" s="803">
        <f>[2]信息!G3</f>
        <v>58268</v>
      </c>
      <c r="I13" s="803"/>
      <c r="J13" s="2800"/>
      <c r="K13" s="2397"/>
      <c r="L13" s="2397"/>
      <c r="M13" s="2244"/>
      <c r="N13" s="1670"/>
      <c r="O13" s="2244"/>
      <c r="P13" s="2244"/>
      <c r="Q13" s="2244"/>
      <c r="AD13" s="1618"/>
    </row>
    <row r="14" spans="1:30" ht="13">
      <c r="A14" s="1018"/>
      <c r="B14" s="2217" t="s">
        <v>2191</v>
      </c>
      <c r="C14" s="2218"/>
      <c r="D14" s="2218"/>
      <c r="E14" s="2218"/>
      <c r="F14" s="2218"/>
      <c r="G14" s="2218"/>
      <c r="H14" s="2218"/>
      <c r="I14" s="2218"/>
      <c r="J14" s="2801"/>
      <c r="K14" s="2397"/>
      <c r="L14" s="2397"/>
      <c r="M14" s="2244"/>
      <c r="N14" s="1670"/>
      <c r="O14" s="2244"/>
      <c r="P14" s="2244"/>
      <c r="Q14" s="2244"/>
      <c r="AD14" s="1618"/>
    </row>
    <row r="15" spans="1:30" ht="13">
      <c r="A15" s="312"/>
      <c r="B15" s="2219" t="s">
        <v>2192</v>
      </c>
      <c r="C15" s="2220" t="str">
        <f>IF(A13="出让",IF(C13="","",ROUNDDOWN(MIN((C13-$D$3)/365,C14),2)),C14)</f>
        <v/>
      </c>
      <c r="D15" s="2220" t="str">
        <f>IF(A13="出让",IF(D13="","",ROUNDDOWN(MIN((D13-$D$3)/365,D14),2)),D14)</f>
        <v/>
      </c>
      <c r="E15" s="2220">
        <f>IF(A13="出让",IF(E13="","",ROUNDDOWN(MIN((E13-$D$3)/365,E14),2)),E14)</f>
        <v>33.880000000000003</v>
      </c>
      <c r="F15" s="2220">
        <f>IF(A13="出让",IF(F13="","",ROUNDDOWN(MIN((F13-$D$3)/365,F14),2)),F14)</f>
        <v>33.880000000000003</v>
      </c>
      <c r="G15" s="2220" t="str">
        <f>IF(A13="出让",IF(G13="","",ROUNDDOWN(MIN((G13-$D$3)/365,G14),2)),G14)</f>
        <v/>
      </c>
      <c r="H15" s="2220">
        <f>IF(A13="出让",IF(H13="","",ROUNDDOWN(MIN((H13-$D$3)/365,H14),2)),H14)</f>
        <v>33.880000000000003</v>
      </c>
      <c r="I15" s="2220" t="str">
        <f>IF(A13="出让",IF(I13="","",ROUNDDOWN(MIN((I13-$D$3)/365,I14),2)),I14)</f>
        <v/>
      </c>
      <c r="J15" s="2802"/>
      <c r="K15" s="1670"/>
      <c r="L15" s="1670"/>
      <c r="M15" s="2244"/>
      <c r="N15" s="1670"/>
      <c r="O15" s="2244"/>
      <c r="P15" s="2244"/>
      <c r="Q15" s="2244"/>
      <c r="AD15" s="1618"/>
    </row>
    <row r="16" spans="1:30" ht="13">
      <c r="A16" s="2211" t="s">
        <v>2193</v>
      </c>
      <c r="B16" s="3298"/>
      <c r="C16" s="3299"/>
      <c r="D16" s="3300"/>
      <c r="E16" s="2221" t="s">
        <v>2194</v>
      </c>
      <c r="F16" s="3301"/>
      <c r="G16" s="3302"/>
      <c r="H16" s="3302"/>
      <c r="I16" s="3303"/>
      <c r="J16" s="2244"/>
      <c r="K16" s="2401"/>
      <c r="L16" s="1670"/>
      <c r="M16" s="1670"/>
      <c r="N16" s="2244"/>
      <c r="O16" s="1670"/>
      <c r="P16" s="2244"/>
      <c r="Q16" s="2244"/>
      <c r="R16" s="2244"/>
    </row>
    <row r="17" spans="1:28" ht="13">
      <c r="A17" s="305" t="s">
        <v>2195</v>
      </c>
      <c r="B17" s="294" t="s">
        <v>2196</v>
      </c>
      <c r="C17" s="8">
        <f>'数据-汇总表'!E3</f>
        <v>55858.959999999992</v>
      </c>
      <c r="D17" s="1256" t="s">
        <v>2197</v>
      </c>
      <c r="E17" s="3304" t="s">
        <v>2198</v>
      </c>
      <c r="F17" s="3305"/>
      <c r="G17" s="3305"/>
      <c r="H17" s="3305"/>
      <c r="I17" s="3306"/>
      <c r="J17" s="2244"/>
      <c r="K17" s="2402"/>
      <c r="L17" s="1670"/>
      <c r="M17" s="1670"/>
      <c r="N17" s="2244"/>
      <c r="O17" s="1670"/>
      <c r="P17" s="2244"/>
      <c r="Q17" s="2244"/>
      <c r="R17" s="2244"/>
      <c r="S17" s="2244"/>
      <c r="T17" s="2244"/>
      <c r="U17" s="2244"/>
      <c r="V17" s="2244"/>
    </row>
    <row r="18" spans="1:28" ht="26.5" thickBot="1">
      <c r="A18" s="2222" t="s">
        <v>2199</v>
      </c>
      <c r="B18" s="1027" t="s">
        <v>2200</v>
      </c>
      <c r="C18" s="2223">
        <f>'数据-汇总表'!D3</f>
        <v>0</v>
      </c>
      <c r="D18" s="1029" t="s">
        <v>2201</v>
      </c>
      <c r="E18" s="3307" t="s">
        <v>2202</v>
      </c>
      <c r="F18" s="3308"/>
      <c r="G18" s="3308"/>
      <c r="H18" s="3308"/>
      <c r="I18" s="3309"/>
      <c r="J18" s="2244"/>
      <c r="K18" s="2402"/>
      <c r="L18" s="1670"/>
      <c r="M18" s="1670"/>
      <c r="N18" s="2244"/>
      <c r="O18" s="1670"/>
      <c r="P18" s="2244"/>
      <c r="Q18" s="2244"/>
      <c r="R18" s="2244"/>
      <c r="S18" s="2244"/>
      <c r="T18" s="2244"/>
      <c r="U18" s="2244"/>
      <c r="V18" s="2244"/>
    </row>
    <row r="19" spans="1:28" ht="40" thickTop="1" thickBot="1">
      <c r="A19" s="319" t="s">
        <v>1055</v>
      </c>
      <c r="B19" s="299" t="s">
        <v>2203</v>
      </c>
      <c r="C19" s="1455" t="s">
        <v>3419</v>
      </c>
      <c r="D19" s="1456" t="s">
        <v>2204</v>
      </c>
      <c r="E19" s="1457" t="s">
        <v>3420</v>
      </c>
      <c r="F19" s="1458" t="str">
        <f>IF(AND(C19="是",E19="否"),"是否提供他项权证或相关说明","")</f>
        <v>是否提供他项权证或相关说明</v>
      </c>
      <c r="G19" s="1459" t="s">
        <v>3420</v>
      </c>
      <c r="H19" s="2440"/>
      <c r="I19" s="2440"/>
      <c r="J19" s="2244"/>
      <c r="K19" s="2400"/>
      <c r="L19" s="2397"/>
      <c r="M19" s="2397"/>
      <c r="N19" s="2244"/>
      <c r="O19" s="1670"/>
      <c r="P19" s="2244"/>
      <c r="Q19" s="2244"/>
      <c r="R19" s="2244"/>
      <c r="S19" s="2244"/>
      <c r="T19" s="2244"/>
      <c r="U19" s="2244"/>
      <c r="V19" s="2244"/>
    </row>
    <row r="20" spans="1:28" ht="13">
      <c r="A20" s="2415" t="s">
        <v>2205</v>
      </c>
      <c r="B20" s="3294" t="s">
        <v>2206</v>
      </c>
      <c r="C20" s="3295"/>
      <c r="D20" s="3296" t="s">
        <v>2207</v>
      </c>
      <c r="E20" s="3297"/>
      <c r="F20" s="2428" t="s">
        <v>1056</v>
      </c>
      <c r="G20" s="2440"/>
      <c r="H20" s="2440"/>
      <c r="I20" s="2440"/>
      <c r="J20" s="2244"/>
      <c r="K20" s="329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6.5" thickBot="1">
      <c r="A21" s="2415"/>
      <c r="B21" s="2416" t="s">
        <v>2209</v>
      </c>
      <c r="C21" s="2294" t="s">
        <v>1057</v>
      </c>
      <c r="D21" s="1460" t="s">
        <v>2210</v>
      </c>
      <c r="E21" s="2417" t="s">
        <v>1057</v>
      </c>
      <c r="F21" s="2429"/>
      <c r="G21" s="2440"/>
      <c r="H21" s="2440"/>
      <c r="I21" s="2440"/>
      <c r="J21" s="2244"/>
      <c r="K21" s="329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5"/>
      <c r="B22" s="2418" t="s">
        <v>2211</v>
      </c>
      <c r="C22" s="2294" t="s">
        <v>1058</v>
      </c>
      <c r="D22" s="2440"/>
      <c r="E22" s="2440"/>
      <c r="F22" s="2440"/>
      <c r="G22" s="2440"/>
      <c r="H22" s="2440"/>
      <c r="I22" s="2440"/>
      <c r="J22" s="2244"/>
      <c r="K22" s="329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19" t="s">
        <v>2212</v>
      </c>
      <c r="B23" s="2291" t="s">
        <v>2213</v>
      </c>
      <c r="C23" s="2420"/>
      <c r="D23" s="2421" t="s">
        <v>2213</v>
      </c>
      <c r="E23" s="2422"/>
      <c r="F23" s="2440"/>
      <c r="G23" s="2440"/>
      <c r="H23" s="2440"/>
      <c r="I23" s="2440"/>
      <c r="J23" s="2244"/>
      <c r="K23" s="2399"/>
      <c r="L23" s="121"/>
      <c r="M23" s="2397"/>
      <c r="N23" s="2244"/>
      <c r="O23" s="1670"/>
      <c r="P23" s="2244"/>
      <c r="Q23" s="2244"/>
      <c r="R23" s="2244"/>
      <c r="S23" s="2244"/>
      <c r="T23" s="2244"/>
      <c r="U23" s="2244"/>
      <c r="V23" s="2244"/>
    </row>
    <row r="24" spans="1:28" ht="13">
      <c r="A24" s="2419"/>
      <c r="B24" s="2291" t="s">
        <v>1059</v>
      </c>
      <c r="C24" s="2270"/>
      <c r="D24" s="2419" t="s">
        <v>1059</v>
      </c>
      <c r="E24" s="2423"/>
      <c r="F24" s="2440"/>
      <c r="G24" s="2440"/>
      <c r="H24" s="2440"/>
      <c r="I24" s="2440"/>
      <c r="J24" s="2244"/>
      <c r="K24" s="2399"/>
      <c r="L24" s="121"/>
      <c r="M24" s="2397"/>
      <c r="N24" s="2244"/>
      <c r="O24" s="1670"/>
      <c r="P24" s="2244"/>
      <c r="Q24" s="2244"/>
      <c r="R24" s="2244"/>
      <c r="S24" s="2244"/>
      <c r="T24" s="2244"/>
      <c r="U24" s="2244"/>
      <c r="V24" s="2244"/>
    </row>
    <row r="25" spans="1:28" ht="13">
      <c r="A25" s="2419"/>
      <c r="B25" s="2291" t="s">
        <v>1060</v>
      </c>
      <c r="C25" s="2270"/>
      <c r="D25" s="2419" t="s">
        <v>1060</v>
      </c>
      <c r="E25" s="2423"/>
      <c r="F25" s="2440"/>
      <c r="G25" s="2440"/>
      <c r="H25" s="2440"/>
      <c r="I25" s="2440"/>
      <c r="J25" s="2244"/>
      <c r="K25" s="2400"/>
      <c r="L25" s="2397"/>
      <c r="M25" s="2397"/>
      <c r="N25" s="2244"/>
      <c r="O25" s="1670"/>
      <c r="P25" s="2244"/>
      <c r="Q25" s="2244"/>
      <c r="R25" s="2244"/>
      <c r="S25" s="2244"/>
      <c r="T25" s="2244"/>
      <c r="U25" s="2244"/>
      <c r="V25" s="2244"/>
    </row>
    <row r="26" spans="1:28" ht="13.5" thickBot="1">
      <c r="A26" s="2424"/>
      <c r="B26" s="2425" t="s">
        <v>1061</v>
      </c>
      <c r="C26" s="2426"/>
      <c r="D26" s="2424" t="s">
        <v>1061</v>
      </c>
      <c r="E26" s="2427"/>
      <c r="F26" s="2441"/>
      <c r="G26" s="2441"/>
      <c r="H26" s="2441"/>
      <c r="I26" s="2441"/>
      <c r="J26" s="2244"/>
      <c r="K26" s="2400"/>
      <c r="L26" s="2397"/>
      <c r="M26" s="2397"/>
      <c r="N26" s="2244"/>
      <c r="O26" s="1670"/>
      <c r="P26" s="2244"/>
      <c r="Q26" s="2244"/>
      <c r="R26" s="2244"/>
      <c r="S26" s="2244"/>
      <c r="T26" s="2244"/>
      <c r="U26" s="2244"/>
      <c r="V26" s="2244"/>
    </row>
    <row r="27" spans="1:28" ht="13.5" thickTop="1">
      <c r="A27" s="3311" t="s">
        <v>2214</v>
      </c>
      <c r="B27" s="312" t="s">
        <v>2215</v>
      </c>
      <c r="C27" s="2224"/>
      <c r="D27" s="2225"/>
      <c r="E27" s="2440"/>
      <c r="F27" s="2440"/>
      <c r="G27" s="2440"/>
      <c r="H27" s="2440"/>
      <c r="I27" s="2440"/>
      <c r="J27" s="2244"/>
      <c r="K27" s="2401"/>
      <c r="L27" s="1670"/>
      <c r="M27" s="1670"/>
      <c r="N27" s="2244"/>
      <c r="O27" s="1670"/>
      <c r="P27" s="2244"/>
      <c r="Q27" s="2244"/>
      <c r="R27" s="2244"/>
      <c r="S27" s="2244"/>
      <c r="T27" s="2244"/>
      <c r="U27" s="2244"/>
      <c r="V27" s="2244"/>
    </row>
    <row r="28" spans="1:28" ht="13">
      <c r="A28" s="3311"/>
      <c r="B28" s="294" t="s">
        <v>2216</v>
      </c>
      <c r="C28" s="2226"/>
      <c r="D28" s="2227"/>
      <c r="E28" s="2440"/>
      <c r="F28" s="2440"/>
      <c r="G28" s="2440"/>
      <c r="H28" s="2440"/>
      <c r="I28" s="2440"/>
      <c r="J28" s="2244"/>
      <c r="K28" s="2400"/>
      <c r="L28" s="2397"/>
      <c r="M28" s="2397"/>
      <c r="N28" s="2244"/>
      <c r="O28" s="1670"/>
      <c r="P28" s="2244"/>
      <c r="Q28" s="2244"/>
      <c r="R28" s="2244"/>
      <c r="S28" s="2244"/>
      <c r="T28" s="2244"/>
      <c r="U28" s="2244"/>
      <c r="V28" s="2244"/>
    </row>
    <row r="29" spans="1:28" ht="13">
      <c r="A29" s="3311"/>
      <c r="B29" s="294" t="s">
        <v>2217</v>
      </c>
      <c r="C29" s="2228"/>
      <c r="D29" s="2229"/>
      <c r="E29" s="2440"/>
      <c r="F29" s="2440"/>
      <c r="G29" s="2440"/>
      <c r="H29" s="2440"/>
      <c r="I29" s="2440"/>
      <c r="J29" s="2244"/>
      <c r="K29" s="2400"/>
      <c r="L29" s="2397"/>
      <c r="M29" s="2397"/>
      <c r="N29" s="2244"/>
      <c r="O29" s="1670"/>
      <c r="P29" s="2244"/>
      <c r="Q29" s="2244"/>
      <c r="R29" s="2244"/>
      <c r="S29" s="2244"/>
      <c r="T29" s="2244"/>
      <c r="U29" s="2244"/>
      <c r="V29" s="2244"/>
    </row>
    <row r="30" spans="1:28" ht="13">
      <c r="A30" s="3312"/>
      <c r="B30" s="294" t="s">
        <v>2218</v>
      </c>
      <c r="C30" s="3313"/>
      <c r="D30" s="3314"/>
      <c r="E30" s="2440"/>
      <c r="F30" s="2440"/>
      <c r="G30" s="2440"/>
      <c r="H30" s="2440"/>
      <c r="I30" s="2440"/>
      <c r="J30" s="2244"/>
      <c r="K30" s="2400"/>
      <c r="L30" s="2397"/>
      <c r="M30" s="2397"/>
      <c r="N30" s="2244"/>
      <c r="O30" s="1670"/>
      <c r="P30" s="2244"/>
      <c r="Q30" s="2244"/>
      <c r="R30" s="2244"/>
      <c r="S30" s="2244"/>
      <c r="T30" s="2244"/>
      <c r="U30" s="2244"/>
      <c r="V30" s="2244"/>
    </row>
    <row r="31" spans="1:28">
      <c r="A31" s="3315" t="s">
        <v>2219</v>
      </c>
      <c r="B31" s="2230" t="s">
        <v>3421</v>
      </c>
      <c r="C31" s="12" t="str">
        <f>IF(B31="现房","成新及维护状况正常否",IF(B31="在建","工程状态是否正常",IF(B31="土地","是否闲置","-")))</f>
        <v>成新及维护状况正常否</v>
      </c>
      <c r="D31" s="1281"/>
      <c r="E31" s="2231"/>
      <c r="F31" s="2440"/>
      <c r="G31" s="2440"/>
      <c r="H31" s="2440"/>
      <c r="I31" s="2440"/>
      <c r="J31" s="2244"/>
      <c r="K31" s="2399"/>
      <c r="L31" s="2397"/>
      <c r="M31" s="2397"/>
      <c r="N31" s="2244"/>
      <c r="O31" s="1670"/>
      <c r="P31" s="2244"/>
      <c r="Q31" s="2244"/>
      <c r="R31" s="2244"/>
      <c r="S31" s="2244"/>
      <c r="T31" s="2244"/>
      <c r="U31" s="2244"/>
      <c r="V31" s="2244"/>
    </row>
    <row r="32" spans="1:28">
      <c r="A32" s="3316"/>
      <c r="B32" s="2230"/>
      <c r="C32" s="12" t="str">
        <f>IF(B32="现房","成新及维护状况是否正常",IF(B32="在建","工程状态是否正常",IF(B32="土地","是否闲置","-")))</f>
        <v>-</v>
      </c>
      <c r="D32" s="1281"/>
      <c r="E32" s="2231"/>
      <c r="F32" s="2440"/>
      <c r="G32" s="2440"/>
      <c r="H32" s="2440"/>
      <c r="I32" s="2440"/>
      <c r="J32" s="2244"/>
      <c r="K32" s="2400"/>
      <c r="L32" s="2397"/>
      <c r="M32" s="2397"/>
      <c r="N32" s="2244"/>
      <c r="O32" s="1670"/>
      <c r="P32" s="2244"/>
      <c r="Q32" s="2244"/>
      <c r="R32" s="2244"/>
      <c r="S32" s="2244"/>
      <c r="T32" s="2244"/>
      <c r="U32" s="2244"/>
      <c r="V32" s="2244"/>
    </row>
    <row r="33" spans="1:30">
      <c r="A33" s="3316"/>
      <c r="B33" s="2233"/>
      <c r="C33" s="1478" t="str">
        <f>IF(B33="现房","成新及维护状况是否正常",IF(B33="在建","工程状态是否正常",IF(B33="土地","是否闲置","-")))</f>
        <v>-</v>
      </c>
      <c r="D33" s="1274"/>
      <c r="E33" s="2234"/>
      <c r="F33" s="2440"/>
      <c r="G33" s="2440"/>
      <c r="H33" s="2440"/>
      <c r="I33" s="2440"/>
      <c r="J33" s="2244"/>
      <c r="K33" s="2400"/>
      <c r="L33" s="2397"/>
      <c r="M33" s="2397"/>
      <c r="N33" s="2244"/>
      <c r="O33" s="1670"/>
      <c r="P33" s="2244"/>
      <c r="Q33" s="2244"/>
      <c r="R33" s="2244"/>
      <c r="S33" s="2244"/>
      <c r="T33" s="2244"/>
      <c r="U33" s="2244"/>
      <c r="V33" s="2244"/>
    </row>
    <row r="34" spans="1:30" ht="13">
      <c r="A34" s="294" t="s">
        <v>2220</v>
      </c>
      <c r="B34" s="1870"/>
      <c r="C34" s="1870"/>
      <c r="D34" s="1870"/>
      <c r="E34" s="1870"/>
      <c r="F34" s="1870"/>
      <c r="G34" s="1870"/>
      <c r="H34" s="1870"/>
      <c r="I34" s="2440"/>
      <c r="J34" s="2244"/>
      <c r="K34" s="8">
        <f>COUNTIF(B34:H34,"——")</f>
        <v>0</v>
      </c>
      <c r="L34" s="315" t="s">
        <v>2221</v>
      </c>
      <c r="M34" s="315" t="s">
        <v>2222</v>
      </c>
      <c r="N34" s="315" t="s">
        <v>2223</v>
      </c>
      <c r="O34" s="315" t="s">
        <v>2224</v>
      </c>
      <c r="P34" s="315" t="s">
        <v>2225</v>
      </c>
      <c r="Q34" s="315" t="s">
        <v>2226</v>
      </c>
      <c r="R34" s="315" t="s">
        <v>2227</v>
      </c>
      <c r="S34" s="3310" t="s">
        <v>2228</v>
      </c>
      <c r="T34" s="315" t="str">
        <f>NUMBERSTRING(7-K34,1)&amp;"通"</f>
        <v>七通</v>
      </c>
      <c r="U34" s="2244"/>
      <c r="V34" s="2244"/>
    </row>
    <row r="35" spans="1:30">
      <c r="A35" s="2235"/>
      <c r="B35" s="3310" t="s">
        <v>2229</v>
      </c>
      <c r="C35" s="3310"/>
      <c r="D35" s="3310"/>
      <c r="E35" s="3310"/>
      <c r="F35" s="8">
        <f>C10</f>
        <v>0</v>
      </c>
      <c r="G35" s="2440"/>
      <c r="H35" s="2440"/>
      <c r="I35" s="2440"/>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10"/>
      <c r="T35" s="138" t="str">
        <f>IF(T34="一通",L35,IF(T34="二通",M35,IF(T34="三通",N35,IF(T34="四通",O35,IF(T34="五通",P35,IF(T34="六通",Q35,R35))))))</f>
        <v>、、、、、、</v>
      </c>
      <c r="U35" s="2244"/>
      <c r="V35" s="2244"/>
    </row>
    <row r="36" spans="1:30" ht="13">
      <c r="A36" s="2183"/>
      <c r="B36" s="8" t="s">
        <v>2185</v>
      </c>
      <c r="C36" s="8" t="s">
        <v>2186</v>
      </c>
      <c r="D36" s="8" t="s">
        <v>2184</v>
      </c>
      <c r="E36" s="8" t="s">
        <v>2189</v>
      </c>
      <c r="F36" s="2798" t="s">
        <v>2575</v>
      </c>
      <c r="G36" s="2440"/>
      <c r="H36" s="2440"/>
      <c r="I36" s="2440"/>
      <c r="J36" s="2244"/>
      <c r="K36" s="2400"/>
      <c r="L36" s="2397"/>
      <c r="M36" s="2397"/>
      <c r="N36" s="2244"/>
      <c r="O36" s="1670"/>
      <c r="P36" s="2244"/>
      <c r="Q36" s="2244"/>
      <c r="R36" s="2244"/>
      <c r="S36" s="2244"/>
      <c r="T36" s="2244"/>
      <c r="U36" s="2244"/>
      <c r="V36" s="2244"/>
    </row>
    <row r="37" spans="1:30" ht="13">
      <c r="A37" s="2413" t="s">
        <v>2230</v>
      </c>
      <c r="B37" s="2236"/>
      <c r="C37" s="2236"/>
      <c r="D37" s="2236"/>
      <c r="E37" s="2236" t="s">
        <v>110</v>
      </c>
      <c r="F37" s="2236"/>
      <c r="G37" s="2440"/>
      <c r="H37" s="2440"/>
      <c r="I37" s="2440"/>
      <c r="J37" s="2244"/>
      <c r="K37" s="2400"/>
      <c r="L37" s="2397"/>
      <c r="M37" s="2397"/>
      <c r="N37" s="2244"/>
      <c r="O37" s="1670"/>
      <c r="P37" s="2244"/>
      <c r="Q37" s="2244"/>
      <c r="R37" s="2244"/>
      <c r="S37" s="2244"/>
      <c r="T37" s="2244"/>
      <c r="U37" s="2244"/>
      <c r="V37" s="2244"/>
    </row>
    <row r="38" spans="1:30" ht="13.5" thickBot="1">
      <c r="A38" s="2414" t="s">
        <v>2231</v>
      </c>
      <c r="B38" s="2237"/>
      <c r="C38" s="2237"/>
      <c r="D38" s="2237"/>
      <c r="E38" s="2237" t="s">
        <v>3422</v>
      </c>
      <c r="F38" s="2237"/>
      <c r="G38" s="2441"/>
      <c r="H38" s="2441"/>
      <c r="I38" s="2441"/>
      <c r="J38" s="2244"/>
      <c r="K38" s="2400"/>
      <c r="L38" s="2397"/>
      <c r="M38" s="2397"/>
      <c r="N38" s="2244"/>
      <c r="O38" s="1670"/>
      <c r="P38" s="2244"/>
      <c r="Q38" s="2244"/>
      <c r="R38" s="2244"/>
      <c r="S38" s="2244"/>
      <c r="T38" s="2244"/>
      <c r="U38" s="2244"/>
      <c r="V38" s="2244"/>
    </row>
    <row r="39" spans="1:30" s="2240" customFormat="1" ht="14" thickTop="1" thickBot="1">
      <c r="A39" s="2238" t="s">
        <v>2232</v>
      </c>
      <c r="B39" s="2239"/>
      <c r="C39" s="2239"/>
      <c r="D39" s="2239"/>
      <c r="E39" s="2239"/>
      <c r="F39" s="2239"/>
      <c r="G39" s="2239"/>
      <c r="H39" s="2239"/>
      <c r="I39" s="2239"/>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4"/>
      <c r="K40" s="2399"/>
      <c r="L40" s="1670"/>
      <c r="M40" s="1670"/>
      <c r="N40" s="2244"/>
      <c r="O40" s="1670"/>
      <c r="P40" s="2244"/>
      <c r="Q40" s="2244"/>
      <c r="R40" s="2244"/>
      <c r="S40" s="2244"/>
      <c r="T40" s="2244"/>
      <c r="U40" s="2244"/>
      <c r="V40" s="2244"/>
    </row>
    <row r="41" spans="1:30" ht="13">
      <c r="A41" s="2241" t="s">
        <v>2233</v>
      </c>
      <c r="B41" s="1627"/>
      <c r="C41" s="1281"/>
      <c r="D41" s="2182"/>
      <c r="E41" s="2182"/>
      <c r="F41" s="2182"/>
      <c r="G41" s="2182"/>
      <c r="H41" s="2182"/>
      <c r="I41" s="1466"/>
      <c r="J41" s="2244"/>
      <c r="K41" s="2400"/>
      <c r="L41" s="2397"/>
      <c r="M41" s="2397"/>
      <c r="N41" s="2244"/>
      <c r="O41" s="1670"/>
      <c r="P41" s="2244"/>
      <c r="Q41" s="2244"/>
      <c r="R41" s="2244"/>
      <c r="S41" s="2244"/>
      <c r="T41" s="2244"/>
      <c r="U41" s="2244"/>
      <c r="V41" s="2244"/>
    </row>
    <row r="42" spans="1:30" ht="26">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4" sqref="D14:D45"/>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55858.959999999992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55858.959999999992</v>
      </c>
      <c r="H5" s="13">
        <f t="shared" ref="H5:AT5" si="0">SUM(H13:H656)</f>
        <v>55858.959999999992</v>
      </c>
      <c r="I5" s="13">
        <f t="shared" si="0"/>
        <v>47667.369999999981</v>
      </c>
      <c r="J5" s="13">
        <f t="shared" si="0"/>
        <v>0</v>
      </c>
      <c r="K5" s="13">
        <f t="shared" si="0"/>
        <v>8191.59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55858.959999999992</v>
      </c>
      <c r="BA5" s="15">
        <f t="shared" si="1"/>
        <v>55858.959999999992</v>
      </c>
      <c r="BB5" s="15">
        <f t="shared" si="1"/>
        <v>47667.369999999981</v>
      </c>
      <c r="BC5" s="15">
        <f t="shared" si="1"/>
        <v>8191.59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3542</v>
      </c>
      <c r="J9" s="761"/>
      <c r="K9" s="1491" t="s">
        <v>3543</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3</v>
      </c>
      <c r="J10" s="761"/>
      <c r="K10" s="1497" t="s">
        <v>3327</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t="str">
        <f>K10</f>
        <v>车库</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f>信息表!J16</f>
        <v>-204</v>
      </c>
      <c r="D13" s="1513" t="s">
        <v>3419</v>
      </c>
      <c r="E13" s="13">
        <f>IF($C$3="是",ROUND($A$3*G13/$B$3,2),ROUND($A$3*(G13-AT13)/$B$3,2))</f>
        <v>0</v>
      </c>
      <c r="F13" s="29"/>
      <c r="G13" s="30">
        <f>H13+AC13+AT13</f>
        <v>5336.6</v>
      </c>
      <c r="H13" s="17">
        <f>SUMIF(I$12:AB$12,"总值",I13:AB13)</f>
        <v>5336.6</v>
      </c>
      <c r="I13" s="1514"/>
      <c r="J13" s="1514"/>
      <c r="K13" s="1514">
        <f>信息表!K16</f>
        <v>5336.6</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-204</v>
      </c>
      <c r="AY13" s="1260">
        <f>ROUND($AY$6*AZ13/$AZ$5,2)</f>
        <v>0</v>
      </c>
      <c r="AZ13" s="13">
        <f>BA13+BL13</f>
        <v>5336.6</v>
      </c>
      <c r="BA13" s="13">
        <f>SUM(BB13:BK13)</f>
        <v>5336.6</v>
      </c>
      <c r="BB13" s="13">
        <f>IF($D13="是",I13-J13,0)</f>
        <v>0</v>
      </c>
      <c r="BC13" s="13">
        <f>IF($D13="是",K13-L13,0)</f>
        <v>5336.6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628">
        <f>信息表!J17</f>
        <v>-106</v>
      </c>
      <c r="D14" s="1513" t="s">
        <v>3419</v>
      </c>
      <c r="E14" s="13">
        <f>IF($C$3="是",ROUND($A$3*G14/$B$3,2),ROUND($A$3*(G14-AT14)/$B$3,2))</f>
        <v>0</v>
      </c>
      <c r="F14" s="29"/>
      <c r="G14" s="30">
        <f>H14+AC14+AT14</f>
        <v>2854.99</v>
      </c>
      <c r="H14" s="17">
        <f>SUMIF(I$12:AB$12,"总值",I14:AB14)</f>
        <v>2854.99</v>
      </c>
      <c r="I14" s="1514"/>
      <c r="J14" s="1514"/>
      <c r="K14" s="1514">
        <f>信息表!K17</f>
        <v>2854.99</v>
      </c>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-106</v>
      </c>
      <c r="AY14" s="1260">
        <f>ROUND($AY$6*AZ14/$AZ$5,2)</f>
        <v>0</v>
      </c>
      <c r="AZ14" s="13">
        <f>BA14+BL14</f>
        <v>2854.99</v>
      </c>
      <c r="BA14" s="13">
        <f>SUM(BB14:BK14)</f>
        <v>2854.99</v>
      </c>
      <c r="BB14" s="13">
        <f>IF($D14="是",I14-J14,0)</f>
        <v>0</v>
      </c>
      <c r="BC14" s="13">
        <f>IF($D14="是",K14-L14,0)</f>
        <v>2854.99</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628">
        <f>信息表!J18</f>
        <v>103</v>
      </c>
      <c r="D15" s="1513" t="s">
        <v>3419</v>
      </c>
      <c r="E15" s="13">
        <f>IF($C$3="是",ROUND($A$3*G15/$B$3,2),ROUND($A$3*(G15-AT15)/$B$3,2))</f>
        <v>0</v>
      </c>
      <c r="F15" s="29"/>
      <c r="G15" s="30">
        <f>H15+AC15+AT15</f>
        <v>948.03</v>
      </c>
      <c r="H15" s="17">
        <f>SUMIF(I$12:AB$12,"总值",I15:AB15)</f>
        <v>948.03</v>
      </c>
      <c r="I15" s="1514">
        <f>信息表!K18</f>
        <v>948.03</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103</v>
      </c>
      <c r="AY15" s="1260">
        <f>ROUND($AY$6*AZ15/$AZ$5,2)</f>
        <v>0</v>
      </c>
      <c r="AZ15" s="13">
        <f>BA15+BL15</f>
        <v>948.03</v>
      </c>
      <c r="BA15" s="13">
        <f>SUM(BB15:BK15)</f>
        <v>948.03</v>
      </c>
      <c r="BB15" s="13">
        <f>IF($D15="是",I15-J15,0)</f>
        <v>948.03</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628">
        <f>信息表!J19</f>
        <v>104</v>
      </c>
      <c r="D16" s="1513" t="s">
        <v>3419</v>
      </c>
      <c r="E16" s="13">
        <f>IF($C$3="是",ROUND($A$3*G16/$B$3,2),ROUND($A$3*(G16-AT16)/$B$3,2))</f>
        <v>0</v>
      </c>
      <c r="F16" s="29"/>
      <c r="G16" s="30">
        <f>H16+AC16+AT16</f>
        <v>934.94</v>
      </c>
      <c r="H16" s="17">
        <f>SUMIF(I$12:AB$12,"总值",I16:AB16)</f>
        <v>934.94</v>
      </c>
      <c r="I16" s="1514">
        <f>信息表!K19</f>
        <v>934.94</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104</v>
      </c>
      <c r="AY16" s="1260">
        <f>ROUND($AY$6*AZ16/$AZ$5,2)</f>
        <v>0</v>
      </c>
      <c r="AZ16" s="13">
        <f>BA16+BL16</f>
        <v>934.94</v>
      </c>
      <c r="BA16" s="13">
        <f>SUM(BB16:BK16)</f>
        <v>934.94</v>
      </c>
      <c r="BB16" s="13">
        <f>IF($D16="是",I16-J16,0)</f>
        <v>934.94</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628">
        <f>信息表!J20</f>
        <v>105</v>
      </c>
      <c r="D17" s="1513" t="s">
        <v>3419</v>
      </c>
      <c r="E17" s="13">
        <f>IF($C$3="是",ROUND($A$3*G17/$B$3,2),ROUND($A$3*(G17-AT17)/$B$3,2))</f>
        <v>0</v>
      </c>
      <c r="F17" s="29"/>
      <c r="G17" s="30">
        <f>H17+AC17+AT17</f>
        <v>257.68</v>
      </c>
      <c r="H17" s="17">
        <f>SUMIF(I$12:AB$12,"总值",I17:AB17)</f>
        <v>257.68</v>
      </c>
      <c r="I17" s="1514">
        <f>信息表!K20</f>
        <v>257.68</v>
      </c>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105</v>
      </c>
      <c r="AY17" s="1260">
        <f>ROUND($AY$6*AZ17/$AZ$5,2)</f>
        <v>0</v>
      </c>
      <c r="AZ17" s="13">
        <f>BA17+BL17</f>
        <v>257.68</v>
      </c>
      <c r="BA17" s="13">
        <f>SUM(BB17:BK17)</f>
        <v>257.68</v>
      </c>
      <c r="BB17" s="13">
        <f>IF($D17="是",I17-J17,0)</f>
        <v>257.68</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8">
        <f>信息表!J21</f>
        <v>106</v>
      </c>
      <c r="D18" s="1513" t="s">
        <v>3419</v>
      </c>
      <c r="E18" s="32">
        <f t="shared" ref="E18:E112" si="7">IF($C$3="是",ROUND($A$3*G18/$B$3,2),ROUND($A$3*(G18-AT18)/$B$3,2))</f>
        <v>0</v>
      </c>
      <c r="F18" s="33"/>
      <c r="G18" s="34">
        <f t="shared" ref="G18:G109" si="8">H18+AC18+AT18</f>
        <v>1754.23</v>
      </c>
      <c r="H18" s="35">
        <f t="shared" ref="H18:H109" si="9">SUMIF(I$12:AB$12,"总值",I18:AB18)</f>
        <v>1754.23</v>
      </c>
      <c r="I18" s="1514">
        <f>信息表!K21</f>
        <v>1754.23</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106</v>
      </c>
      <c r="AY18" s="38">
        <f t="shared" ref="AY18:AY109" si="14">ROUND($AY$6*AZ18/$AZ$5,2)</f>
        <v>0</v>
      </c>
      <c r="AZ18" s="32">
        <f t="shared" ref="AZ18:AZ109" si="15">BA18+BL18</f>
        <v>1754.23</v>
      </c>
      <c r="BA18" s="32">
        <f t="shared" ref="BA18:BA109" si="16">SUM(BB18:BK18)</f>
        <v>1754.23</v>
      </c>
      <c r="BB18" s="32">
        <f t="shared" ref="BB18:BB109" si="17">IF($D18="是",I18-J18,0)</f>
        <v>1754.23</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8">
        <f>信息表!J22</f>
        <v>107</v>
      </c>
      <c r="D19" s="1513" t="s">
        <v>3419</v>
      </c>
      <c r="E19" s="32">
        <f t="shared" si="7"/>
        <v>0</v>
      </c>
      <c r="F19" s="33"/>
      <c r="G19" s="34">
        <f t="shared" si="8"/>
        <v>997.46</v>
      </c>
      <c r="H19" s="35">
        <f t="shared" si="9"/>
        <v>997.46</v>
      </c>
      <c r="I19" s="1514">
        <f>信息表!K22</f>
        <v>997.46</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107</v>
      </c>
      <c r="AY19" s="38">
        <f t="shared" si="14"/>
        <v>0</v>
      </c>
      <c r="AZ19" s="32">
        <f t="shared" si="15"/>
        <v>997.46</v>
      </c>
      <c r="BA19" s="32">
        <f t="shared" si="16"/>
        <v>997.46</v>
      </c>
      <c r="BB19" s="32">
        <f t="shared" si="17"/>
        <v>997.46</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628">
        <f>信息表!J23</f>
        <v>202</v>
      </c>
      <c r="D20" s="1513" t="s">
        <v>3419</v>
      </c>
      <c r="E20" s="32">
        <f t="shared" si="7"/>
        <v>0</v>
      </c>
      <c r="F20" s="33"/>
      <c r="G20" s="34">
        <f t="shared" si="8"/>
        <v>2037.18</v>
      </c>
      <c r="H20" s="35">
        <f t="shared" si="9"/>
        <v>2037.18</v>
      </c>
      <c r="I20" s="1514">
        <f>信息表!K23</f>
        <v>2037.18</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202</v>
      </c>
      <c r="AY20" s="38">
        <f t="shared" si="14"/>
        <v>0</v>
      </c>
      <c r="AZ20" s="32">
        <f t="shared" si="15"/>
        <v>2037.18</v>
      </c>
      <c r="BA20" s="32">
        <f t="shared" si="16"/>
        <v>2037.18</v>
      </c>
      <c r="BB20" s="32">
        <f t="shared" si="17"/>
        <v>2037.18</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628">
        <f>信息表!J24</f>
        <v>203</v>
      </c>
      <c r="D21" s="1513" t="s">
        <v>3419</v>
      </c>
      <c r="E21" s="32">
        <f t="shared" si="7"/>
        <v>0</v>
      </c>
      <c r="F21" s="33"/>
      <c r="G21" s="34">
        <f t="shared" si="8"/>
        <v>1368.79</v>
      </c>
      <c r="H21" s="35">
        <f t="shared" si="9"/>
        <v>1368.79</v>
      </c>
      <c r="I21" s="1514">
        <f>信息表!K24</f>
        <v>1368.79</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203</v>
      </c>
      <c r="AY21" s="38">
        <f t="shared" si="14"/>
        <v>0</v>
      </c>
      <c r="AZ21" s="32">
        <f t="shared" si="15"/>
        <v>1368.79</v>
      </c>
      <c r="BA21" s="32">
        <f t="shared" si="16"/>
        <v>1368.79</v>
      </c>
      <c r="BB21" s="32">
        <f t="shared" si="17"/>
        <v>1368.79</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628">
        <f>信息表!J25</f>
        <v>204</v>
      </c>
      <c r="D22" s="1513" t="s">
        <v>3419</v>
      </c>
      <c r="E22" s="32">
        <f t="shared" si="7"/>
        <v>0</v>
      </c>
      <c r="F22" s="33"/>
      <c r="G22" s="34">
        <f t="shared" si="8"/>
        <v>1809.21</v>
      </c>
      <c r="H22" s="35">
        <f t="shared" si="9"/>
        <v>1809.21</v>
      </c>
      <c r="I22" s="1514">
        <f>信息表!K25</f>
        <v>1809.21</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204</v>
      </c>
      <c r="AY22" s="38">
        <f t="shared" si="14"/>
        <v>0</v>
      </c>
      <c r="AZ22" s="32">
        <f t="shared" si="15"/>
        <v>1809.21</v>
      </c>
      <c r="BA22" s="32">
        <f t="shared" si="16"/>
        <v>1809.21</v>
      </c>
      <c r="BB22" s="32">
        <f t="shared" si="17"/>
        <v>1809.21</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628">
        <f>信息表!J26</f>
        <v>205</v>
      </c>
      <c r="D23" s="1513" t="s">
        <v>3419</v>
      </c>
      <c r="E23" s="32">
        <f t="shared" si="7"/>
        <v>0</v>
      </c>
      <c r="F23" s="33"/>
      <c r="G23" s="34">
        <f t="shared" si="8"/>
        <v>1045.6199999999999</v>
      </c>
      <c r="H23" s="35">
        <f t="shared" si="9"/>
        <v>1045.6199999999999</v>
      </c>
      <c r="I23" s="1514">
        <f>信息表!K26</f>
        <v>1045.6199999999999</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205</v>
      </c>
      <c r="AY23" s="38">
        <f t="shared" si="14"/>
        <v>0</v>
      </c>
      <c r="AZ23" s="32">
        <f t="shared" si="15"/>
        <v>1045.6199999999999</v>
      </c>
      <c r="BA23" s="32">
        <f t="shared" si="16"/>
        <v>1045.6199999999999</v>
      </c>
      <c r="BB23" s="32">
        <f t="shared" si="17"/>
        <v>1045.6199999999999</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628">
        <f>信息表!J27</f>
        <v>302</v>
      </c>
      <c r="D24" s="1513" t="s">
        <v>3419</v>
      </c>
      <c r="E24" s="32">
        <f t="shared" si="7"/>
        <v>0</v>
      </c>
      <c r="F24" s="33"/>
      <c r="G24" s="34">
        <f t="shared" si="8"/>
        <v>2053.8200000000002</v>
      </c>
      <c r="H24" s="35">
        <f t="shared" si="9"/>
        <v>2053.8200000000002</v>
      </c>
      <c r="I24" s="1514">
        <f>信息表!K27</f>
        <v>2053.8200000000002</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302</v>
      </c>
      <c r="AY24" s="38">
        <f t="shared" si="14"/>
        <v>0</v>
      </c>
      <c r="AZ24" s="32">
        <f t="shared" si="15"/>
        <v>2053.8200000000002</v>
      </c>
      <c r="BA24" s="32">
        <f t="shared" si="16"/>
        <v>2053.8200000000002</v>
      </c>
      <c r="BB24" s="32">
        <f t="shared" si="17"/>
        <v>2053.8200000000002</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628">
        <f>信息表!J28</f>
        <v>303</v>
      </c>
      <c r="D25" s="1513" t="s">
        <v>3419</v>
      </c>
      <c r="E25" s="32">
        <f t="shared" si="7"/>
        <v>0</v>
      </c>
      <c r="F25" s="33"/>
      <c r="G25" s="34">
        <f t="shared" si="8"/>
        <v>4410.37</v>
      </c>
      <c r="H25" s="35">
        <f t="shared" si="9"/>
        <v>4410.37</v>
      </c>
      <c r="I25" s="1514">
        <f>信息表!K28</f>
        <v>4410.37</v>
      </c>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303</v>
      </c>
      <c r="AY25" s="38">
        <f t="shared" si="14"/>
        <v>0</v>
      </c>
      <c r="AZ25" s="32">
        <f t="shared" si="15"/>
        <v>4410.37</v>
      </c>
      <c r="BA25" s="32">
        <f t="shared" si="16"/>
        <v>4410.37</v>
      </c>
      <c r="BB25" s="32">
        <f t="shared" si="17"/>
        <v>4410.37</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628">
        <f>信息表!J29</f>
        <v>304</v>
      </c>
      <c r="D26" s="1513" t="s">
        <v>3419</v>
      </c>
      <c r="E26" s="32">
        <f t="shared" si="7"/>
        <v>0</v>
      </c>
      <c r="F26" s="33"/>
      <c r="G26" s="34">
        <f t="shared" si="8"/>
        <v>1045.6199999999999</v>
      </c>
      <c r="H26" s="35">
        <f t="shared" si="9"/>
        <v>1045.6199999999999</v>
      </c>
      <c r="I26" s="1514">
        <f>信息表!K29</f>
        <v>1045.6199999999999</v>
      </c>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304</v>
      </c>
      <c r="AY26" s="38">
        <f t="shared" si="14"/>
        <v>0</v>
      </c>
      <c r="AZ26" s="32">
        <f t="shared" si="15"/>
        <v>1045.6199999999999</v>
      </c>
      <c r="BA26" s="32">
        <f t="shared" si="16"/>
        <v>1045.6199999999999</v>
      </c>
      <c r="BB26" s="32">
        <f t="shared" si="17"/>
        <v>1045.6199999999999</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628">
        <f>信息表!J30</f>
        <v>402</v>
      </c>
      <c r="D27" s="1513" t="s">
        <v>3419</v>
      </c>
      <c r="E27" s="32">
        <f t="shared" si="7"/>
        <v>0</v>
      </c>
      <c r="F27" s="33"/>
      <c r="G27" s="34">
        <f t="shared" si="8"/>
        <v>1981.75</v>
      </c>
      <c r="H27" s="35">
        <f t="shared" si="9"/>
        <v>1981.75</v>
      </c>
      <c r="I27" s="1514">
        <f>信息表!K30</f>
        <v>1981.75</v>
      </c>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402</v>
      </c>
      <c r="AY27" s="38">
        <f t="shared" si="14"/>
        <v>0</v>
      </c>
      <c r="AZ27" s="32">
        <f t="shared" si="15"/>
        <v>1981.75</v>
      </c>
      <c r="BA27" s="32">
        <f t="shared" si="16"/>
        <v>1981.75</v>
      </c>
      <c r="BB27" s="32">
        <f t="shared" si="17"/>
        <v>1981.75</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628">
        <f>信息表!J31</f>
        <v>403</v>
      </c>
      <c r="D28" s="1513" t="s">
        <v>3419</v>
      </c>
      <c r="E28" s="32">
        <f t="shared" si="7"/>
        <v>0</v>
      </c>
      <c r="F28" s="33"/>
      <c r="G28" s="34">
        <f t="shared" si="8"/>
        <v>51.71</v>
      </c>
      <c r="H28" s="35">
        <f t="shared" si="9"/>
        <v>51.71</v>
      </c>
      <c r="I28" s="1514">
        <f>信息表!K31</f>
        <v>51.71</v>
      </c>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403</v>
      </c>
      <c r="AY28" s="38">
        <f t="shared" si="14"/>
        <v>0</v>
      </c>
      <c r="AZ28" s="32">
        <f t="shared" si="15"/>
        <v>51.71</v>
      </c>
      <c r="BA28" s="32">
        <f t="shared" si="16"/>
        <v>51.71</v>
      </c>
      <c r="BB28" s="32">
        <f t="shared" si="17"/>
        <v>51.71</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628">
        <f>信息表!J32</f>
        <v>404</v>
      </c>
      <c r="D29" s="1513" t="s">
        <v>3419</v>
      </c>
      <c r="E29" s="32">
        <f t="shared" si="7"/>
        <v>0</v>
      </c>
      <c r="F29" s="33"/>
      <c r="G29" s="34">
        <f t="shared" si="8"/>
        <v>4410.03</v>
      </c>
      <c r="H29" s="35">
        <f t="shared" si="9"/>
        <v>4410.03</v>
      </c>
      <c r="I29" s="1514">
        <f>信息表!K32</f>
        <v>4410.03</v>
      </c>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404</v>
      </c>
      <c r="AY29" s="38">
        <f t="shared" si="14"/>
        <v>0</v>
      </c>
      <c r="AZ29" s="32">
        <f t="shared" si="15"/>
        <v>4410.03</v>
      </c>
      <c r="BA29" s="32">
        <f t="shared" si="16"/>
        <v>4410.03</v>
      </c>
      <c r="BB29" s="32">
        <f t="shared" si="17"/>
        <v>4410.03</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628">
        <f>信息表!J33</f>
        <v>405</v>
      </c>
      <c r="D30" s="1513" t="s">
        <v>3419</v>
      </c>
      <c r="E30" s="32">
        <f t="shared" si="7"/>
        <v>0</v>
      </c>
      <c r="F30" s="33"/>
      <c r="G30" s="34">
        <f t="shared" si="8"/>
        <v>1969.87</v>
      </c>
      <c r="H30" s="35">
        <f t="shared" si="9"/>
        <v>1969.87</v>
      </c>
      <c r="I30" s="1514">
        <f>信息表!K33</f>
        <v>1969.87</v>
      </c>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405</v>
      </c>
      <c r="AY30" s="38">
        <f t="shared" si="14"/>
        <v>0</v>
      </c>
      <c r="AZ30" s="32">
        <f t="shared" si="15"/>
        <v>1969.87</v>
      </c>
      <c r="BA30" s="32">
        <f t="shared" si="16"/>
        <v>1969.87</v>
      </c>
      <c r="BB30" s="32">
        <f t="shared" si="17"/>
        <v>1969.87</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628">
        <f>信息表!J34</f>
        <v>502</v>
      </c>
      <c r="D31" s="1513" t="s">
        <v>3419</v>
      </c>
      <c r="E31" s="32">
        <f t="shared" si="7"/>
        <v>0</v>
      </c>
      <c r="F31" s="33"/>
      <c r="G31" s="34">
        <f t="shared" si="8"/>
        <v>4410.26</v>
      </c>
      <c r="H31" s="35">
        <f t="shared" si="9"/>
        <v>4410.26</v>
      </c>
      <c r="I31" s="1514">
        <f>信息表!K34</f>
        <v>4410.26</v>
      </c>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502</v>
      </c>
      <c r="AY31" s="38">
        <f t="shared" si="14"/>
        <v>0</v>
      </c>
      <c r="AZ31" s="32">
        <f t="shared" si="15"/>
        <v>4410.26</v>
      </c>
      <c r="BA31" s="32">
        <f t="shared" si="16"/>
        <v>4410.26</v>
      </c>
      <c r="BB31" s="32">
        <f t="shared" si="17"/>
        <v>4410.26</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628">
        <f>信息表!J35</f>
        <v>503</v>
      </c>
      <c r="D32" s="1513" t="s">
        <v>3419</v>
      </c>
      <c r="E32" s="32">
        <f t="shared" si="7"/>
        <v>0</v>
      </c>
      <c r="F32" s="33"/>
      <c r="G32" s="34">
        <f t="shared" si="8"/>
        <v>51.71</v>
      </c>
      <c r="H32" s="35">
        <f t="shared" si="9"/>
        <v>51.71</v>
      </c>
      <c r="I32" s="1514">
        <f>信息表!K35</f>
        <v>51.71</v>
      </c>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503</v>
      </c>
      <c r="AY32" s="38">
        <f t="shared" si="14"/>
        <v>0</v>
      </c>
      <c r="AZ32" s="32">
        <f t="shared" si="15"/>
        <v>51.71</v>
      </c>
      <c r="BA32" s="32">
        <f t="shared" si="16"/>
        <v>51.71</v>
      </c>
      <c r="BB32" s="32">
        <f t="shared" si="17"/>
        <v>51.71</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628">
        <f>信息表!J36</f>
        <v>504</v>
      </c>
      <c r="D33" s="1513" t="s">
        <v>3419</v>
      </c>
      <c r="E33" s="32">
        <f t="shared" si="7"/>
        <v>0</v>
      </c>
      <c r="F33" s="33"/>
      <c r="G33" s="34">
        <f t="shared" si="8"/>
        <v>1969.87</v>
      </c>
      <c r="H33" s="35">
        <f t="shared" si="9"/>
        <v>1969.87</v>
      </c>
      <c r="I33" s="1514">
        <f>信息表!K36</f>
        <v>1969.87</v>
      </c>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504</v>
      </c>
      <c r="AY33" s="38">
        <f t="shared" si="14"/>
        <v>0</v>
      </c>
      <c r="AZ33" s="32">
        <f t="shared" si="15"/>
        <v>1969.87</v>
      </c>
      <c r="BA33" s="32">
        <f t="shared" si="16"/>
        <v>1969.87</v>
      </c>
      <c r="BB33" s="32">
        <f t="shared" si="17"/>
        <v>1969.87</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628">
        <f>信息表!J37</f>
        <v>602</v>
      </c>
      <c r="D34" s="1513" t="s">
        <v>3419</v>
      </c>
      <c r="E34" s="32">
        <f t="shared" si="7"/>
        <v>0</v>
      </c>
      <c r="F34" s="33"/>
      <c r="G34" s="34">
        <f t="shared" si="8"/>
        <v>60.18</v>
      </c>
      <c r="H34" s="35">
        <f t="shared" si="9"/>
        <v>60.18</v>
      </c>
      <c r="I34" s="1514">
        <f>信息表!K37</f>
        <v>60.18</v>
      </c>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602</v>
      </c>
      <c r="AY34" s="38">
        <f t="shared" si="14"/>
        <v>0</v>
      </c>
      <c r="AZ34" s="32">
        <f t="shared" si="15"/>
        <v>60.18</v>
      </c>
      <c r="BA34" s="32">
        <f t="shared" si="16"/>
        <v>60.18</v>
      </c>
      <c r="BB34" s="32">
        <f t="shared" si="17"/>
        <v>60.18</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628">
        <f>信息表!J38</f>
        <v>603</v>
      </c>
      <c r="D35" s="1513" t="s">
        <v>3419</v>
      </c>
      <c r="E35" s="32">
        <f t="shared" si="7"/>
        <v>0</v>
      </c>
      <c r="F35" s="33"/>
      <c r="G35" s="34">
        <f t="shared" si="8"/>
        <v>38.43</v>
      </c>
      <c r="H35" s="35">
        <f t="shared" si="9"/>
        <v>38.43</v>
      </c>
      <c r="I35" s="1514">
        <f>信息表!K38</f>
        <v>38.43</v>
      </c>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603</v>
      </c>
      <c r="AY35" s="38">
        <f t="shared" si="14"/>
        <v>0</v>
      </c>
      <c r="AZ35" s="32">
        <f t="shared" si="15"/>
        <v>38.43</v>
      </c>
      <c r="BA35" s="32">
        <f t="shared" si="16"/>
        <v>38.43</v>
      </c>
      <c r="BB35" s="32">
        <f t="shared" si="17"/>
        <v>38.43</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628">
        <f>信息表!J39</f>
        <v>604</v>
      </c>
      <c r="D36" s="1513" t="s">
        <v>3419</v>
      </c>
      <c r="E36" s="32">
        <f t="shared" si="7"/>
        <v>0</v>
      </c>
      <c r="F36" s="33"/>
      <c r="G36" s="34">
        <f t="shared" si="8"/>
        <v>2594.02</v>
      </c>
      <c r="H36" s="35">
        <f t="shared" si="9"/>
        <v>2594.02</v>
      </c>
      <c r="I36" s="1514">
        <f>信息表!K39</f>
        <v>2594.02</v>
      </c>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604</v>
      </c>
      <c r="AY36" s="38">
        <f t="shared" si="14"/>
        <v>0</v>
      </c>
      <c r="AZ36" s="32">
        <f t="shared" si="15"/>
        <v>2594.02</v>
      </c>
      <c r="BA36" s="32">
        <f t="shared" si="16"/>
        <v>2594.02</v>
      </c>
      <c r="BB36" s="32">
        <f t="shared" si="17"/>
        <v>2594.02</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628">
        <f>信息表!J40</f>
        <v>605</v>
      </c>
      <c r="D37" s="1513" t="s">
        <v>3419</v>
      </c>
      <c r="E37" s="32">
        <f t="shared" si="7"/>
        <v>0</v>
      </c>
      <c r="F37" s="33"/>
      <c r="G37" s="34">
        <f t="shared" si="8"/>
        <v>1970.49</v>
      </c>
      <c r="H37" s="35">
        <f t="shared" si="9"/>
        <v>1970.49</v>
      </c>
      <c r="I37" s="1514">
        <f>信息表!K40</f>
        <v>1970.49</v>
      </c>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605</v>
      </c>
      <c r="AY37" s="38">
        <f t="shared" si="14"/>
        <v>0</v>
      </c>
      <c r="AZ37" s="32">
        <f t="shared" si="15"/>
        <v>1970.49</v>
      </c>
      <c r="BA37" s="32">
        <f t="shared" si="16"/>
        <v>1970.49</v>
      </c>
      <c r="BB37" s="32">
        <f t="shared" si="17"/>
        <v>1970.49</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628">
        <f>信息表!J41</f>
        <v>702</v>
      </c>
      <c r="D38" s="1513" t="s">
        <v>3419</v>
      </c>
      <c r="E38" s="32">
        <f t="shared" si="7"/>
        <v>0</v>
      </c>
      <c r="F38" s="33"/>
      <c r="G38" s="34">
        <f t="shared" si="8"/>
        <v>60.18</v>
      </c>
      <c r="H38" s="35">
        <f t="shared" si="9"/>
        <v>60.18</v>
      </c>
      <c r="I38" s="1514">
        <f>信息表!K41</f>
        <v>60.18</v>
      </c>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702</v>
      </c>
      <c r="AY38" s="38">
        <f t="shared" si="14"/>
        <v>0</v>
      </c>
      <c r="AZ38" s="32">
        <f t="shared" si="15"/>
        <v>60.18</v>
      </c>
      <c r="BA38" s="32">
        <f t="shared" si="16"/>
        <v>60.18</v>
      </c>
      <c r="BB38" s="32">
        <f t="shared" si="17"/>
        <v>60.18</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628">
        <f>信息表!J42</f>
        <v>703</v>
      </c>
      <c r="D39" s="1513" t="s">
        <v>3419</v>
      </c>
      <c r="E39" s="32">
        <f t="shared" si="7"/>
        <v>0</v>
      </c>
      <c r="F39" s="33"/>
      <c r="G39" s="34">
        <f t="shared" si="8"/>
        <v>38.43</v>
      </c>
      <c r="H39" s="35">
        <f t="shared" si="9"/>
        <v>38.43</v>
      </c>
      <c r="I39" s="1514">
        <f>信息表!K42</f>
        <v>38.43</v>
      </c>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703</v>
      </c>
      <c r="AY39" s="38">
        <f t="shared" si="14"/>
        <v>0</v>
      </c>
      <c r="AZ39" s="32">
        <f t="shared" si="15"/>
        <v>38.43</v>
      </c>
      <c r="BA39" s="32">
        <f t="shared" si="16"/>
        <v>38.43</v>
      </c>
      <c r="BB39" s="32">
        <f t="shared" si="17"/>
        <v>38.43</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628">
        <f>信息表!J43</f>
        <v>704</v>
      </c>
      <c r="D40" s="1513" t="s">
        <v>3419</v>
      </c>
      <c r="E40" s="32">
        <f t="shared" si="7"/>
        <v>0</v>
      </c>
      <c r="F40" s="33"/>
      <c r="G40" s="34">
        <f t="shared" si="8"/>
        <v>2678.95</v>
      </c>
      <c r="H40" s="35">
        <f t="shared" si="9"/>
        <v>2678.95</v>
      </c>
      <c r="I40" s="1514">
        <f>信息表!K43</f>
        <v>2678.95</v>
      </c>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704</v>
      </c>
      <c r="AY40" s="38">
        <f t="shared" si="14"/>
        <v>0</v>
      </c>
      <c r="AZ40" s="32">
        <f t="shared" si="15"/>
        <v>2678.95</v>
      </c>
      <c r="BA40" s="32">
        <f t="shared" si="16"/>
        <v>2678.95</v>
      </c>
      <c r="BB40" s="32">
        <f t="shared" si="17"/>
        <v>2678.95</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628">
        <f>信息表!J44</f>
        <v>705</v>
      </c>
      <c r="D41" s="1513" t="s">
        <v>3419</v>
      </c>
      <c r="E41" s="32">
        <f t="shared" si="7"/>
        <v>0</v>
      </c>
      <c r="F41" s="33"/>
      <c r="G41" s="34">
        <f t="shared" si="8"/>
        <v>1970.49</v>
      </c>
      <c r="H41" s="35">
        <f t="shared" si="9"/>
        <v>1970.49</v>
      </c>
      <c r="I41" s="1514">
        <f>信息表!K44</f>
        <v>1970.49</v>
      </c>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705</v>
      </c>
      <c r="AY41" s="38">
        <f t="shared" si="14"/>
        <v>0</v>
      </c>
      <c r="AZ41" s="32">
        <f t="shared" si="15"/>
        <v>1970.49</v>
      </c>
      <c r="BA41" s="32">
        <f t="shared" si="16"/>
        <v>1970.49</v>
      </c>
      <c r="BB41" s="32">
        <f t="shared" si="17"/>
        <v>1970.49</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628">
        <f>信息表!J45</f>
        <v>802</v>
      </c>
      <c r="D42" s="1513" t="s">
        <v>3419</v>
      </c>
      <c r="E42" s="32">
        <f t="shared" si="7"/>
        <v>0</v>
      </c>
      <c r="F42" s="33"/>
      <c r="G42" s="34">
        <f t="shared" si="8"/>
        <v>60.18</v>
      </c>
      <c r="H42" s="35">
        <f t="shared" si="9"/>
        <v>60.18</v>
      </c>
      <c r="I42" s="1514">
        <f>信息表!K45</f>
        <v>60.18</v>
      </c>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802</v>
      </c>
      <c r="AY42" s="38">
        <f t="shared" si="14"/>
        <v>0</v>
      </c>
      <c r="AZ42" s="32">
        <f t="shared" si="15"/>
        <v>60.18</v>
      </c>
      <c r="BA42" s="32">
        <f t="shared" si="16"/>
        <v>60.18</v>
      </c>
      <c r="BB42" s="32">
        <f t="shared" si="17"/>
        <v>60.18</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628">
        <f>信息表!J46</f>
        <v>803</v>
      </c>
      <c r="D43" s="1513" t="s">
        <v>3419</v>
      </c>
      <c r="E43" s="32">
        <f t="shared" si="7"/>
        <v>0</v>
      </c>
      <c r="F43" s="33"/>
      <c r="G43" s="34">
        <f t="shared" si="8"/>
        <v>38.43</v>
      </c>
      <c r="H43" s="35">
        <f t="shared" si="9"/>
        <v>38.43</v>
      </c>
      <c r="I43" s="1514">
        <f>信息表!K46</f>
        <v>38.43</v>
      </c>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803</v>
      </c>
      <c r="AY43" s="38">
        <f t="shared" si="14"/>
        <v>0</v>
      </c>
      <c r="AZ43" s="32">
        <f t="shared" si="15"/>
        <v>38.43</v>
      </c>
      <c r="BA43" s="32">
        <f t="shared" si="16"/>
        <v>38.43</v>
      </c>
      <c r="BB43" s="32">
        <f t="shared" si="17"/>
        <v>38.43</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628">
        <f>信息表!J47</f>
        <v>804</v>
      </c>
      <c r="D44" s="1513" t="s">
        <v>3419</v>
      </c>
      <c r="E44" s="32">
        <f t="shared" si="7"/>
        <v>0</v>
      </c>
      <c r="F44" s="33"/>
      <c r="G44" s="34">
        <f t="shared" si="8"/>
        <v>2678.95</v>
      </c>
      <c r="H44" s="35">
        <f t="shared" si="9"/>
        <v>2678.95</v>
      </c>
      <c r="I44" s="1514">
        <f>信息表!K47</f>
        <v>2678.95</v>
      </c>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804</v>
      </c>
      <c r="AY44" s="38">
        <f t="shared" si="14"/>
        <v>0</v>
      </c>
      <c r="AZ44" s="32">
        <f t="shared" si="15"/>
        <v>2678.95</v>
      </c>
      <c r="BA44" s="32">
        <f t="shared" si="16"/>
        <v>2678.95</v>
      </c>
      <c r="BB44" s="32">
        <f t="shared" si="17"/>
        <v>2678.95</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628">
        <f>信息表!J48</f>
        <v>805</v>
      </c>
      <c r="D45" s="1513" t="s">
        <v>3419</v>
      </c>
      <c r="E45" s="32">
        <f t="shared" si="7"/>
        <v>0</v>
      </c>
      <c r="F45" s="33"/>
      <c r="G45" s="34">
        <f t="shared" si="8"/>
        <v>1970.49</v>
      </c>
      <c r="H45" s="35">
        <f t="shared" si="9"/>
        <v>1970.49</v>
      </c>
      <c r="I45" s="1514">
        <f>信息表!K48</f>
        <v>1970.49</v>
      </c>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805</v>
      </c>
      <c r="AY45" s="38">
        <f t="shared" si="14"/>
        <v>0</v>
      </c>
      <c r="AZ45" s="32">
        <f t="shared" si="15"/>
        <v>1970.49</v>
      </c>
      <c r="BA45" s="32">
        <f t="shared" si="16"/>
        <v>1970.49</v>
      </c>
      <c r="BB45" s="32">
        <f t="shared" si="17"/>
        <v>1970.49</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628"/>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628"/>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628"/>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628"/>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628"/>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628"/>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628"/>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628"/>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628"/>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628"/>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628"/>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628"/>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628"/>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628"/>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628"/>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628"/>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628"/>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628"/>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628"/>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628"/>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628"/>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628"/>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326" t="s">
        <v>1131</v>
      </c>
      <c r="B2" s="3326"/>
      <c r="C2" s="3326"/>
      <c r="D2" s="748" t="s">
        <v>1107</v>
      </c>
      <c r="E2" s="1523" t="s">
        <v>1108</v>
      </c>
      <c r="F2" s="2437"/>
      <c r="G2" s="2430"/>
      <c r="H2" s="2431"/>
      <c r="I2" s="2146" t="s">
        <v>1132</v>
      </c>
      <c r="J2" s="2437"/>
      <c r="K2" s="2437"/>
      <c r="L2" s="2437"/>
      <c r="M2" s="2437"/>
      <c r="N2" s="2438"/>
      <c r="O2" s="2437"/>
      <c r="P2" s="2437"/>
    </row>
    <row r="3" spans="1:16" ht="14.5" thickBot="1">
      <c r="A3" s="3327" t="s">
        <v>1105</v>
      </c>
      <c r="B3" s="3327"/>
      <c r="C3" s="3327"/>
      <c r="D3" s="41">
        <f>'数据-基础表'!AY6</f>
        <v>0</v>
      </c>
      <c r="E3" s="41">
        <f>'数据-基础表'!AZ5</f>
        <v>55858.959999999992</v>
      </c>
      <c r="F3" s="2437"/>
      <c r="G3" s="42"/>
      <c r="H3" s="43" t="s">
        <v>1106</v>
      </c>
      <c r="I3" s="802" t="e">
        <f>ROUND('数据-基础表'!B3/'数据-基础表'!A3,2)</f>
        <v>#DIV/0!</v>
      </c>
      <c r="J3" s="2437"/>
      <c r="K3" s="2437"/>
      <c r="L3" s="2437"/>
      <c r="M3" s="2437"/>
      <c r="N3" s="2438"/>
      <c r="O3" s="2437"/>
      <c r="P3" s="2437"/>
    </row>
    <row r="4" spans="1:16">
      <c r="A4" s="3328"/>
      <c r="B4" s="3329"/>
      <c r="C4" s="3330"/>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331" t="s">
        <v>1110</v>
      </c>
      <c r="C5" s="3331"/>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4.5" thickBot="1">
      <c r="A6" s="1527"/>
      <c r="B6" s="3331" t="s">
        <v>1111</v>
      </c>
      <c r="C6" s="3331"/>
      <c r="D6" s="43">
        <f>ROUND($D$3*E6/$E$3,2)</f>
        <v>0</v>
      </c>
      <c r="E6" s="44">
        <f>E3-E5</f>
        <v>55858.959999999992</v>
      </c>
      <c r="F6" s="2437"/>
      <c r="G6" s="1529" t="s">
        <v>1112</v>
      </c>
      <c r="H6" s="45" t="s">
        <v>1113</v>
      </c>
      <c r="I6" s="2433" t="e">
        <f>ROUND(F31/D31,2)</f>
        <v>#DIV/0!</v>
      </c>
      <c r="J6" s="2437"/>
      <c r="K6" s="2437"/>
      <c r="L6" s="2437"/>
      <c r="M6" s="2437"/>
      <c r="N6" s="2437"/>
      <c r="O6" s="2437"/>
      <c r="P6" s="2437"/>
    </row>
    <row r="7" spans="1:16" ht="14.5" thickBot="1">
      <c r="A7" s="3323"/>
      <c r="B7" s="3324"/>
      <c r="C7" s="3325"/>
      <c r="D7" s="1524" t="s">
        <v>1107</v>
      </c>
      <c r="E7" s="1528" t="s">
        <v>1114</v>
      </c>
      <c r="F7" s="2437"/>
      <c r="G7" s="2434" t="s">
        <v>1115</v>
      </c>
      <c r="H7" s="95"/>
      <c r="I7" s="2435"/>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47667.369999999981</v>
      </c>
      <c r="F8" s="2437"/>
      <c r="G8" s="2437"/>
      <c r="H8" s="2437"/>
      <c r="I8" s="2437"/>
      <c r="J8" s="2437"/>
      <c r="K8" s="2437"/>
      <c r="L8" s="2437"/>
      <c r="M8" s="2437"/>
      <c r="N8" s="2437"/>
      <c r="O8" s="2437"/>
      <c r="P8" s="2437"/>
    </row>
    <row r="9" spans="1:16">
      <c r="A9" s="1529"/>
      <c r="B9" s="1530"/>
      <c r="C9" s="43" t="s">
        <v>1119</v>
      </c>
      <c r="D9" s="43">
        <f t="shared" si="0"/>
        <v>0</v>
      </c>
      <c r="E9" s="47">
        <v>0</v>
      </c>
      <c r="F9" s="2437"/>
      <c r="G9" s="2437"/>
      <c r="H9" s="2437"/>
      <c r="I9" s="2437"/>
      <c r="J9" s="2437"/>
      <c r="K9" s="2437"/>
      <c r="L9" s="2437"/>
      <c r="M9" s="2437"/>
      <c r="N9" s="2437"/>
      <c r="O9" s="2437"/>
      <c r="P9" s="2437"/>
    </row>
    <row r="10" spans="1:16">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f t="shared" si="0"/>
        <v>0</v>
      </c>
      <c r="E13" s="46">
        <f>SUMPRODUCT(('数据-基础表'!BB10:BK10="地下")*('数据-基础表'!BB11:BK11="车库")*('数据-基础表'!BB5:BK5))</f>
        <v>8191.59</v>
      </c>
      <c r="F13" s="2437"/>
      <c r="G13" s="2437"/>
      <c r="H13" s="2437"/>
      <c r="I13" s="2437"/>
      <c r="J13" s="2437"/>
      <c r="K13" s="2437"/>
      <c r="L13" s="2437"/>
      <c r="M13" s="2437"/>
      <c r="N13" s="2437"/>
      <c r="O13" s="2437"/>
      <c r="P13" s="2437"/>
    </row>
    <row r="14" spans="1:16">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4.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4.5" thickBot="1">
      <c r="A16" s="1527"/>
      <c r="B16" s="1530"/>
      <c r="C16" s="45" t="s">
        <v>1123</v>
      </c>
      <c r="D16" s="45">
        <f>SUM(D8:D15)</f>
        <v>0</v>
      </c>
      <c r="E16" s="48">
        <f>SUM(E8:E15)</f>
        <v>55858.959999999977</v>
      </c>
      <c r="F16" s="2437"/>
      <c r="G16" s="2437"/>
      <c r="H16" s="1531" t="s">
        <v>1135</v>
      </c>
      <c r="I16" s="1532"/>
      <c r="J16" s="1071"/>
      <c r="K16" s="3320" t="s">
        <v>1135</v>
      </c>
      <c r="L16" s="3321"/>
      <c r="M16" s="3321"/>
      <c r="N16" s="3321"/>
      <c r="O16" s="3321"/>
      <c r="P16" s="3322"/>
    </row>
    <row r="17" spans="1:19">
      <c r="A17" s="1533" t="s">
        <v>1136</v>
      </c>
      <c r="B17" s="1534" t="s">
        <v>1137</v>
      </c>
      <c r="C17" s="1535" t="s">
        <v>1138</v>
      </c>
      <c r="D17" s="1536" t="s">
        <v>1126</v>
      </c>
      <c r="E17" s="1537" t="s">
        <v>1127</v>
      </c>
      <c r="F17" s="1538"/>
      <c r="G17" s="1539"/>
      <c r="H17" s="1540" t="s">
        <v>1139</v>
      </c>
      <c r="I17" s="1541" t="s">
        <v>1124</v>
      </c>
      <c r="J17" s="1071"/>
      <c r="K17" s="3317" t="s">
        <v>1140</v>
      </c>
      <c r="L17" s="3318"/>
      <c r="M17" s="3319"/>
      <c r="N17" s="3317" t="s">
        <v>1141</v>
      </c>
      <c r="O17" s="3318"/>
      <c r="P17" s="3319"/>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3" t="s">
        <v>3545</v>
      </c>
      <c r="D19" s="43">
        <f>ROUND($D$3*E19/$E$3,2)</f>
        <v>0</v>
      </c>
      <c r="E19" s="51">
        <f t="shared" ref="E19:E26" si="1">SUM(F19:G19)</f>
        <v>55858.959999999977</v>
      </c>
      <c r="F19" s="2555">
        <f>SUM('数据-基础表'!H15:H45)</f>
        <v>47667.369999999981</v>
      </c>
      <c r="G19" s="1243">
        <f>'数据-基础表'!K13+'数据-基础表'!K14</f>
        <v>8191.59</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55858.959999999977</v>
      </c>
    </row>
    <row r="20" spans="1:19">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55858.959999999977</v>
      </c>
      <c r="F27" s="1072">
        <f>IF(SUM(F19:F26)=E8,SUM(F19:F26),"地上面积有误")</f>
        <v>47667.369999999981</v>
      </c>
      <c r="G27" s="1074">
        <f>SUM(G19:G26)</f>
        <v>8191.59</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55858.959999999977</v>
      </c>
    </row>
    <row r="28" spans="1:19">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4.5" thickBot="1">
      <c r="A31" s="1557"/>
      <c r="B31" s="96"/>
      <c r="C31" s="785" t="s">
        <v>1158</v>
      </c>
      <c r="D31" s="643">
        <f>D27+D30</f>
        <v>0</v>
      </c>
      <c r="E31" s="643">
        <f>E27+E30</f>
        <v>55858.959999999977</v>
      </c>
      <c r="F31" s="644">
        <f>F27+F30</f>
        <v>47667.369999999981</v>
      </c>
      <c r="G31" s="645">
        <f>G27+G30</f>
        <v>8191.59</v>
      </c>
      <c r="H31" s="2437"/>
      <c r="I31" s="2437"/>
      <c r="J31" s="2437"/>
      <c r="K31" s="2437"/>
      <c r="L31" s="2437"/>
      <c r="M31" s="2437"/>
      <c r="N31" s="2437"/>
      <c r="O31" s="2437"/>
      <c r="P31" s="2437"/>
    </row>
    <row r="32" spans="1:19">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AK7" sqref="AK7"/>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3" width="7.26953125" style="1561" customWidth="1"/>
    <col min="34" max="34" width="11.6328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45901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5">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3546</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t="str">
        <f>'数据-汇总表'!C19</f>
        <v>研发中心</v>
      </c>
      <c r="B6" s="1587" t="str">
        <f>IF(A6=0,"","经营性")</f>
        <v>经营性</v>
      </c>
      <c r="C6" s="1588" t="s">
        <v>3</v>
      </c>
      <c r="D6" s="805">
        <f>SUMIF(项目基本情况!C$12:I$12,C6,项目基本情况!C$14:I$14)</f>
        <v>0</v>
      </c>
      <c r="E6" s="804">
        <f>IF(B6="","",SUMIF(项目基本情况!C$12:I$12,C6,项目基本情况!C$13:I$13))</f>
        <v>58268</v>
      </c>
      <c r="F6" s="61">
        <f>SUMIF(项目基本情况!C$12:I$12,C6,项目基本情况!C$15:I$15)</f>
        <v>33.880000000000003</v>
      </c>
      <c r="G6" s="62">
        <f>IF(ISERROR(ROUND(POWER(1+H6,D6-F6)*(POWER(1+H6,F6)-1)/(POWER(1+H6,D6)-1),3)),0,ROUND(POWER(1+H6,D6-F6)*(POWER(1+H6,F6)-1)/(POWER(1+H6,D6)-1),3))</f>
        <v>0</v>
      </c>
      <c r="H6" s="691">
        <v>0.05</v>
      </c>
      <c r="I6" s="691">
        <v>5.5E-2</v>
      </c>
      <c r="J6" s="63">
        <v>7.0000000000000007E-2</v>
      </c>
      <c r="K6" s="970">
        <f>SUMIF('数据-汇总表'!C$19:C$33,A6,'数据-汇总表'!E$19:E$33)</f>
        <v>55858.959999999977</v>
      </c>
      <c r="L6" s="692">
        <v>5500</v>
      </c>
      <c r="M6" s="64">
        <f t="shared" ref="M6:M14" si="0">ROUND(K6*L6/10000,0)</f>
        <v>30722</v>
      </c>
      <c r="N6" s="690">
        <f>N19</f>
        <v>0.83</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4">
        <v>4.3</v>
      </c>
      <c r="V6" s="67">
        <v>0.02</v>
      </c>
      <c r="W6" s="67">
        <v>0.05</v>
      </c>
      <c r="X6" s="979"/>
      <c r="Y6" s="68">
        <f>N6</f>
        <v>0.83</v>
      </c>
      <c r="Z6" s="69"/>
      <c r="AA6" s="63"/>
      <c r="AB6" s="63"/>
      <c r="AC6" s="979"/>
      <c r="AD6" s="70"/>
      <c r="AE6" s="980">
        <f ca="1">IF(AN6="",0,SUMIF(INDIRECT("'"&amp;AN6&amp;"'"&amp;"!E:E"),$AE$5,INDIRECT("'"&amp;AN6&amp;"'"&amp;"!F:F")))</f>
        <v>33.880000000000003</v>
      </c>
      <c r="AF6" s="74"/>
      <c r="AG6" s="130">
        <f>IF(AF6="",0,AE6-AF6)</f>
        <v>0</v>
      </c>
      <c r="AH6" s="71">
        <f>'数据-汇总表'!F19</f>
        <v>47667.369999999981</v>
      </c>
      <c r="AI6" s="73">
        <v>365</v>
      </c>
      <c r="AJ6" s="74"/>
      <c r="AK6" s="75">
        <v>5.0000000000000001E-3</v>
      </c>
      <c r="AL6" s="76">
        <v>1E-3</v>
      </c>
      <c r="AM6" s="77">
        <v>5.0000000000000001E-3</v>
      </c>
      <c r="AN6" s="1589" t="s">
        <v>3550</v>
      </c>
      <c r="AO6" s="50">
        <f ca="1">SUMIF(INDIRECT("'"&amp;AN6&amp;"'"&amp;"!A:A"),"总价",INDIRECT("'"&amp;AN6&amp;"'"&amp;"!B:B"))</f>
        <v>111100</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t="e">
        <f>ROUND(SUMPRODUCT(G6:G13,K6:K13)/SUMPRODUCT((G6:G13&gt;0)*(K6:K13)),3)</f>
        <v>#DIV/0!</v>
      </c>
      <c r="H16" s="84">
        <f>ROUND(SUMPRODUCT(H6:H13,K6:K13)/SUMPRODUCT((H6:H13&gt;0)*(K6:K13)),3)</f>
        <v>0.05</v>
      </c>
      <c r="I16" s="85"/>
      <c r="J16" s="85"/>
      <c r="K16" s="86">
        <f>SUM(K6:K15)</f>
        <v>55858.959999999977</v>
      </c>
      <c r="L16" s="87">
        <f>ROUND(M16*10000/SUM(K6:K14),0)</f>
        <v>5500</v>
      </c>
      <c r="M16" s="87">
        <f>SUM(M6:M14)</f>
        <v>30722</v>
      </c>
      <c r="N16" s="88">
        <f>ROUND(SUMPRODUCT(M6:M14,N6:N14)/M16,3)</f>
        <v>0.83</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4.5" thickBot="1">
      <c r="A18" s="57" t="s">
        <v>1210</v>
      </c>
      <c r="B18" s="2458"/>
      <c r="C18" s="2437"/>
      <c r="D18" s="2449"/>
      <c r="E18" s="2437"/>
      <c r="F18" s="2437"/>
      <c r="G18" s="2437"/>
      <c r="H18" s="2437"/>
      <c r="I18" s="2437"/>
      <c r="J18" s="2437"/>
      <c r="K18" s="2447"/>
      <c r="L18" s="2447"/>
      <c r="M18" s="3178" t="s">
        <v>3549</v>
      </c>
      <c r="N18" s="3179">
        <v>2015</v>
      </c>
      <c r="O18" s="3180" t="s">
        <v>3547</v>
      </c>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
      <c r="A19" s="1596" t="s">
        <v>1211</v>
      </c>
      <c r="B19" s="97">
        <v>0</v>
      </c>
      <c r="C19" s="2558" t="s">
        <v>2298</v>
      </c>
      <c r="D19" s="2449"/>
      <c r="E19" s="2437"/>
      <c r="F19" s="2437"/>
      <c r="G19" s="2437"/>
      <c r="H19" s="2437"/>
      <c r="I19" s="2437"/>
      <c r="J19" s="2437"/>
      <c r="K19" s="2447"/>
      <c r="L19" s="2447"/>
      <c r="M19" s="3178" t="s">
        <v>3548</v>
      </c>
      <c r="N19" s="3179">
        <f>ROUND(1-(1-0)*(2025-N18)/60,2)</f>
        <v>0.83</v>
      </c>
      <c r="O19" s="3179"/>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
      <c r="A20" s="1597" t="s">
        <v>1212</v>
      </c>
      <c r="B20" s="98">
        <v>2</v>
      </c>
      <c r="C20" s="2559" t="s">
        <v>2296</v>
      </c>
      <c r="D20" s="2449"/>
      <c r="E20" s="2437"/>
      <c r="F20" s="2437"/>
      <c r="G20" s="2437"/>
      <c r="H20" s="2437"/>
      <c r="I20" s="2437"/>
      <c r="J20" s="2437"/>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
      <c r="A21" s="1598" t="s">
        <v>1213</v>
      </c>
      <c r="B21" s="98">
        <f>B20</f>
        <v>2</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
      <c r="A22" s="1597"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4.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5"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4.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5">
      <c r="A27" s="1601" t="s">
        <v>1220</v>
      </c>
      <c r="B27" s="101">
        <v>160</v>
      </c>
      <c r="C27" s="2560" t="s">
        <v>2300</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5">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 thickBot="1">
      <c r="A29" s="1603" t="s">
        <v>1222</v>
      </c>
      <c r="B29" s="105"/>
      <c r="C29" s="2561" t="s">
        <v>2290</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8.5"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
      <c r="A33" s="1601" t="s">
        <v>1226</v>
      </c>
      <c r="B33" s="640">
        <v>0.05</v>
      </c>
      <c r="C33" s="2562" t="s">
        <v>3377</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
      <c r="A34" s="1602" t="s">
        <v>1227</v>
      </c>
      <c r="B34" s="106">
        <v>0</v>
      </c>
      <c r="C34" s="2562" t="s">
        <v>2291</v>
      </c>
      <c r="D34" s="2457" t="s">
        <v>2297</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
      <c r="A35" s="1602" t="s">
        <v>1228</v>
      </c>
      <c r="B35" s="103">
        <v>200</v>
      </c>
      <c r="C35" s="2562" t="s">
        <v>2292</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4.5" thickBot="1">
      <c r="A36" s="1603" t="s">
        <v>1229</v>
      </c>
      <c r="B36" s="107">
        <v>0.02</v>
      </c>
      <c r="C36" s="2562" t="s">
        <v>3395</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
      <c r="A37" s="1604" t="s">
        <v>1230</v>
      </c>
      <c r="B37" s="108">
        <v>0.02</v>
      </c>
      <c r="C37" s="2562" t="s">
        <v>3378</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
      <c r="A38" s="1602" t="s">
        <v>1231</v>
      </c>
      <c r="B38" s="106">
        <v>0.02</v>
      </c>
      <c r="C38" s="2562" t="s">
        <v>3379</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5" thickBot="1">
      <c r="A40" s="2571" t="s">
        <v>2306</v>
      </c>
      <c r="B40" s="1015">
        <f ca="1">IF(A40="利息：取LPR",存贷款利率!G1,存贷款利率!G1+C40)</f>
        <v>3.1300000000000001E-2</v>
      </c>
      <c r="C40" s="2570"/>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5">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
      <c r="A43" s="1606" t="s">
        <v>1235</v>
      </c>
      <c r="B43" s="111">
        <f>B42*(B44+B45+B46)+B47</f>
        <v>6.000000000000001E-3</v>
      </c>
      <c r="C43" s="2451"/>
      <c r="D43" s="3181" t="s">
        <v>3551</v>
      </c>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
      <c r="A44" s="1607" t="s">
        <v>1236</v>
      </c>
      <c r="B44" s="112">
        <v>7.0000000000000007E-2</v>
      </c>
      <c r="C44" s="2562" t="s">
        <v>3380</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
      <c r="A45" s="1607" t="s">
        <v>1237</v>
      </c>
      <c r="B45" s="110">
        <v>0.03</v>
      </c>
      <c r="C45" s="2561" t="s">
        <v>2293</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
      <c r="A46" s="1607" t="s">
        <v>1238</v>
      </c>
      <c r="B46" s="110">
        <v>0.02</v>
      </c>
      <c r="C46" s="2561" t="s">
        <v>2294</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4.5" thickBot="1">
      <c r="A47" s="1608" t="s">
        <v>1239</v>
      </c>
      <c r="B47" s="113"/>
      <c r="C47" s="2564" t="s">
        <v>2301</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
      <c r="A48" s="1609" t="s">
        <v>1240</v>
      </c>
      <c r="B48" s="114">
        <v>0.03</v>
      </c>
      <c r="C48" s="2561" t="s">
        <v>2293</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4.5" thickBot="1">
      <c r="A49" s="1605" t="s">
        <v>1241</v>
      </c>
      <c r="B49" s="110">
        <v>5.0000000000000001E-4</v>
      </c>
      <c r="C49" s="2561" t="s">
        <v>2295</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5">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
      <c r="A52" s="1610" t="s">
        <v>1244</v>
      </c>
      <c r="B52" s="117">
        <f>SUMIF(A54:A63,B53,B54:B63)</f>
        <v>3</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
      <c r="A53" s="1602" t="s">
        <v>1245</v>
      </c>
      <c r="B53" s="1611" t="s">
        <v>303</v>
      </c>
      <c r="C53" s="2438" t="s">
        <v>1246</v>
      </c>
      <c r="D53" s="2563" t="s">
        <v>2299</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
      <c r="A58" s="1612" t="s">
        <v>1251</v>
      </c>
      <c r="B58" s="72">
        <f>C58</f>
        <v>3</v>
      </c>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
      <c r="A59" s="1612" t="s">
        <v>1252</v>
      </c>
      <c r="B59" s="72"/>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4.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10"/>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5" customWidth="1"/>
    <col min="9" max="9" width="16.7265625" style="2275" customWidth="1"/>
    <col min="10" max="10" width="2.6328125" style="2275" customWidth="1"/>
    <col min="11" max="11" width="11.90625" style="2275" customWidth="1"/>
    <col min="12" max="12" width="16.7265625" style="2275" customWidth="1"/>
    <col min="13" max="13" width="2.6328125" style="2275" customWidth="1"/>
    <col min="14" max="14" width="11.90625" style="2275" customWidth="1"/>
    <col min="15" max="15" width="16.7265625" style="2275" customWidth="1"/>
    <col min="16" max="16" width="2.6328125" style="2275" customWidth="1"/>
    <col min="17" max="17" width="11.90625" style="2275" customWidth="1"/>
    <col min="18" max="18" width="16.7265625" style="751" customWidth="1"/>
    <col min="19" max="29" width="9" style="751"/>
    <col min="30" max="16384" width="9" style="1522"/>
  </cols>
  <sheetData>
    <row r="1" spans="1:29" s="2258" customFormat="1" ht="18.5" thickBot="1">
      <c r="A1" s="3332" t="s">
        <v>2282</v>
      </c>
      <c r="B1" s="3333"/>
      <c r="C1" s="3333"/>
      <c r="D1" s="3333"/>
      <c r="E1" s="3333"/>
      <c r="F1" s="3333"/>
      <c r="G1" s="3333"/>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5" thickBot="1">
      <c r="A2" s="2259"/>
      <c r="B2" s="2260"/>
      <c r="C2" s="2261" t="s">
        <v>2278</v>
      </c>
      <c r="D2" s="1595"/>
      <c r="E2" s="2259"/>
      <c r="F2" s="2262"/>
      <c r="G2" s="2261" t="s">
        <v>2279</v>
      </c>
      <c r="H2" s="751"/>
      <c r="I2" s="751"/>
      <c r="J2" s="751"/>
      <c r="K2" s="751"/>
      <c r="L2" s="751"/>
      <c r="M2" s="751"/>
      <c r="N2" s="751"/>
      <c r="O2" s="751"/>
      <c r="P2" s="751"/>
      <c r="Q2" s="751"/>
    </row>
    <row r="3" spans="1:29" ht="52">
      <c r="A3" s="2246" t="s">
        <v>2280</v>
      </c>
      <c r="B3" s="2263" t="s">
        <v>2252</v>
      </c>
      <c r="C3" s="2264" t="s">
        <v>3552</v>
      </c>
      <c r="D3" s="2265"/>
      <c r="E3" s="2247" t="s">
        <v>2280</v>
      </c>
      <c r="F3" s="2266" t="s">
        <v>2253</v>
      </c>
      <c r="G3" s="2267" t="s">
        <v>2281</v>
      </c>
      <c r="H3" s="751"/>
      <c r="I3" s="751"/>
      <c r="J3" s="751"/>
      <c r="K3" s="751"/>
      <c r="L3" s="751"/>
      <c r="M3" s="751"/>
      <c r="N3" s="751"/>
      <c r="O3" s="751"/>
      <c r="P3" s="751"/>
      <c r="Q3" s="751"/>
    </row>
    <row r="4" spans="1:29" ht="39">
      <c r="A4" s="2247"/>
      <c r="B4" s="315" t="s">
        <v>2254</v>
      </c>
      <c r="C4" s="2268" t="s">
        <v>3553</v>
      </c>
      <c r="D4" s="2265"/>
      <c r="E4" s="2269"/>
      <c r="F4" s="1281" t="s">
        <v>2255</v>
      </c>
      <c r="G4" s="2270" t="s">
        <v>2256</v>
      </c>
      <c r="H4" s="751"/>
      <c r="I4" s="751"/>
      <c r="J4" s="751"/>
      <c r="K4" s="751"/>
      <c r="L4" s="751"/>
      <c r="M4" s="751"/>
      <c r="N4" s="751"/>
      <c r="O4" s="751"/>
      <c r="P4" s="751"/>
      <c r="Q4" s="751"/>
    </row>
    <row r="5" spans="1:29" ht="52">
      <c r="A5" s="2247"/>
      <c r="B5" s="315" t="s">
        <v>2257</v>
      </c>
      <c r="C5" s="3182" t="s">
        <v>3554</v>
      </c>
      <c r="D5" s="2265"/>
      <c r="E5" s="2269"/>
      <c r="F5" s="315" t="s">
        <v>2258</v>
      </c>
      <c r="G5" s="2270" t="s">
        <v>2259</v>
      </c>
      <c r="H5" s="751"/>
      <c r="I5" s="751"/>
      <c r="J5" s="751"/>
      <c r="K5" s="751"/>
      <c r="L5" s="751"/>
      <c r="M5" s="751"/>
      <c r="N5" s="751"/>
      <c r="O5" s="751"/>
      <c r="P5" s="751"/>
      <c r="Q5" s="751"/>
    </row>
    <row r="6" spans="1:29" ht="91">
      <c r="A6" s="2247"/>
      <c r="B6" s="315" t="s">
        <v>2260</v>
      </c>
      <c r="C6" s="3183" t="s">
        <v>3555</v>
      </c>
      <c r="D6" s="2265"/>
      <c r="E6" s="2269"/>
      <c r="F6" s="315" t="s">
        <v>2261</v>
      </c>
      <c r="G6" s="2270" t="s">
        <v>2262</v>
      </c>
      <c r="H6" s="751"/>
      <c r="I6" s="751"/>
      <c r="J6" s="751"/>
      <c r="K6" s="751"/>
      <c r="L6" s="751"/>
      <c r="M6" s="751"/>
      <c r="N6" s="751"/>
      <c r="O6" s="751"/>
      <c r="P6" s="751"/>
      <c r="Q6" s="751"/>
    </row>
    <row r="7" spans="1:29" ht="156.5" thickBot="1">
      <c r="A7" s="2247"/>
      <c r="B7" s="315" t="s">
        <v>2258</v>
      </c>
      <c r="C7" s="3183" t="s">
        <v>3556</v>
      </c>
      <c r="D7" s="2244"/>
      <c r="E7" s="2271"/>
      <c r="F7" s="2272" t="s">
        <v>2263</v>
      </c>
      <c r="G7" s="2273" t="s">
        <v>2264</v>
      </c>
      <c r="H7" s="751"/>
      <c r="I7" s="751"/>
      <c r="J7" s="751"/>
      <c r="K7" s="751"/>
      <c r="L7" s="751"/>
      <c r="M7" s="751"/>
      <c r="N7" s="751"/>
      <c r="O7" s="751"/>
      <c r="P7" s="751"/>
      <c r="Q7" s="751"/>
    </row>
    <row r="8" spans="1:29">
      <c r="A8" s="2247"/>
      <c r="B8" s="315" t="s">
        <v>2261</v>
      </c>
      <c r="C8" s="3183" t="s">
        <v>3557</v>
      </c>
      <c r="D8" s="2244"/>
      <c r="E8" s="2244"/>
      <c r="F8" s="121"/>
      <c r="G8" s="121"/>
      <c r="H8" s="751"/>
      <c r="I8" s="751"/>
      <c r="J8" s="751"/>
      <c r="K8" s="751"/>
      <c r="L8" s="751"/>
      <c r="M8" s="751"/>
      <c r="N8" s="751"/>
      <c r="O8" s="751"/>
      <c r="P8" s="751"/>
      <c r="Q8" s="751"/>
    </row>
    <row r="9" spans="1:29" ht="39">
      <c r="A9" s="2247"/>
      <c r="B9" s="315" t="s">
        <v>2265</v>
      </c>
      <c r="C9" s="3182" t="s">
        <v>3558</v>
      </c>
      <c r="D9" s="2265"/>
      <c r="E9" s="2244"/>
      <c r="F9" s="121"/>
      <c r="G9" s="121"/>
      <c r="H9" s="751"/>
      <c r="I9" s="751"/>
      <c r="J9" s="751"/>
      <c r="K9" s="751"/>
      <c r="L9" s="751"/>
      <c r="M9" s="751"/>
      <c r="N9" s="751"/>
      <c r="O9" s="751"/>
      <c r="P9" s="751"/>
      <c r="Q9" s="751"/>
    </row>
    <row r="10" spans="1:29" ht="14.5" thickBot="1">
      <c r="A10" s="2248"/>
      <c r="B10" s="2274" t="s">
        <v>2266</v>
      </c>
      <c r="C10" s="3184" t="s">
        <v>3559</v>
      </c>
      <c r="D10" s="2265"/>
      <c r="E10" s="2265"/>
      <c r="F10" s="121"/>
      <c r="G10" s="121"/>
      <c r="J10" s="2276"/>
      <c r="M10" s="2276"/>
      <c r="P10" s="2276"/>
      <c r="R10" s="2275"/>
    </row>
    <row r="11" spans="1:29">
      <c r="A11" s="2277"/>
      <c r="B11" s="2244"/>
      <c r="C11" s="2265"/>
      <c r="D11" s="2265"/>
      <c r="E11" s="2265"/>
      <c r="F11" s="2244"/>
      <c r="G11" s="2244"/>
      <c r="J11" s="2276"/>
      <c r="M11" s="2276"/>
      <c r="P11" s="2276"/>
      <c r="R11" s="2275"/>
    </row>
    <row r="12" spans="1:29" s="2258" customFormat="1" ht="18">
      <c r="A12" s="2277"/>
      <c r="B12" s="2244"/>
      <c r="C12" s="2265"/>
      <c r="D12" s="2278"/>
      <c r="E12" s="2265"/>
      <c r="F12" s="2244"/>
      <c r="G12" s="2244"/>
      <c r="H12" s="2279"/>
      <c r="I12" s="2279"/>
      <c r="J12" s="2279"/>
      <c r="K12" s="2279"/>
      <c r="L12" s="2280"/>
      <c r="M12" s="2279"/>
      <c r="N12" s="2281"/>
      <c r="O12" s="2281"/>
      <c r="P12" s="2281"/>
      <c r="Q12" s="2281"/>
      <c r="R12" s="2257"/>
      <c r="S12" s="2257"/>
      <c r="T12" s="2257"/>
      <c r="U12" s="2257"/>
      <c r="V12" s="2257"/>
      <c r="W12" s="2257"/>
      <c r="X12" s="2257"/>
      <c r="Y12" s="2257"/>
      <c r="Z12" s="2257"/>
      <c r="AA12" s="2257"/>
      <c r="AB12" s="2257"/>
      <c r="AC12" s="2257"/>
    </row>
    <row r="13" spans="1:29" ht="14.5" thickBot="1">
      <c r="A13" s="2282" t="s">
        <v>2283</v>
      </c>
      <c r="B13" s="2278"/>
      <c r="C13" s="2278"/>
      <c r="D13" s="2277"/>
      <c r="E13" s="2278"/>
      <c r="F13" s="2278"/>
      <c r="G13" s="2278"/>
    </row>
    <row r="14" spans="1:29" ht="14.5" thickBot="1">
      <c r="A14" s="2283"/>
      <c r="B14" s="2283"/>
      <c r="C14" s="2284" t="s">
        <v>2267</v>
      </c>
      <c r="D14" s="2265"/>
      <c r="E14" s="2285"/>
      <c r="F14" s="2285"/>
      <c r="G14" s="2261" t="s">
        <v>2268</v>
      </c>
    </row>
    <row r="15" spans="1:29" ht="50">
      <c r="A15" s="2249" t="s">
        <v>2269</v>
      </c>
      <c r="B15" s="2286" t="s">
        <v>2252</v>
      </c>
      <c r="C15" s="2287" t="str">
        <f>C3</f>
        <v>估价对象周边居住用地比例、居住小区规模和社区发展完善程度，综合评价居住社区成熟度一般</v>
      </c>
      <c r="D15" s="2265"/>
      <c r="E15" s="2250" t="s">
        <v>2270</v>
      </c>
      <c r="F15" s="2286" t="s">
        <v>2271</v>
      </c>
      <c r="G15" s="2288" t="str">
        <f>G3</f>
        <v>估价对象位于XX开发区，园区建设成熟度XX，产业集聚程度XX</v>
      </c>
    </row>
    <row r="16" spans="1:29" ht="37.5">
      <c r="A16" s="2251"/>
      <c r="B16" s="2289" t="s">
        <v>2254</v>
      </c>
      <c r="C16" s="2290" t="str">
        <f>C4</f>
        <v>估价对象位于XX商圈，周边商业氛围成熟，人流量大，商业繁华度好</v>
      </c>
      <c r="D16" s="2265"/>
      <c r="E16" s="2252"/>
      <c r="F16" s="2291" t="s">
        <v>2255</v>
      </c>
      <c r="G16" s="2292" t="str">
        <f>G4</f>
        <v>估价对象周边道路状况、公共交通通达情况、停车便捷程度，综合评价交通便捷度较好</v>
      </c>
    </row>
    <row r="17" spans="1:17" ht="50">
      <c r="A17" s="2251"/>
      <c r="B17" s="2289" t="s">
        <v>2257</v>
      </c>
      <c r="C17" s="2290" t="str">
        <f>C5</f>
        <v>估价对象位于北五环内，周边有望京国际研发园、望京数字创意园、锐创国际中心等办公项目，办公集聚程度较好</v>
      </c>
      <c r="D17" s="2244"/>
      <c r="E17" s="2252"/>
      <c r="F17" s="2291" t="s">
        <v>2272</v>
      </c>
      <c r="G17" s="2293"/>
    </row>
    <row r="18" spans="1:17" ht="87.5">
      <c r="A18" s="2251"/>
      <c r="B18" s="2291" t="s">
        <v>2260</v>
      </c>
      <c r="C18" s="2292" t="str">
        <f>C6</f>
        <v>估价对象临城市支路——屏翠东路，周边1公里范围内有专112、专15、547等多条公交线路，距地铁15号线望京东站约589米，项目内有停车位，停车便捷度较好，综合评价交通便捷度较好。</v>
      </c>
      <c r="D18" s="2244"/>
      <c r="E18" s="2252"/>
      <c r="F18" s="2291" t="s">
        <v>2263</v>
      </c>
      <c r="G18" s="2292" t="str">
        <f>G7</f>
        <v>该园区内是否有污染型企业，绿化情况，卫生条件，整体环境状况判断</v>
      </c>
    </row>
    <row r="19" spans="1:17" ht="25">
      <c r="A19" s="2251"/>
      <c r="B19" s="2291" t="s">
        <v>2273</v>
      </c>
      <c r="C19" s="2293"/>
      <c r="D19" s="2265"/>
      <c r="E19" s="2252"/>
      <c r="F19" s="315" t="s">
        <v>2258</v>
      </c>
      <c r="G19" s="2292" t="str">
        <f>G5</f>
        <v>估价对象所在区域公共配套设施齐备情况</v>
      </c>
    </row>
    <row r="20" spans="1:17" ht="37.5">
      <c r="A20" s="2251"/>
      <c r="B20" s="2291" t="s">
        <v>2274</v>
      </c>
      <c r="C20" s="2290" t="str">
        <f>C9</f>
        <v>区域自然环境：大望京公园、善各庄公园；无人文环境；综合评价环境状况较好</v>
      </c>
      <c r="D20" s="2244"/>
      <c r="E20" s="2252"/>
      <c r="F20" s="315" t="s">
        <v>2261</v>
      </c>
      <c r="G20" s="2292" t="str">
        <f>G6</f>
        <v>估价对象所在区域基础设施水平</v>
      </c>
    </row>
    <row r="21" spans="1:17" ht="150">
      <c r="A21" s="2251"/>
      <c r="B21" s="315" t="s">
        <v>2258</v>
      </c>
      <c r="C21" s="2292" t="str">
        <f>C7</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D21" s="2265"/>
      <c r="E21" s="2252"/>
      <c r="F21" s="2291" t="s">
        <v>2275</v>
      </c>
      <c r="G21" s="2294"/>
    </row>
    <row r="22" spans="1:17" ht="13.5" customHeight="1">
      <c r="A22" s="2251"/>
      <c r="B22" s="315" t="s">
        <v>2261</v>
      </c>
      <c r="C22" s="2292" t="str">
        <f>C8</f>
        <v>七通</v>
      </c>
      <c r="D22" s="2265"/>
      <c r="E22" s="2252"/>
      <c r="F22" s="2291" t="s">
        <v>2266</v>
      </c>
      <c r="G22" s="2293"/>
    </row>
    <row r="23" spans="1:17" s="751" customFormat="1" ht="14.5" thickBot="1">
      <c r="A23" s="2251"/>
      <c r="B23" s="2291" t="s">
        <v>2275</v>
      </c>
      <c r="C23" s="2294"/>
      <c r="D23" s="1614"/>
      <c r="E23" s="2253"/>
      <c r="F23" s="2295" t="s">
        <v>2276</v>
      </c>
      <c r="G23" s="2296"/>
      <c r="H23" s="2275"/>
      <c r="I23" s="2275"/>
      <c r="J23" s="2275"/>
      <c r="K23" s="2275"/>
      <c r="L23" s="2275"/>
      <c r="M23" s="2275"/>
      <c r="N23" s="2275"/>
      <c r="O23" s="2275"/>
      <c r="P23" s="2275"/>
      <c r="Q23" s="2275"/>
    </row>
    <row r="24" spans="1:17" s="751" customFormat="1" ht="14.5" thickBot="1">
      <c r="A24" s="2254"/>
      <c r="B24" s="2295" t="s">
        <v>2277</v>
      </c>
      <c r="C24" s="2297" t="str">
        <f>C10</f>
        <v>城市支路——翠平东路</v>
      </c>
      <c r="D24" s="1614"/>
      <c r="E24" s="2244"/>
      <c r="F24" s="2244"/>
      <c r="G24" s="2244"/>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C15" sqref="C15"/>
    </sheetView>
  </sheetViews>
  <sheetFormatPr defaultColWidth="9" defaultRowHeight="14"/>
  <cols>
    <col min="1" max="1" width="25" style="2299" customWidth="1"/>
    <col min="2" max="9" width="15.7265625" style="2299" customWidth="1"/>
    <col min="10" max="16384" width="9" style="2299"/>
  </cols>
  <sheetData>
    <row r="1" spans="1:11" ht="16.5">
      <c r="A1" s="2298" t="s">
        <v>665</v>
      </c>
      <c r="B1" s="2298">
        <f>SUM(B14:B23)</f>
        <v>55858.959999999977</v>
      </c>
      <c r="C1" s="2459"/>
      <c r="D1" s="2459"/>
      <c r="E1" s="2459"/>
      <c r="F1" s="2459"/>
      <c r="G1" s="2460"/>
      <c r="H1" s="2460"/>
      <c r="I1" s="2460"/>
      <c r="J1" s="2460"/>
      <c r="K1" s="2460"/>
    </row>
    <row r="2" spans="1:11" ht="16.5">
      <c r="A2" s="2298" t="s">
        <v>653</v>
      </c>
      <c r="B2" s="2298">
        <f>SUM(C14:C23)</f>
        <v>0</v>
      </c>
      <c r="C2" s="2459"/>
      <c r="D2" s="2459"/>
      <c r="E2" s="2459"/>
      <c r="F2" s="2459"/>
      <c r="G2" s="2460"/>
      <c r="H2" s="2460"/>
      <c r="I2" s="2460"/>
      <c r="J2" s="2460"/>
      <c r="K2" s="2460"/>
    </row>
    <row r="3" spans="1:11" ht="16.5">
      <c r="A3" s="2298" t="s">
        <v>662</v>
      </c>
      <c r="B3" s="2300">
        <f>项目基本情况!D3</f>
        <v>45901</v>
      </c>
      <c r="C3" s="2459"/>
      <c r="D3" s="2459"/>
      <c r="E3" s="2459"/>
      <c r="F3" s="2459"/>
      <c r="G3" s="2460"/>
      <c r="H3" s="2460"/>
      <c r="I3" s="2460"/>
      <c r="J3" s="2460"/>
      <c r="K3" s="2460"/>
    </row>
    <row r="4" spans="1:11" ht="33">
      <c r="A4" s="2298" t="s">
        <v>661</v>
      </c>
      <c r="B4" s="2298" t="s">
        <v>660</v>
      </c>
      <c r="C4" s="2298" t="s">
        <v>659</v>
      </c>
      <c r="D4" s="2298" t="s">
        <v>658</v>
      </c>
      <c r="E4" s="2459"/>
      <c r="F4" s="2460"/>
      <c r="G4" s="2460"/>
      <c r="H4" s="2460"/>
      <c r="I4" s="2460"/>
      <c r="J4" s="2460"/>
      <c r="K4" s="2460"/>
    </row>
    <row r="5" spans="1:11" ht="16.5">
      <c r="A5" s="2298" t="s">
        <v>657</v>
      </c>
      <c r="B5" s="2298">
        <f ca="1">SUM(D14:D23)</f>
        <v>180656</v>
      </c>
      <c r="C5" s="2298">
        <f ca="1">IF(B5=D14,结果表!H102,ROUND(B5*10000/$B$1,0))</f>
        <v>32341</v>
      </c>
      <c r="D5" s="2298" t="e">
        <f ca="1">ROUND(B5*10000/$B$2,0)</f>
        <v>#DIV/0!</v>
      </c>
      <c r="E5" s="2459"/>
      <c r="F5" s="2460"/>
      <c r="G5" s="2460"/>
      <c r="H5" s="2460"/>
      <c r="I5" s="2460"/>
      <c r="J5" s="2460"/>
      <c r="K5" s="2460"/>
    </row>
    <row r="6" spans="1:11" ht="16.5">
      <c r="A6" s="2298" t="s">
        <v>656</v>
      </c>
      <c r="B6" s="2298">
        <f ca="1">SUM(G14:G23)</f>
        <v>180656</v>
      </c>
      <c r="C6" s="2298">
        <f ca="1">IF(B6=G14,结果表!H108,ROUND(B6*10000/$B$1,0))</f>
        <v>32341</v>
      </c>
      <c r="D6" s="2298" t="e">
        <f ca="1">ROUND(B6*10000/$B$2,0)</f>
        <v>#DIV/0!</v>
      </c>
      <c r="E6" s="2459"/>
      <c r="F6" s="2460"/>
      <c r="G6" s="2460"/>
      <c r="H6" s="2460"/>
      <c r="I6" s="2460"/>
      <c r="J6" s="2460"/>
      <c r="K6" s="2460"/>
    </row>
    <row r="7" spans="1:11" ht="16.5">
      <c r="A7" s="2298" t="s">
        <v>664</v>
      </c>
      <c r="B7" s="2298">
        <f>SUM(H14:H23)</f>
        <v>0</v>
      </c>
      <c r="C7" s="2298" t="str">
        <f>IF(B7=H14,结果表!H110,ROUND(B7*10000/$B$1,0))</f>
        <v>——</v>
      </c>
      <c r="D7" s="2298" t="e">
        <f>ROUND(B7*10000/$B$2,0)</f>
        <v>#DIV/0!</v>
      </c>
      <c r="E7" s="2459"/>
      <c r="F7" s="2460"/>
      <c r="G7" s="2460"/>
      <c r="H7" s="2460"/>
      <c r="I7" s="2460"/>
      <c r="J7" s="2460"/>
      <c r="K7" s="2460"/>
    </row>
    <row r="8" spans="1:11" ht="16.5">
      <c r="A8" s="2298" t="s">
        <v>587</v>
      </c>
      <c r="B8" s="2298">
        <f>SUM(I14:I23)</f>
        <v>0</v>
      </c>
      <c r="C8" s="2298" t="str">
        <f>IF(B8=I14,结果表!H112,ROUND(B8*10000/$B$1,0))</f>
        <v>——</v>
      </c>
      <c r="D8" s="2298" t="e">
        <f>ROUND(B8*10000/$B$2,0)</f>
        <v>#DIV/0!</v>
      </c>
      <c r="E8" s="2459"/>
      <c r="F8" s="2460"/>
      <c r="G8" s="2460"/>
      <c r="H8" s="2460"/>
      <c r="I8" s="2460"/>
      <c r="J8" s="2460"/>
      <c r="K8" s="2460"/>
    </row>
    <row r="9" spans="1:11" ht="16.5">
      <c r="A9" s="2298" t="s">
        <v>655</v>
      </c>
      <c r="B9" s="1244"/>
      <c r="C9" s="2459"/>
      <c r="D9" s="2459"/>
      <c r="E9" s="2459"/>
      <c r="F9" s="2460"/>
      <c r="G9" s="2460"/>
      <c r="H9" s="2460"/>
      <c r="I9" s="2460"/>
      <c r="J9" s="2460"/>
      <c r="K9" s="2460"/>
    </row>
    <row r="10" spans="1:11" ht="16.5">
      <c r="A10" s="2298" t="s">
        <v>654</v>
      </c>
      <c r="B10" s="2298">
        <f>IF(E10="",0,ROUND(B1*(E10*365/G10)/10000,0))</f>
        <v>0</v>
      </c>
      <c r="C10" s="2298" t="s">
        <v>3350</v>
      </c>
      <c r="D10" s="2298" t="s">
        <v>3351</v>
      </c>
      <c r="E10" s="3134"/>
      <c r="F10" s="3138" t="s">
        <v>3352</v>
      </c>
      <c r="G10" s="3135"/>
      <c r="H10" s="2460"/>
      <c r="I10" s="2460"/>
      <c r="J10" s="2460"/>
      <c r="K10" s="2460"/>
    </row>
    <row r="11" spans="1:11" ht="16.5">
      <c r="A11" s="2298" t="s">
        <v>670</v>
      </c>
      <c r="B11" s="1244"/>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1" t="s">
        <v>669</v>
      </c>
      <c r="B13" s="2302" t="s">
        <v>666</v>
      </c>
      <c r="C13" s="2302" t="s">
        <v>668</v>
      </c>
      <c r="D13" s="2302" t="s">
        <v>667</v>
      </c>
      <c r="E13" s="2298" t="s">
        <v>659</v>
      </c>
      <c r="F13" s="2298" t="s">
        <v>658</v>
      </c>
      <c r="G13" s="2302" t="s">
        <v>652</v>
      </c>
      <c r="H13" s="2302" t="s">
        <v>663</v>
      </c>
      <c r="I13" s="2302" t="s">
        <v>651</v>
      </c>
      <c r="J13" s="2460"/>
      <c r="K13" s="2460"/>
    </row>
    <row r="14" spans="1:11" ht="16.5">
      <c r="A14" s="2303" t="s">
        <v>650</v>
      </c>
      <c r="B14" s="2304">
        <f>结果表!B118</f>
        <v>55858.959999999977</v>
      </c>
      <c r="C14" s="2304"/>
      <c r="D14" s="2304">
        <f ca="1">结果表!H118</f>
        <v>180656</v>
      </c>
      <c r="E14" s="2304">
        <f ca="1">ROUND(D14*10000/B14,0)</f>
        <v>32341</v>
      </c>
      <c r="F14" s="2304" t="e">
        <f ca="1">ROUND(D14*10000/C14,0)</f>
        <v>#DIV/0!</v>
      </c>
      <c r="G14" s="2304">
        <f ca="1">D14</f>
        <v>180656</v>
      </c>
      <c r="H14" s="2304"/>
      <c r="I14" s="2304"/>
      <c r="J14" s="2460"/>
      <c r="K14" s="2460"/>
    </row>
    <row r="15" spans="1:11" ht="16.5">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6.5">
      <c r="A16" s="2303" t="s">
        <v>648</v>
      </c>
      <c r="B16" s="2305"/>
      <c r="C16" s="2305"/>
      <c r="D16" s="2305"/>
      <c r="E16" s="2304" t="e">
        <f t="shared" si="0"/>
        <v>#DIV/0!</v>
      </c>
      <c r="F16" s="2304" t="e">
        <f t="shared" si="1"/>
        <v>#DIV/0!</v>
      </c>
      <c r="G16" s="1244"/>
      <c r="H16" s="1244"/>
      <c r="I16" s="2305"/>
      <c r="J16" s="2460"/>
      <c r="K16" s="2460"/>
    </row>
    <row r="17" spans="1:11" ht="16.5">
      <c r="A17" s="2303" t="s">
        <v>647</v>
      </c>
      <c r="B17" s="2305"/>
      <c r="C17" s="2305"/>
      <c r="D17" s="2305"/>
      <c r="E17" s="2304" t="e">
        <f t="shared" si="0"/>
        <v>#DIV/0!</v>
      </c>
      <c r="F17" s="2304" t="e">
        <f t="shared" si="1"/>
        <v>#DIV/0!</v>
      </c>
      <c r="G17" s="1244"/>
      <c r="H17" s="1244"/>
      <c r="I17" s="2305"/>
      <c r="J17" s="2460"/>
      <c r="K17" s="2460"/>
    </row>
    <row r="18" spans="1:11" ht="16.5">
      <c r="A18" s="2303" t="s">
        <v>646</v>
      </c>
      <c r="B18" s="2305"/>
      <c r="C18" s="2305"/>
      <c r="D18" s="2305"/>
      <c r="E18" s="2304" t="e">
        <f t="shared" si="0"/>
        <v>#DIV/0!</v>
      </c>
      <c r="F18" s="2304" t="e">
        <f t="shared" si="1"/>
        <v>#DIV/0!</v>
      </c>
      <c r="G18" s="2305"/>
      <c r="H18" s="2305"/>
      <c r="I18" s="2305"/>
      <c r="J18" s="2460"/>
      <c r="K18" s="2460"/>
    </row>
    <row r="19" spans="1:11" ht="16.5">
      <c r="A19" s="2303" t="s">
        <v>645</v>
      </c>
      <c r="B19" s="2305"/>
      <c r="C19" s="2305"/>
      <c r="D19" s="2305"/>
      <c r="E19" s="2304" t="e">
        <f t="shared" si="0"/>
        <v>#DIV/0!</v>
      </c>
      <c r="F19" s="2304" t="e">
        <f t="shared" si="1"/>
        <v>#DIV/0!</v>
      </c>
      <c r="G19" s="2305"/>
      <c r="H19" s="2305"/>
      <c r="I19" s="2305"/>
      <c r="J19" s="2460"/>
      <c r="K19" s="2460"/>
    </row>
    <row r="20" spans="1:11" ht="16.5">
      <c r="A20" s="2303" t="s">
        <v>644</v>
      </c>
      <c r="B20" s="2305"/>
      <c r="C20" s="2305"/>
      <c r="D20" s="2305"/>
      <c r="E20" s="2304" t="e">
        <f t="shared" si="0"/>
        <v>#DIV/0!</v>
      </c>
      <c r="F20" s="2304" t="e">
        <f t="shared" si="1"/>
        <v>#DIV/0!</v>
      </c>
      <c r="G20" s="2305"/>
      <c r="H20" s="2305"/>
      <c r="I20" s="2305"/>
      <c r="J20" s="2460"/>
      <c r="K20" s="2460"/>
    </row>
    <row r="21" spans="1:11" ht="16.5">
      <c r="A21" s="2303" t="s">
        <v>643</v>
      </c>
      <c r="B21" s="2305"/>
      <c r="C21" s="2305"/>
      <c r="D21" s="2305"/>
      <c r="E21" s="2304" t="e">
        <f t="shared" si="0"/>
        <v>#DIV/0!</v>
      </c>
      <c r="F21" s="2304" t="e">
        <f t="shared" si="1"/>
        <v>#DIV/0!</v>
      </c>
      <c r="G21" s="2305"/>
      <c r="H21" s="2305"/>
      <c r="I21" s="2305"/>
      <c r="J21" s="2460"/>
      <c r="K21" s="2460"/>
    </row>
    <row r="22" spans="1:11" ht="16.5">
      <c r="A22" s="2303" t="s">
        <v>642</v>
      </c>
      <c r="B22" s="2305"/>
      <c r="C22" s="2305"/>
      <c r="D22" s="2305"/>
      <c r="E22" s="2304" t="e">
        <f t="shared" si="0"/>
        <v>#DIV/0!</v>
      </c>
      <c r="F22" s="2304" t="e">
        <f t="shared" si="1"/>
        <v>#DIV/0!</v>
      </c>
      <c r="G22" s="2305"/>
      <c r="H22" s="2305"/>
      <c r="I22" s="2305"/>
      <c r="J22" s="2460"/>
      <c r="K22" s="2460"/>
    </row>
    <row r="23" spans="1:11" ht="16.5">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H38" sqref="H38"/>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t="s">
        <v>3544</v>
      </c>
      <c r="D1" s="646"/>
      <c r="E1" s="646"/>
      <c r="F1" s="1621" t="s">
        <v>1263</v>
      </c>
      <c r="G1" s="1453" t="s">
        <v>3421</v>
      </c>
      <c r="H1" s="1621" t="str">
        <f>IF(G1="现房","——","估价对象范围")</f>
        <v>——</v>
      </c>
      <c r="I1" s="1622"/>
    </row>
    <row r="2" spans="1:12" ht="21.75" customHeight="1" thickBot="1">
      <c r="A2" s="3401" t="str">
        <f>项目基本情况!S2</f>
        <v>北京市朝阳区望京东路4号院1号楼房地产</v>
      </c>
      <c r="B2" s="3402"/>
      <c r="C2" s="3402"/>
      <c r="D2" s="3402"/>
      <c r="E2" s="3402"/>
      <c r="F2" s="3402"/>
      <c r="G2" s="3402"/>
      <c r="H2" s="3402"/>
      <c r="I2" s="3403"/>
    </row>
    <row r="3" spans="1:12" ht="13">
      <c r="A3" s="3405" t="s">
        <v>1264</v>
      </c>
      <c r="B3" s="3406"/>
      <c r="C3" s="3406"/>
      <c r="D3" s="3406"/>
      <c r="E3" s="3406"/>
      <c r="F3" s="3406"/>
      <c r="G3" s="3406"/>
      <c r="H3" s="3406"/>
      <c r="I3" s="3406"/>
    </row>
    <row r="4" spans="1:12" ht="14">
      <c r="A4" s="1624" t="s">
        <v>1265</v>
      </c>
      <c r="B4" s="1625" t="s">
        <v>1266</v>
      </c>
      <c r="C4" s="1626" t="s">
        <v>3694</v>
      </c>
      <c r="D4" s="1626" t="s">
        <v>3550</v>
      </c>
      <c r="E4" s="3410" t="s">
        <v>1267</v>
      </c>
      <c r="F4" s="3411"/>
      <c r="G4" s="3411"/>
      <c r="H4" s="3411"/>
      <c r="I4" s="3412"/>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349" t="s">
        <v>1268</v>
      </c>
      <c r="B5" s="3404">
        <v>25</v>
      </c>
      <c r="C5" s="3407"/>
      <c r="D5" s="3395"/>
      <c r="E5" s="123" t="s">
        <v>1269</v>
      </c>
      <c r="F5" s="1627"/>
      <c r="G5" s="1627"/>
      <c r="H5" s="1627"/>
      <c r="I5" s="1281"/>
    </row>
    <row r="6" spans="1:12" ht="13">
      <c r="A6" s="3349"/>
      <c r="B6" s="3404"/>
      <c r="C6" s="3409"/>
      <c r="D6" s="3395"/>
      <c r="E6" s="123" t="s">
        <v>1270</v>
      </c>
      <c r="F6" s="1627"/>
      <c r="G6" s="1627"/>
      <c r="H6" s="1627"/>
      <c r="I6" s="1281"/>
    </row>
    <row r="7" spans="1:12" ht="13">
      <c r="A7" s="3349"/>
      <c r="B7" s="3404"/>
      <c r="C7" s="3408"/>
      <c r="D7" s="3395"/>
      <c r="E7" s="123" t="s">
        <v>1271</v>
      </c>
      <c r="F7" s="1627"/>
      <c r="G7" s="1627"/>
      <c r="H7" s="1627"/>
      <c r="I7" s="1281"/>
    </row>
    <row r="8" spans="1:12" ht="13">
      <c r="A8" s="3349" t="s">
        <v>1272</v>
      </c>
      <c r="B8" s="3404">
        <v>15</v>
      </c>
      <c r="C8" s="3407"/>
      <c r="D8" s="3395"/>
      <c r="E8" s="123" t="s">
        <v>1273</v>
      </c>
      <c r="F8" s="1627"/>
      <c r="G8" s="1627"/>
      <c r="H8" s="1627"/>
      <c r="I8" s="1281"/>
    </row>
    <row r="9" spans="1:12" ht="13">
      <c r="A9" s="3349"/>
      <c r="B9" s="3404"/>
      <c r="C9" s="3408"/>
      <c r="D9" s="3395"/>
      <c r="E9" s="123" t="s">
        <v>1274</v>
      </c>
      <c r="F9" s="1627"/>
      <c r="G9" s="1627"/>
      <c r="H9" s="1627"/>
      <c r="I9" s="1281"/>
    </row>
    <row r="10" spans="1:12" ht="13">
      <c r="A10" s="3349" t="s">
        <v>1275</v>
      </c>
      <c r="B10" s="3404">
        <v>15</v>
      </c>
      <c r="C10" s="3407"/>
      <c r="D10" s="3395"/>
      <c r="E10" s="123" t="s">
        <v>1276</v>
      </c>
      <c r="F10" s="1627"/>
      <c r="G10" s="1627"/>
      <c r="H10" s="1627"/>
      <c r="I10" s="1281"/>
    </row>
    <row r="11" spans="1:12" ht="13">
      <c r="A11" s="3349"/>
      <c r="B11" s="3404"/>
      <c r="C11" s="3408"/>
      <c r="D11" s="3395"/>
      <c r="E11" s="123" t="s">
        <v>1277</v>
      </c>
      <c r="F11" s="1627"/>
      <c r="G11" s="1627"/>
      <c r="H11" s="1627"/>
      <c r="I11" s="1281"/>
    </row>
    <row r="12" spans="1:12" ht="13">
      <c r="A12" s="3349" t="s">
        <v>1278</v>
      </c>
      <c r="B12" s="3404">
        <v>15</v>
      </c>
      <c r="C12" s="3407"/>
      <c r="D12" s="3395"/>
      <c r="E12" s="123" t="s">
        <v>1279</v>
      </c>
      <c r="F12" s="1627"/>
      <c r="G12" s="1627"/>
      <c r="H12" s="1627"/>
      <c r="I12" s="1281"/>
    </row>
    <row r="13" spans="1:12" ht="13">
      <c r="A13" s="3349"/>
      <c r="B13" s="3404"/>
      <c r="C13" s="3408"/>
      <c r="D13" s="3395"/>
      <c r="E13" s="123" t="s">
        <v>1280</v>
      </c>
      <c r="F13" s="1627"/>
      <c r="G13" s="1627"/>
      <c r="H13" s="1627"/>
      <c r="I13" s="1281"/>
    </row>
    <row r="14" spans="1:12" ht="13">
      <c r="A14" s="3349" t="s">
        <v>1281</v>
      </c>
      <c r="B14" s="3404">
        <v>30</v>
      </c>
      <c r="C14" s="3407">
        <v>7</v>
      </c>
      <c r="D14" s="3395">
        <v>3</v>
      </c>
      <c r="E14" s="123" t="s">
        <v>1282</v>
      </c>
      <c r="F14" s="1627"/>
      <c r="G14" s="1627"/>
      <c r="H14" s="1627"/>
      <c r="I14" s="1281"/>
    </row>
    <row r="15" spans="1:12" ht="13">
      <c r="A15" s="3349"/>
      <c r="B15" s="3404"/>
      <c r="C15" s="3409"/>
      <c r="D15" s="3395"/>
      <c r="E15" s="123" t="s">
        <v>1283</v>
      </c>
      <c r="F15" s="1627"/>
      <c r="G15" s="1627"/>
      <c r="H15" s="1627"/>
      <c r="I15" s="1281"/>
    </row>
    <row r="16" spans="1:12" ht="13">
      <c r="A16" s="3349"/>
      <c r="B16" s="3404"/>
      <c r="C16" s="3408"/>
      <c r="D16" s="3395"/>
      <c r="E16" s="123" t="s">
        <v>1284</v>
      </c>
      <c r="F16" s="1627"/>
      <c r="G16" s="1627"/>
      <c r="H16" s="1627"/>
      <c r="I16" s="1281"/>
    </row>
    <row r="17" spans="1:36" ht="14">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426" t="s">
        <v>2131</v>
      </c>
      <c r="F18" s="3427"/>
      <c r="G18" s="3427"/>
      <c r="H18" s="3427"/>
      <c r="I18" s="3427"/>
      <c r="K18" s="294" t="s">
        <v>1289</v>
      </c>
      <c r="L18" s="294">
        <f>IF(C1="",'数据-汇总表'!E3,SUMIF(项目类型,C1,'数据-汇总表'!E17:E26)+SUMIF(项目类型,C1,'数据-汇总表'!I17:I26))</f>
        <v>55858.959999999977</v>
      </c>
      <c r="M18" s="294">
        <f>IF(C1="",'数据-汇总表'!E3,SUMIF(项目类型,C1,'数据-汇总表'!E17:E26))</f>
        <v>55858.959999999977</v>
      </c>
    </row>
    <row r="19" spans="1:36" ht="14">
      <c r="A19" s="1630" t="s">
        <v>1290</v>
      </c>
      <c r="B19" s="1631" t="s">
        <v>1291</v>
      </c>
      <c r="C19" s="126">
        <f ca="1">SUMIF(INDIRECT("'"&amp;C4&amp;"'"&amp;"!A:A"),结果表!B19,INDIRECT("'"&amp;C4&amp;"'"&amp;"!B:B"))</f>
        <v>210465</v>
      </c>
      <c r="D19" s="127">
        <f ca="1">SUMIF(INDIRECT("'"&amp;D4&amp;"'"&amp;"!A:A"),结果表!B19,INDIRECT("'"&amp;D4&amp;"'"&amp;"!B:B"))</f>
        <v>111100</v>
      </c>
      <c r="E19" s="1630" t="s">
        <v>1292</v>
      </c>
      <c r="F19" s="1631" t="s">
        <v>1291</v>
      </c>
      <c r="G19" s="128">
        <f ca="1">ROUND(C19*$C$18+D19*$D$18,0)</f>
        <v>180656</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37678</v>
      </c>
      <c r="D20" s="130">
        <f ca="1">SUMIF(INDIRECT("'"&amp;D4&amp;"'"&amp;"!A:A"),结果表!B20,INDIRECT("'"&amp;D4&amp;"'"&amp;"!B:B"))</f>
        <v>19889</v>
      </c>
      <c r="E20" s="1633"/>
      <c r="F20" s="43" t="s">
        <v>1295</v>
      </c>
      <c r="G20" s="131">
        <f ca="1">ROUND(C20*$C$18+D20*$D$18,0)</f>
        <v>32341</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0.89437443744374434</v>
      </c>
      <c r="E22" s="121"/>
      <c r="F22" s="121"/>
      <c r="G22" s="121"/>
      <c r="H22" s="121"/>
      <c r="I22" s="121"/>
    </row>
    <row r="23" spans="1:36" ht="13" thickBot="1">
      <c r="A23" s="646"/>
      <c r="B23" s="646"/>
      <c r="C23" s="646"/>
      <c r="D23" s="646"/>
      <c r="E23" s="121"/>
      <c r="F23" s="121"/>
      <c r="G23" s="121"/>
      <c r="H23" s="121"/>
      <c r="I23" s="121"/>
    </row>
    <row r="24" spans="1:36" ht="14">
      <c r="A24" s="3419" t="s">
        <v>1299</v>
      </c>
      <c r="B24" s="1631" t="s">
        <v>1291</v>
      </c>
      <c r="C24" s="128">
        <f>IF(B30=0,0,D30)</f>
        <v>0</v>
      </c>
      <c r="D24" s="1637"/>
      <c r="E24" s="121"/>
      <c r="F24" s="121" t="s">
        <v>3783</v>
      </c>
      <c r="G24" s="3221" t="s">
        <v>3697</v>
      </c>
      <c r="H24" s="121">
        <v>32313</v>
      </c>
      <c r="I24" s="121"/>
    </row>
    <row r="25" spans="1:36" ht="14">
      <c r="A25" s="3420"/>
      <c r="B25" s="43" t="s">
        <v>1295</v>
      </c>
      <c r="C25" s="133">
        <f>IF(B30=0,0,C30)</f>
        <v>0</v>
      </c>
      <c r="D25" s="1638"/>
      <c r="E25" s="121"/>
      <c r="F25" s="121"/>
      <c r="G25" s="3221" t="s">
        <v>3698</v>
      </c>
      <c r="H25" s="121">
        <v>180498</v>
      </c>
      <c r="I25" s="121"/>
    </row>
    <row r="26" spans="1:36" ht="13.5" customHeight="1">
      <c r="A26" s="1639" t="s">
        <v>1300</v>
      </c>
      <c r="B26" s="134" t="s">
        <v>1301</v>
      </c>
      <c r="C26" s="134" t="s">
        <v>1302</v>
      </c>
      <c r="D26" s="135" t="s">
        <v>1303</v>
      </c>
      <c r="E26" s="121"/>
      <c r="F26" s="3245" t="s">
        <v>3784</v>
      </c>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f ca="1">IF(D32="总价",G19-C24,G20-C25)</f>
        <v>180656</v>
      </c>
      <c r="D32" s="1641" t="s">
        <v>3696</v>
      </c>
      <c r="E32" s="121"/>
      <c r="F32" s="121"/>
      <c r="G32" s="121"/>
      <c r="H32" s="121"/>
      <c r="I32" s="121"/>
    </row>
    <row r="33" spans="1:15" ht="14">
      <c r="A33" s="740" t="s">
        <v>1306</v>
      </c>
      <c r="B33" s="123"/>
      <c r="C33" s="1642" t="s">
        <v>3695</v>
      </c>
      <c r="D33" s="1643"/>
      <c r="E33" s="1644" t="s">
        <v>1307</v>
      </c>
      <c r="F33" s="1645" t="str">
        <f>IF(D32="楼面单价","取值（单价）","取值（总价）")</f>
        <v>取值（总价）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396" t="s">
        <v>1312</v>
      </c>
      <c r="B36" s="1652" t="s">
        <v>1313</v>
      </c>
      <c r="C36" s="137"/>
      <c r="D36" s="1653"/>
      <c r="E36" s="1567"/>
      <c r="F36" s="1654"/>
      <c r="G36" s="121"/>
      <c r="H36" s="121"/>
      <c r="I36" s="121"/>
    </row>
    <row r="37" spans="1:15" ht="14.5" thickBot="1">
      <c r="A37" s="3397"/>
      <c r="B37" s="1555" t="s">
        <v>1314</v>
      </c>
      <c r="C37" s="139"/>
      <c r="D37" s="1071"/>
      <c r="E37" s="1071"/>
      <c r="F37" s="1654"/>
      <c r="G37" s="121"/>
      <c r="H37" s="121"/>
      <c r="I37" s="121"/>
    </row>
    <row r="38" spans="1:15" ht="14.5" thickBot="1">
      <c r="A38" s="3398"/>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416" t="s">
        <v>1326</v>
      </c>
      <c r="B45" s="3417"/>
      <c r="C45" s="3418"/>
      <c r="D45" s="147">
        <f ca="1">ROUND(H101*F45,0)</f>
        <v>180656</v>
      </c>
      <c r="E45" s="148" t="s">
        <v>1327</v>
      </c>
      <c r="F45" s="149">
        <v>1</v>
      </c>
      <c r="G45" s="150" t="s">
        <v>1328</v>
      </c>
      <c r="H45" s="121"/>
      <c r="I45" s="121"/>
      <c r="J45" s="3336" t="s">
        <v>1329</v>
      </c>
      <c r="K45" s="3336"/>
      <c r="L45" s="3336"/>
      <c r="M45" s="3336"/>
      <c r="N45" s="3336"/>
      <c r="O45" s="3336"/>
    </row>
    <row r="46" spans="1:15" ht="14.25" customHeight="1">
      <c r="A46" s="3413" t="s">
        <v>1330</v>
      </c>
      <c r="B46" s="3414"/>
      <c r="C46" s="3414"/>
      <c r="D46" s="3414"/>
      <c r="E46" s="3414"/>
      <c r="F46" s="3414"/>
      <c r="G46" s="3415"/>
      <c r="H46" s="1668"/>
      <c r="I46" s="151"/>
      <c r="J46" s="2308">
        <v>1</v>
      </c>
      <c r="K46" s="3337" t="s">
        <v>1331</v>
      </c>
      <c r="L46" s="3337"/>
      <c r="M46" s="3338"/>
      <c r="N46" s="3338"/>
      <c r="O46" s="3338"/>
    </row>
    <row r="47" spans="1:15" ht="12" customHeight="1">
      <c r="A47" s="152" t="s">
        <v>1332</v>
      </c>
      <c r="B47" s="153"/>
      <c r="C47" s="154"/>
      <c r="D47" s="1024" t="s">
        <v>1333</v>
      </c>
      <c r="E47" s="294" t="s">
        <v>1334</v>
      </c>
      <c r="F47" s="155" t="s">
        <v>1335</v>
      </c>
      <c r="G47" s="2331" t="s">
        <v>1336</v>
      </c>
      <c r="H47" s="2332"/>
      <c r="I47" s="151"/>
      <c r="J47" s="2308">
        <v>2</v>
      </c>
      <c r="K47" s="3337" t="s">
        <v>1337</v>
      </c>
      <c r="L47" s="3337"/>
      <c r="M47" s="3339">
        <f>'数据-取费表'!B2</f>
        <v>45901</v>
      </c>
      <c r="N47" s="3339"/>
      <c r="O47" s="3339"/>
    </row>
    <row r="48" spans="1:15" ht="26">
      <c r="A48" s="3399" t="s">
        <v>1338</v>
      </c>
      <c r="B48" s="3400"/>
      <c r="C48" s="3400"/>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337" t="s">
        <v>1340</v>
      </c>
      <c r="L48" s="3337"/>
      <c r="M48" s="3340">
        <f ca="1">H101</f>
        <v>180656</v>
      </c>
      <c r="N48" s="3340"/>
      <c r="O48" s="3340"/>
    </row>
    <row r="49" spans="1:35" ht="25.5" customHeight="1">
      <c r="A49" s="2152" t="s">
        <v>1341</v>
      </c>
      <c r="B49" s="3385" t="s">
        <v>1342</v>
      </c>
      <c r="C49" s="3385"/>
      <c r="D49" s="1478">
        <v>0</v>
      </c>
      <c r="E49" s="316" t="s">
        <v>1343</v>
      </c>
      <c r="F49" s="2232" t="s">
        <v>28</v>
      </c>
      <c r="G49" s="3368"/>
      <c r="H49" s="2134" t="s">
        <v>2134</v>
      </c>
      <c r="I49" s="2135"/>
      <c r="J49" s="2308">
        <v>4</v>
      </c>
      <c r="K49" s="3337" t="str">
        <f>IF(项目基本情况!E8="房地产抵押价值","房地产抵押价值","抵押担保权已注销时的房地产抵押价值")</f>
        <v>房地产抵押价值</v>
      </c>
      <c r="L49" s="3337"/>
      <c r="M49" s="3340">
        <f ca="1">IF(项目基本情况!E8="房地产抵押价值",H107,H109)</f>
        <v>180656</v>
      </c>
      <c r="N49" s="3340"/>
      <c r="O49" s="3340"/>
    </row>
    <row r="50" spans="1:35" ht="25.5" customHeight="1">
      <c r="A50" s="2336"/>
      <c r="B50" s="3385" t="s">
        <v>1344</v>
      </c>
      <c r="C50" s="3385"/>
      <c r="D50" s="2189"/>
      <c r="E50" s="323"/>
      <c r="F50" s="2232"/>
      <c r="G50" s="3369"/>
      <c r="H50" s="2136" t="s">
        <v>2135</v>
      </c>
      <c r="I50" s="2135"/>
      <c r="J50" s="3336" t="s">
        <v>1345</v>
      </c>
      <c r="K50" s="3336"/>
      <c r="L50" s="3336"/>
      <c r="M50" s="3336"/>
      <c r="N50" s="3336"/>
      <c r="O50" s="3336"/>
    </row>
    <row r="51" spans="1:35" ht="20.5" customHeight="1">
      <c r="A51" s="2337"/>
      <c r="B51" s="3385" t="s">
        <v>1346</v>
      </c>
      <c r="C51" s="3385"/>
      <c r="D51" s="1024"/>
      <c r="E51" s="319"/>
      <c r="F51" s="2232"/>
      <c r="G51" s="3370"/>
      <c r="H51" s="2136" t="s">
        <v>2136</v>
      </c>
      <c r="I51" s="2135"/>
      <c r="J51" s="2309" t="s">
        <v>1347</v>
      </c>
      <c r="K51" s="3337" t="s">
        <v>1348</v>
      </c>
      <c r="L51" s="3337"/>
      <c r="M51" s="2309" t="s">
        <v>1349</v>
      </c>
      <c r="N51" s="2309" t="s">
        <v>1350</v>
      </c>
      <c r="O51" s="2309" t="s">
        <v>1351</v>
      </c>
    </row>
    <row r="52" spans="1:35" ht="24" customHeight="1">
      <c r="A52" s="2153" t="s">
        <v>1352</v>
      </c>
      <c r="B52" s="3385" t="s">
        <v>1353</v>
      </c>
      <c r="C52" s="3385"/>
      <c r="D52" s="1024">
        <f ca="1">ROUND(D45*'数据-取费表'!B41/(1+'数据-取费表'!C42),0)</f>
        <v>9635</v>
      </c>
      <c r="E52" s="1256" t="s">
        <v>1354</v>
      </c>
      <c r="F52" s="2338">
        <f>'数据-取费表'!B41</f>
        <v>5.6000000000000001E-2</v>
      </c>
      <c r="G52" s="2339"/>
      <c r="H52" s="2329"/>
      <c r="I52" s="1669"/>
      <c r="J52" s="2308">
        <v>1</v>
      </c>
      <c r="K52" s="3362" t="s">
        <v>1355</v>
      </c>
      <c r="L52" s="3362"/>
      <c r="M52" s="2310" t="b">
        <f>D48</f>
        <v>0</v>
      </c>
      <c r="N52" s="2308" t="str">
        <f>E48</f>
        <v>销售额×税（费）率</v>
      </c>
      <c r="O52" s="2311">
        <f>F48</f>
        <v>5.6000000000000001E-2</v>
      </c>
    </row>
    <row r="53" spans="1:35" ht="12" customHeight="1">
      <c r="A53" s="2153" t="s">
        <v>1356</v>
      </c>
      <c r="B53" s="3386" t="s">
        <v>2287</v>
      </c>
      <c r="C53" s="3387"/>
      <c r="D53" s="1024">
        <f ca="1">ROUND(D45*'数据-取费表'!B41/(1+'数据-取费表'!C42),0)</f>
        <v>9635</v>
      </c>
      <c r="E53" s="1256" t="s">
        <v>1354</v>
      </c>
      <c r="F53" s="2338">
        <f>'数据-取费表'!B41</f>
        <v>5.6000000000000001E-2</v>
      </c>
      <c r="G53" s="2339"/>
      <c r="H53" s="2329"/>
      <c r="I53" s="1669"/>
      <c r="J53" s="2308">
        <v>2</v>
      </c>
      <c r="K53" s="3362" t="s">
        <v>1357</v>
      </c>
      <c r="L53" s="3362"/>
      <c r="M53" s="2310">
        <f t="shared" ref="M53:O54" ca="1" si="0">D55</f>
        <v>90</v>
      </c>
      <c r="N53" s="2308" t="str">
        <f t="shared" si="0"/>
        <v>销售额×税（费）率</v>
      </c>
      <c r="O53" s="2311" t="str">
        <f t="shared" si="0"/>
        <v>免征</v>
      </c>
    </row>
    <row r="54" spans="1:35" ht="12" customHeight="1">
      <c r="A54" s="2153" t="s">
        <v>1358</v>
      </c>
      <c r="B54" s="3386" t="s">
        <v>2288</v>
      </c>
      <c r="C54" s="3387"/>
      <c r="D54" s="1024">
        <f ca="1">C68</f>
        <v>9635</v>
      </c>
      <c r="E54" s="319" t="s">
        <v>1359</v>
      </c>
      <c r="F54" s="2338">
        <f>'数据-取费表'!B41</f>
        <v>5.6000000000000001E-2</v>
      </c>
      <c r="G54" s="2339"/>
      <c r="H54" s="2340"/>
      <c r="I54" s="1669"/>
      <c r="J54" s="2308">
        <v>3</v>
      </c>
      <c r="K54" s="3362" t="s">
        <v>1360</v>
      </c>
      <c r="L54" s="3362"/>
      <c r="M54" s="2310">
        <f t="shared" ca="1" si="0"/>
        <v>102251</v>
      </c>
      <c r="N54" s="2308" t="str">
        <f t="shared" si="0"/>
        <v>增值额×税（费）率</v>
      </c>
      <c r="O54" s="2312" t="str">
        <f t="shared" si="0"/>
        <v>免征</v>
      </c>
    </row>
    <row r="55" spans="1:35" ht="24" customHeight="1">
      <c r="A55" s="3422" t="s">
        <v>1361</v>
      </c>
      <c r="B55" s="3400"/>
      <c r="C55" s="3400"/>
      <c r="D55" s="12">
        <f ca="1">IF(H55="个人住宅",0,ROUND(D45*I55,0))</f>
        <v>90</v>
      </c>
      <c r="E55" s="1256" t="s">
        <v>1362</v>
      </c>
      <c r="F55" s="2338" t="str">
        <f>IF(H55="正常",I55,"免征")</f>
        <v>免征</v>
      </c>
      <c r="G55" s="2339"/>
      <c r="H55" s="2335"/>
      <c r="I55" s="157">
        <f>'数据-取费表'!B49</f>
        <v>5.0000000000000001E-4</v>
      </c>
      <c r="J55" s="2308">
        <f>IF(H59="非个人房产","",4)</f>
        <v>4</v>
      </c>
      <c r="K55" s="3362" t="str">
        <f>IF(H59="非个人房产","——","个人所得税")</f>
        <v>个人所得税</v>
      </c>
      <c r="L55" s="3362"/>
      <c r="M55" s="2313">
        <f ca="1">D59</f>
        <v>1721</v>
      </c>
      <c r="N55" s="1883" t="str">
        <f>E59</f>
        <v>差额计税</v>
      </c>
      <c r="O55" s="2314">
        <f>F59</f>
        <v>0.01</v>
      </c>
    </row>
    <row r="56" spans="1:35" ht="26">
      <c r="A56" s="3422" t="s">
        <v>1363</v>
      </c>
      <c r="B56" s="3400"/>
      <c r="C56" s="3400"/>
      <c r="D56" s="12">
        <f ca="1">IF(H56="个人住宅",D57,D58)</f>
        <v>102251</v>
      </c>
      <c r="E56" s="1256" t="s">
        <v>1364</v>
      </c>
      <c r="F56" s="2338" t="str">
        <f>IF(H56="正常",F58,"免征")</f>
        <v>免征</v>
      </c>
      <c r="G56" s="2341" t="s">
        <v>1365</v>
      </c>
      <c r="H56" s="2342"/>
      <c r="I56" s="1670"/>
      <c r="J56" s="2308" t="str">
        <f>IF(项目基本情况!K6="上海银行",IF(J55="",4,J55+1),"")</f>
        <v/>
      </c>
      <c r="K56" s="3343" t="str">
        <f>IF(项目基本情况!K6="上海银行","其他处置费用","")</f>
        <v/>
      </c>
      <c r="L56" s="3344"/>
      <c r="M56" s="2310" t="str">
        <f>IF(项目基本情况!K6="上海银行",M69,"")</f>
        <v/>
      </c>
      <c r="N56" s="3343" t="str">
        <f>IF(项目基本情况!K6="上海银行","包含处置中涉及的律师、诉讼、拍卖、评估等费用","")</f>
        <v/>
      </c>
      <c r="O56" s="3346"/>
    </row>
    <row r="57" spans="1:35" ht="13">
      <c r="A57" s="2153" t="s">
        <v>1341</v>
      </c>
      <c r="B57" s="3386" t="s">
        <v>1366</v>
      </c>
      <c r="C57" s="3387"/>
      <c r="D57" s="1478">
        <v>0</v>
      </c>
      <c r="E57" s="316" t="s">
        <v>1343</v>
      </c>
      <c r="F57" s="294"/>
      <c r="G57" s="2339"/>
      <c r="H57" s="2343"/>
      <c r="I57" s="1670"/>
      <c r="J57" s="3362">
        <f>IF(AND(J55="",J56=""),4,IF(项目基本情况!K6="上海银行",结果表!J56+1,结果表!J55+1))</f>
        <v>5</v>
      </c>
      <c r="K57" s="3362" t="s">
        <v>1367</v>
      </c>
      <c r="L57" s="2315" t="s">
        <v>1368</v>
      </c>
      <c r="M57" s="2316"/>
      <c r="N57" s="2317">
        <f ca="1">SUMIF(M52:M56,"&lt;9e307")</f>
        <v>104062</v>
      </c>
      <c r="O57" s="2318"/>
      <c r="P57" s="2462">
        <f ca="1">N57/M49</f>
        <v>0.57602293862368259</v>
      </c>
    </row>
    <row r="58" spans="1:35" ht="26">
      <c r="A58" s="2153" t="s">
        <v>1352</v>
      </c>
      <c r="B58" s="3386" t="s">
        <v>1369</v>
      </c>
      <c r="C58" s="3385"/>
      <c r="D58" s="12">
        <f ca="1">IF(H58="转让取得",C81,C97)</f>
        <v>102251</v>
      </c>
      <c r="E58" s="1256" t="s">
        <v>1364</v>
      </c>
      <c r="F58" s="294" t="s">
        <v>28</v>
      </c>
      <c r="G58" s="2339"/>
      <c r="H58" s="2342"/>
      <c r="I58" s="1670"/>
      <c r="J58" s="3362"/>
      <c r="K58" s="3362"/>
      <c r="L58" s="2315" t="s">
        <v>1370</v>
      </c>
      <c r="M58" s="2319"/>
      <c r="N58" s="2320" t="str">
        <f ca="1">NUMBERSTRING(INT(N57*10000),2)&amp;"元整"</f>
        <v>壹拾亿肆仟零陆拾贰万元整</v>
      </c>
      <c r="O58" s="2321"/>
    </row>
    <row r="59" spans="1:35" ht="26.5" thickBot="1">
      <c r="A59" s="3366" t="s">
        <v>1371</v>
      </c>
      <c r="B59" s="3367"/>
      <c r="C59" s="3367"/>
      <c r="D59" s="2344">
        <f ca="1">IF(H59="非个人房产","——",IF(H59="个人住宅（满五唯一有凭证）",0,IF(H59="个人其他（无凭证）",ROUND(D45*F59,0),ROUND(C67*F59,0))))</f>
        <v>1721</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8"/>
      <c r="I59" s="2137" t="s">
        <v>2137</v>
      </c>
      <c r="J59" s="3364">
        <f>J57+1</f>
        <v>6</v>
      </c>
      <c r="K59" s="3362" t="s">
        <v>1372</v>
      </c>
      <c r="L59" s="2308" t="s">
        <v>1368</v>
      </c>
      <c r="M59" s="2322"/>
      <c r="N59" s="2323">
        <f ca="1">M49-N57</f>
        <v>76594</v>
      </c>
      <c r="O59" s="2324"/>
    </row>
    <row r="60" spans="1:35" ht="12" customHeight="1">
      <c r="A60" s="1671"/>
      <c r="B60" s="646"/>
      <c r="C60" s="646"/>
      <c r="D60" s="646"/>
      <c r="E60" s="1466"/>
      <c r="F60" s="1670"/>
      <c r="G60" s="1670"/>
      <c r="H60" s="151"/>
      <c r="I60" s="121"/>
      <c r="J60" s="3365"/>
      <c r="K60" s="3362"/>
      <c r="L60" s="2315" t="s">
        <v>1370</v>
      </c>
      <c r="M60" s="2319"/>
      <c r="N60" s="2320" t="str">
        <f ca="1">NUMBERSTRING(INT(N59*10000),2)&amp;"元整"</f>
        <v>柒亿陆仟伍佰玖拾肆万元整</v>
      </c>
      <c r="O60" s="2321"/>
    </row>
    <row r="61" spans="1:35" ht="13.5" thickBot="1">
      <c r="A61" s="3421" t="s">
        <v>1373</v>
      </c>
      <c r="B61" s="3421"/>
      <c r="C61" s="3421"/>
      <c r="D61" s="3421"/>
      <c r="E61" s="3421"/>
      <c r="F61" s="1670"/>
      <c r="G61" s="1670"/>
      <c r="H61" s="151"/>
      <c r="I61" s="121"/>
      <c r="J61" s="2308">
        <f>J59+1</f>
        <v>7</v>
      </c>
      <c r="K61" s="3362" t="s">
        <v>1374</v>
      </c>
      <c r="L61" s="3362"/>
      <c r="M61" s="2325"/>
      <c r="N61" s="2326">
        <f ca="1">ROUND(N59*10000/'数据-汇总表'!E3,0)</f>
        <v>13712</v>
      </c>
      <c r="O61" s="2327"/>
    </row>
    <row r="62" spans="1:35" ht="13">
      <c r="A62" s="3381" t="s">
        <v>1375</v>
      </c>
      <c r="B62" s="3382"/>
      <c r="C62" s="1865"/>
      <c r="D62" s="1865" t="s">
        <v>1376</v>
      </c>
      <c r="E62" s="158" t="s">
        <v>1377</v>
      </c>
      <c r="F62" s="1670"/>
      <c r="G62" s="1670"/>
      <c r="H62" s="151"/>
      <c r="I62" s="121"/>
    </row>
    <row r="63" spans="1:35" ht="13">
      <c r="A63" s="165" t="s">
        <v>330</v>
      </c>
      <c r="B63" s="159" t="s">
        <v>1378</v>
      </c>
      <c r="C63" s="2348">
        <f ca="1">ROUND((C64+C65)/(1+'数据-取费表'!C42),0)</f>
        <v>172053</v>
      </c>
      <c r="D63" s="159"/>
      <c r="E63" s="160"/>
      <c r="F63" s="1670"/>
      <c r="G63" s="1670"/>
      <c r="H63" s="151"/>
      <c r="I63" s="121"/>
      <c r="J63" s="3345" t="s">
        <v>1379</v>
      </c>
      <c r="K63" s="1245" t="s">
        <v>1380</v>
      </c>
      <c r="L63" s="1245">
        <f ca="1">IF(M49&gt;10000,M49*0.5%,IF(AND(M49&gt;1000,M49&lt;=10000),M49*1%,IF(AND(M49&gt;100,M49&lt;=1000),M49*3%,IF(AND(M49&gt;10,M49&lt;=100),M49*5%,M49*8%))))</f>
        <v>903.28</v>
      </c>
      <c r="M63" s="294">
        <f ca="1">ROUND(L63,1)</f>
        <v>903.3</v>
      </c>
      <c r="N63" s="2328"/>
      <c r="Z63" s="1623"/>
      <c r="AI63" s="1561"/>
    </row>
    <row r="64" spans="1:35" ht="14.25" customHeight="1">
      <c r="A64" s="161" t="s">
        <v>325</v>
      </c>
      <c r="B64" s="162" t="s">
        <v>1381</v>
      </c>
      <c r="C64" s="2349">
        <f ca="1">D45</f>
        <v>180656</v>
      </c>
      <c r="D64" s="162" t="s">
        <v>26</v>
      </c>
      <c r="E64" s="164"/>
      <c r="F64" s="1670"/>
      <c r="G64" s="1670"/>
      <c r="H64" s="151"/>
      <c r="I64" s="121"/>
      <c r="J64" s="3345"/>
      <c r="K64" s="1245" t="s">
        <v>1382</v>
      </c>
      <c r="L64" s="1245">
        <f ca="1">IF(M49&gt;2000,M49*0.5%,IF(AND(M49&gt;1000,M49&lt;=2000),M49*0.6%,IF(AND(M49&gt;500,M49&lt;=1000),M49*0.7%,IF(AND(M49&gt;200,M49&lt;=500),M49*0.8%,IF(AND(M49&gt;100,M49&lt;=200),M49*0.9%,IF(AND(M49&gt;50,M49&lt;=100),M49*1%,IF(AND(M49&gt;20,M49&lt;=50),M49*1.5%,IF(AND(M49&gt;10,M49&lt;=20),M49*2%,IF(AND(M49&gt;1,M49&lt;=10),M49*2.5%)))))))))</f>
        <v>903.28</v>
      </c>
      <c r="M64" s="294">
        <f t="shared" ref="M64:M65" ca="1" si="1">ROUND(L64,1)</f>
        <v>903.3</v>
      </c>
      <c r="N64" s="2329" t="s">
        <v>1383</v>
      </c>
      <c r="Z64" s="1623"/>
      <c r="AI64" s="1561"/>
    </row>
    <row r="65" spans="1:35" ht="14.25" customHeight="1">
      <c r="A65" s="161" t="s">
        <v>326</v>
      </c>
      <c r="B65" s="162" t="s">
        <v>1384</v>
      </c>
      <c r="C65" s="2350"/>
      <c r="D65" s="162"/>
      <c r="E65" s="164"/>
      <c r="F65" s="1670"/>
      <c r="G65" s="1670"/>
      <c r="H65" s="151"/>
      <c r="I65" s="121"/>
      <c r="J65" s="3345"/>
      <c r="K65" s="1245" t="s">
        <v>1385</v>
      </c>
      <c r="L65" s="1245">
        <f ca="1">IF(M49&gt;1000,M49*0.1%,IF(AND(M49&gt;500,M49&lt;=1000),M49*0.5%,IF(AND(M49&gt;50,M49&lt;=500),M49*1%,IF(AND(M49&gt;1,M49&lt;=50),M49*1.5%))))</f>
        <v>180.65600000000001</v>
      </c>
      <c r="M65" s="294">
        <f t="shared" ca="1" si="1"/>
        <v>180.7</v>
      </c>
      <c r="N65" s="2329" t="s">
        <v>1383</v>
      </c>
      <c r="Z65" s="1623"/>
      <c r="AI65" s="1561"/>
    </row>
    <row r="66" spans="1:35" ht="14.25" customHeight="1">
      <c r="A66" s="165" t="s">
        <v>327</v>
      </c>
      <c r="B66" s="166" t="s">
        <v>1386</v>
      </c>
      <c r="C66" s="2351"/>
      <c r="D66" s="166" t="s">
        <v>26</v>
      </c>
      <c r="E66" s="1251" t="s">
        <v>671</v>
      </c>
      <c r="F66" s="1670"/>
      <c r="G66" s="1670"/>
      <c r="H66" s="151"/>
      <c r="I66" s="121"/>
      <c r="J66" s="3345"/>
      <c r="K66" s="1245" t="s">
        <v>1387</v>
      </c>
      <c r="L66" s="1245">
        <f ca="1">M49*0.5%</f>
        <v>903.28</v>
      </c>
      <c r="M66" s="294">
        <f ca="1">IF(L66&gt;0.5,0.5,ROUND(L66,0))</f>
        <v>0.5</v>
      </c>
      <c r="N66" s="2329" t="s">
        <v>1388</v>
      </c>
      <c r="Z66" s="1623"/>
      <c r="AI66" s="1561"/>
    </row>
    <row r="67" spans="1:35" ht="14.25" customHeight="1">
      <c r="A67" s="165" t="s">
        <v>328</v>
      </c>
      <c r="B67" s="166" t="s">
        <v>1389</v>
      </c>
      <c r="C67" s="2352">
        <f ca="1">C63-C66</f>
        <v>172053</v>
      </c>
      <c r="D67" s="162" t="s">
        <v>26</v>
      </c>
      <c r="E67" s="164"/>
      <c r="F67" s="1670"/>
      <c r="G67" s="1670"/>
      <c r="H67" s="151"/>
      <c r="I67" s="121"/>
      <c r="J67" s="3345"/>
      <c r="K67" s="1245" t="s">
        <v>1390</v>
      </c>
      <c r="L67" s="1245">
        <f ca="1">IF(M49&gt;=10000,(8.25+(M49-10000)*0.01%),IF(AND(M49&gt;=8000,M49&lt;10000),(7.85+(M49-8000)*0.02%),IF(AND(M49&gt;=5000,M49&lt;8000),(6.65+(M49-5000)*0.04%),IF(AND(M49&gt;=2000,M49&lt;5000),(4.25+(PM49-2000)*0.08%),IF(AND(M49&gt;=1000,M49&lt;2000),(2.75+(M49-1000)*0.15%),IF(AND(M49&gt;=100,M49&lt;1000),(0.5+(M49-100)*0.25%),IF(AND(M49&gt;0,M49&lt;100),M49*0.5%)))))))</f>
        <v>25.3156</v>
      </c>
      <c r="M67" s="294">
        <f ca="1">ROUND(L67*0.9,1)</f>
        <v>22.8</v>
      </c>
      <c r="N67" s="2328"/>
      <c r="Z67" s="1623"/>
      <c r="AI67" s="1561"/>
    </row>
    <row r="68" spans="1:35" ht="14.25" customHeight="1" thickBot="1">
      <c r="A68" s="168" t="s">
        <v>329</v>
      </c>
      <c r="B68" s="169" t="s">
        <v>1391</v>
      </c>
      <c r="C68" s="2353">
        <f ca="1">IF(C67&lt;=0,0,ROUND(C67*D68,0))</f>
        <v>9635</v>
      </c>
      <c r="D68" s="2354">
        <f>'数据-取费表'!B41</f>
        <v>5.6000000000000001E-2</v>
      </c>
      <c r="E68" s="170"/>
      <c r="F68" s="1670"/>
      <c r="G68" s="1670"/>
      <c r="H68" s="151"/>
      <c r="I68" s="121"/>
      <c r="J68" s="3345"/>
      <c r="K68" s="1245" t="s">
        <v>1392</v>
      </c>
      <c r="L68" s="1245">
        <f ca="1">IF(M49&gt;10000,M49*0.5%,IF(AND(M49&gt;5000,M49&lt;=10000),M49*1%,IF(AND(M49&gt;1000,M49&lt;=5000),M49*2%,IF(AND(M49&gt;200,M49&lt;=1000),M49*3%,M49*5%))))</f>
        <v>903.28</v>
      </c>
      <c r="M68" s="294">
        <f ca="1">ROUND(L68,1)</f>
        <v>903.3</v>
      </c>
      <c r="N68" s="2328"/>
      <c r="Z68" s="1623"/>
      <c r="AI68" s="1561"/>
    </row>
    <row r="69" spans="1:35" ht="16.5" customHeight="1">
      <c r="A69" s="1672"/>
      <c r="B69" s="1673"/>
      <c r="C69" s="1674"/>
      <c r="D69" s="1675"/>
      <c r="E69" s="1676"/>
      <c r="F69" s="1466"/>
      <c r="G69" s="1466"/>
      <c r="H69" s="1467"/>
      <c r="I69" s="646"/>
      <c r="J69" s="3345"/>
      <c r="K69" s="1245" t="s">
        <v>1393</v>
      </c>
      <c r="L69" s="1245"/>
      <c r="M69" s="294">
        <f ca="1">ROUND(SUM(M63:M68),0)</f>
        <v>2914</v>
      </c>
      <c r="N69" s="2330">
        <f ca="1">M69/M49</f>
        <v>1.6130103622354088E-2</v>
      </c>
      <c r="Z69" s="1623"/>
      <c r="AI69" s="1561"/>
    </row>
    <row r="70" spans="1:35" s="642" customFormat="1" ht="14.5" thickBot="1">
      <c r="A70" s="3389" t="s">
        <v>1394</v>
      </c>
      <c r="B70" s="3390"/>
      <c r="C70" s="3390"/>
      <c r="D70" s="3390"/>
      <c r="E70" s="3390"/>
      <c r="F70" s="3390"/>
      <c r="G70" s="3390"/>
      <c r="H70" s="339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381" t="s">
        <v>1375</v>
      </c>
      <c r="B71" s="338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2">
        <f ca="1">ROUND(D45/(1+'数据-取费表'!C42),0)</f>
        <v>172053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2">
        <f ca="1">C74+C78</f>
        <v>1032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86" t="s">
        <v>1402</v>
      </c>
      <c r="F76" s="3385"/>
      <c r="G76" s="3385"/>
      <c r="H76" s="338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1032</v>
      </c>
      <c r="D78" s="2361">
        <f>'数据-取费表'!B43</f>
        <v>6.000000000000001E-3</v>
      </c>
      <c r="E78" s="3378" t="s">
        <v>1406</v>
      </c>
      <c r="F78" s="3379"/>
      <c r="G78" s="3379"/>
      <c r="H78" s="338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2">
        <f ca="1">C72-C73</f>
        <v>171021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2">
        <f ca="1">IF(C79&lt;=0,0,C79/C73)</f>
        <v>165.71802325581396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3">
        <f ca="1">ROUND(IF(C79&lt;=0,0,IF(C80&gt;=200%,C79*60%-C73*35%,IF(C80&gt;=100%,C79*50%-C73*15%,IF(C80&gt;=50%,C79*40%-C73*5%,IF(C80&lt;50%,C79*30%,0))))),0)</f>
        <v>102251</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89" t="s">
        <v>1410</v>
      </c>
      <c r="B83" s="3390"/>
      <c r="C83" s="3390"/>
      <c r="D83" s="3390"/>
      <c r="E83" s="3390"/>
      <c r="F83" s="3390"/>
      <c r="G83" s="3390"/>
      <c r="H83" s="339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381" t="s">
        <v>1375</v>
      </c>
      <c r="B84" s="338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2">
        <f ca="1">ROUND(D45/(1+'数据-取费表'!C42),0)</f>
        <v>172053</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2">
        <f ca="1">IF(H88="仅含出让金",C87+C90+C91+C92+C93+C94,C87+C91+C92+C93+C94)</f>
        <v>1032</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6"/>
      <c r="D88" s="2361"/>
      <c r="E88" s="185" t="s">
        <v>1413</v>
      </c>
      <c r="F88" s="2148"/>
      <c r="G88" s="186" t="s">
        <v>1414</v>
      </c>
      <c r="H88" s="1684"/>
      <c r="I88" s="1681"/>
      <c r="J88" s="2306" t="s">
        <v>2284</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6"/>
      <c r="D90" s="2361"/>
      <c r="E90" s="185" t="str">
        <f>IF(H88="-","土地取得成本中已包含该笔费用"," ")</f>
        <v xml:space="preserve"> </v>
      </c>
      <c r="F90" s="2148"/>
      <c r="G90" s="3347" t="s">
        <v>2129</v>
      </c>
      <c r="H90" s="3348"/>
      <c r="I90" s="1681"/>
      <c r="J90" s="2306" t="s">
        <v>2285</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78" t="s">
        <v>1419</v>
      </c>
      <c r="F91" s="3379"/>
      <c r="G91" s="337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78" t="s">
        <v>1422</v>
      </c>
      <c r="F92" s="3379"/>
      <c r="G92" s="3379"/>
      <c r="H92" s="3380"/>
      <c r="I92" s="1681"/>
      <c r="J92" s="2307" t="s">
        <v>2286</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1032</v>
      </c>
      <c r="D93" s="2361">
        <f>'数据-取费表'!B43</f>
        <v>6.000000000000001E-3</v>
      </c>
      <c r="E93" s="3378" t="s">
        <v>1406</v>
      </c>
      <c r="F93" s="3379"/>
      <c r="G93" s="3379"/>
      <c r="H93" s="338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423" t="s">
        <v>1426</v>
      </c>
      <c r="F94" s="3424"/>
      <c r="G94" s="3424"/>
      <c r="H94" s="342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2">
        <f ca="1">ROUND(C85-C86,0)</f>
        <v>171021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2">
        <f ca="1">IF(C95&lt;=0,0,C95/C86)</f>
        <v>165.71802325581396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3">
        <f ca="1">ROUND(IF(C95&lt;=0,0,IF(C96&gt;=200%,C95*60%-C86*35%,IF(C96&gt;=100%,C95*50%-C86*15%,IF(C96&gt;=50%,C95*40%-C86*5%,IF(C96&lt;50%,C95*30%,0))))),0)</f>
        <v>102251</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328" t="s">
        <v>1428</v>
      </c>
      <c r="B100" s="3329"/>
      <c r="C100" s="3329"/>
      <c r="D100" s="3363"/>
      <c r="E100" s="3329" t="s">
        <v>1429</v>
      </c>
      <c r="F100" s="3329"/>
      <c r="G100" s="3329"/>
      <c r="H100" s="3363"/>
      <c r="I100" s="121"/>
    </row>
    <row r="101" spans="1:35" ht="18.75" customHeight="1">
      <c r="A101" s="3371" t="s">
        <v>1430</v>
      </c>
      <c r="B101" s="3372"/>
      <c r="C101" s="2369" t="str">
        <f>C4</f>
        <v>比较法-办公</v>
      </c>
      <c r="D101" s="2370" t="str">
        <f>D4</f>
        <v>收益法</v>
      </c>
      <c r="E101" s="3341" t="s">
        <v>1431</v>
      </c>
      <c r="F101" s="3342"/>
      <c r="G101" s="1687" t="s">
        <v>1432</v>
      </c>
      <c r="H101" s="2379">
        <f ca="1">H118</f>
        <v>180656</v>
      </c>
      <c r="I101" s="121"/>
    </row>
    <row r="102" spans="1:35" ht="18.75" customHeight="1">
      <c r="A102" s="3373" t="s">
        <v>1433</v>
      </c>
      <c r="B102" s="2368" t="s">
        <v>1432</v>
      </c>
      <c r="C102" s="2369">
        <f ca="1">IF(D32="楼面单价",ROUND(C19,0),C19)</f>
        <v>210465</v>
      </c>
      <c r="D102" s="2370">
        <f ca="1">IF(D32="楼面单价",ROUND(D19,0),D19)</f>
        <v>111100</v>
      </c>
      <c r="E102" s="3341"/>
      <c r="F102" s="3342"/>
      <c r="G102" s="1687" t="s">
        <v>1434</v>
      </c>
      <c r="H102" s="2339">
        <f ca="1">I118</f>
        <v>32341</v>
      </c>
      <c r="I102" s="121"/>
    </row>
    <row r="103" spans="1:35" ht="42.75" customHeight="1">
      <c r="A103" s="3373"/>
      <c r="B103" s="2368" t="s">
        <v>1434</v>
      </c>
      <c r="C103" s="2371">
        <f ca="1">C20</f>
        <v>37678</v>
      </c>
      <c r="D103" s="2372">
        <f ca="1">D20</f>
        <v>19889</v>
      </c>
      <c r="E103" s="3334" t="s">
        <v>1435</v>
      </c>
      <c r="F103" s="3335"/>
      <c r="G103" s="1688" t="s">
        <v>1436</v>
      </c>
      <c r="H103" s="2379">
        <f>IF(D36="正常操作",H104+H105+H106,H105+H106)</f>
        <v>0</v>
      </c>
      <c r="I103" s="121"/>
    </row>
    <row r="104" spans="1:35" ht="18.75" customHeight="1">
      <c r="A104" s="3373" t="s">
        <v>1437</v>
      </c>
      <c r="B104" s="2373" t="s">
        <v>1432</v>
      </c>
      <c r="C104" s="2374">
        <f ca="1">H118</f>
        <v>180656</v>
      </c>
      <c r="D104" s="2375"/>
      <c r="E104" s="1555" t="s">
        <v>1438</v>
      </c>
      <c r="F104" s="1548"/>
      <c r="G104" s="1688" t="s">
        <v>1436</v>
      </c>
      <c r="H104" s="2380">
        <f>IF(D36="同一抵押权人同一抵押物续贷",C36&amp;"（续贷，未扣减，详见特别提示）",C36)</f>
        <v>0</v>
      </c>
      <c r="I104" s="121"/>
    </row>
    <row r="105" spans="1:35" ht="18.75" customHeight="1" thickBot="1">
      <c r="A105" s="3383"/>
      <c r="B105" s="2376" t="s">
        <v>1434</v>
      </c>
      <c r="C105" s="2377">
        <f ca="1">I118</f>
        <v>32341</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74" t="str">
        <f>IF(项目基本情况!E8="已注销","——","3.房地产抵押价值")</f>
        <v>3.房地产抵押价值</v>
      </c>
      <c r="F107" s="3342"/>
      <c r="G107" s="1687" t="s">
        <v>1432</v>
      </c>
      <c r="H107" s="2379">
        <f ca="1">IF(E107="——","——",H101-H103)</f>
        <v>180656</v>
      </c>
      <c r="I107" s="121"/>
    </row>
    <row r="108" spans="1:35" ht="18.75" customHeight="1">
      <c r="A108" s="121"/>
      <c r="B108" s="121"/>
      <c r="C108" s="121"/>
      <c r="D108" s="121"/>
      <c r="E108" s="3374"/>
      <c r="F108" s="3342"/>
      <c r="G108" s="1687" t="s">
        <v>1434</v>
      </c>
      <c r="H108" s="2339">
        <f ca="1">IF(H107=H101,H102,ROUND(H107*10000/'数据-汇总表'!E3,0))</f>
        <v>32341</v>
      </c>
      <c r="I108" s="121"/>
    </row>
    <row r="109" spans="1:35" ht="18.75" customHeight="1">
      <c r="A109" s="121"/>
      <c r="B109" s="121"/>
      <c r="C109" s="121"/>
      <c r="D109" s="121"/>
      <c r="E109" s="3374" t="str">
        <f>IF(项目基本情况!E8="已注销及未注销","4.抵押担保权已注销时的房地产抵押价值",IF(项目基本情况!E8="已注销","3.抵押担保权已注销时的房地产抵押价值","——"))</f>
        <v>——</v>
      </c>
      <c r="F109" s="3342"/>
      <c r="G109" s="1687" t="s">
        <v>1432</v>
      </c>
      <c r="H109" s="2382" t="str">
        <f>IF(E109="——","——",H101-H105-H106)</f>
        <v>——</v>
      </c>
      <c r="I109" s="121"/>
    </row>
    <row r="110" spans="1:35" ht="18.75" customHeight="1">
      <c r="A110" s="121"/>
      <c r="B110" s="121"/>
      <c r="C110" s="121"/>
      <c r="D110" s="121"/>
      <c r="E110" s="3374"/>
      <c r="F110" s="3342"/>
      <c r="G110" s="1687" t="s">
        <v>1434</v>
      </c>
      <c r="H110" s="2339" t="str">
        <f>IF(H109="——","——",ROUND(H109*10000/'数据-汇总表'!E3,0))</f>
        <v>——</v>
      </c>
      <c r="I110" s="121"/>
    </row>
    <row r="111" spans="1:35" ht="18.75" customHeight="1">
      <c r="A111" s="121"/>
      <c r="B111" s="121"/>
      <c r="C111" s="121"/>
      <c r="D111" s="121"/>
      <c r="E111" s="3375" t="str">
        <f>IF(项目基本情况!E9="抵押净值",IF(OR(项目基本情况!E8="已注销",项目基本情况!E8="房地产抵押价值"),"4.抵押净值","5.抵押净值"),"——")</f>
        <v>——</v>
      </c>
      <c r="F111" s="3361"/>
      <c r="G111" s="1687" t="s">
        <v>1432</v>
      </c>
      <c r="H111" s="2379" t="str">
        <f>IF(E111="——","——",N59)</f>
        <v>——</v>
      </c>
      <c r="I111" s="121"/>
    </row>
    <row r="112" spans="1:35" ht="18.75" customHeight="1" thickBot="1">
      <c r="A112" s="121"/>
      <c r="B112" s="121"/>
      <c r="C112" s="121"/>
      <c r="D112" s="121"/>
      <c r="E112" s="3376"/>
      <c r="F112" s="3377"/>
      <c r="G112" s="1690" t="s">
        <v>1434</v>
      </c>
      <c r="H112" s="2383" t="str">
        <f>IF(E111="——","——",N61)</f>
        <v>——</v>
      </c>
      <c r="I112" s="121"/>
    </row>
    <row r="113" spans="1:27" ht="18.75" customHeight="1">
      <c r="A113" s="121"/>
      <c r="B113" s="121"/>
      <c r="C113" s="121"/>
      <c r="D113" s="121"/>
      <c r="E113" s="3384" t="s">
        <v>1440</v>
      </c>
      <c r="F113" s="3384"/>
      <c r="G113" s="3384"/>
      <c r="H113" s="3384"/>
      <c r="I113" s="121"/>
    </row>
    <row r="114" spans="1:27" ht="3.75" customHeight="1">
      <c r="A114" s="646"/>
      <c r="B114" s="646"/>
      <c r="C114" s="646"/>
      <c r="D114" s="646"/>
      <c r="E114" s="1671"/>
      <c r="F114" s="1671"/>
      <c r="G114" s="1671"/>
      <c r="H114" s="1671"/>
      <c r="I114" s="646"/>
    </row>
    <row r="115" spans="1:27" ht="18.75" customHeight="1">
      <c r="A115" s="3392" t="s">
        <v>1442</v>
      </c>
      <c r="B115" s="3393"/>
      <c r="C115" s="3393"/>
      <c r="D115" s="3393"/>
      <c r="E115" s="3393"/>
      <c r="F115" s="3393"/>
      <c r="G115" s="3393"/>
      <c r="H115" s="3393"/>
      <c r="I115" s="3394"/>
    </row>
    <row r="116" spans="1:27" ht="27" customHeight="1">
      <c r="A116" s="3349" t="s">
        <v>1443</v>
      </c>
      <c r="B116" s="3353" t="s">
        <v>1444</v>
      </c>
      <c r="C116" s="3353" t="s">
        <v>1445</v>
      </c>
      <c r="D116" s="3359" t="s">
        <v>1446</v>
      </c>
      <c r="E116" s="3360"/>
      <c r="F116" s="3391" t="s">
        <v>1447</v>
      </c>
      <c r="G116" s="3391"/>
      <c r="H116" s="3349" t="s">
        <v>1448</v>
      </c>
      <c r="I116" s="3349"/>
    </row>
    <row r="117" spans="1:27" ht="18.75" customHeight="1">
      <c r="A117" s="3349"/>
      <c r="B117" s="3354"/>
      <c r="C117" s="3354"/>
      <c r="D117" s="2150" t="s">
        <v>1449</v>
      </c>
      <c r="E117" s="2150" t="s">
        <v>1450</v>
      </c>
      <c r="F117" s="2150" t="s">
        <v>1449</v>
      </c>
      <c r="G117" s="2150" t="s">
        <v>1451</v>
      </c>
      <c r="H117" s="2150" t="s">
        <v>1449</v>
      </c>
      <c r="I117" s="2150" t="s">
        <v>1451</v>
      </c>
    </row>
    <row r="118" spans="1:27" ht="24.75" customHeight="1">
      <c r="A118" s="2384" t="str">
        <f>项目基本情况!S2</f>
        <v>北京市朝阳区望京东路4号院1号楼房地产</v>
      </c>
      <c r="B118" s="2150">
        <f>M18</f>
        <v>55858.959999999977</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180656</v>
      </c>
      <c r="I118" s="2150">
        <f ca="1">ROUND(IF(D32="楼面单价",C32,H118*10000/B118),0)</f>
        <v>32341</v>
      </c>
    </row>
    <row r="119" spans="1:27" ht="18.75" customHeight="1">
      <c r="A119" s="3349" t="s">
        <v>1452</v>
      </c>
      <c r="B119" s="3349"/>
      <c r="C119" s="3349"/>
      <c r="D119" s="3355" t="str">
        <f>NUMBERSTRING(INT(D118*10000),2)&amp;"元整"</f>
        <v>零元整</v>
      </c>
      <c r="E119" s="3356"/>
      <c r="F119" s="3355" t="str">
        <f>NUMBERSTRING(INT(F118*10000),2)&amp;"元整"</f>
        <v>零元整</v>
      </c>
      <c r="G119" s="3356"/>
      <c r="H119" s="3355" t="str">
        <f ca="1">NUMBERSTRING(INT(H118*10000),2)&amp;"元整"</f>
        <v>壹拾捌亿零陆佰伍拾陆万元整</v>
      </c>
      <c r="I119" s="3356"/>
    </row>
    <row r="120" spans="1:27" ht="18.75" customHeight="1">
      <c r="A120" s="3350" t="str">
        <f>IF(项目基本情况!B9="房地产市场价值","",MID(E103,3,LEN(E103)-2))</f>
        <v>估价师知悉的法定优先受偿款</v>
      </c>
      <c r="B120" s="3351"/>
      <c r="C120" s="3352"/>
      <c r="D120" s="3350">
        <f>H103</f>
        <v>0</v>
      </c>
      <c r="E120" s="3351"/>
      <c r="F120" s="3351"/>
      <c r="G120" s="3351"/>
      <c r="H120" s="3351"/>
      <c r="I120" s="335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55" t="s">
        <v>1452</v>
      </c>
      <c r="B121" s="3357"/>
      <c r="C121" s="3356"/>
      <c r="D121" s="3355" t="str">
        <f>IF(D120=0,"零元整",NUMBERSTRING(INT(D120*10000),2)&amp;"元整")</f>
        <v>零元整</v>
      </c>
      <c r="E121" s="3357"/>
      <c r="F121" s="3357"/>
      <c r="G121" s="3357"/>
      <c r="H121" s="3357"/>
      <c r="I121" s="3356"/>
      <c r="AA121" s="684"/>
    </row>
    <row r="122" spans="1:27" ht="18.75" customHeight="1">
      <c r="A122" s="3361" t="str">
        <f>IF(项目基本情况!B9="房地产市场价值","",MID(E107,3,LEN(E107)-2))</f>
        <v>房地产抵押价值</v>
      </c>
      <c r="B122" s="3361"/>
      <c r="C122" s="3361"/>
      <c r="D122" s="3350">
        <f ca="1">H107</f>
        <v>180656</v>
      </c>
      <c r="E122" s="3351"/>
      <c r="F122" s="3351"/>
      <c r="G122" s="3351"/>
      <c r="H122" s="3351"/>
      <c r="I122" s="3352"/>
      <c r="AA122" s="684"/>
    </row>
    <row r="123" spans="1:27" ht="18.75" customHeight="1">
      <c r="A123" s="3349" t="s">
        <v>1452</v>
      </c>
      <c r="B123" s="3349"/>
      <c r="C123" s="3349"/>
      <c r="D123" s="3355" t="str">
        <f ca="1">NUMBERSTRING(INT(D122*10000),2)&amp;"元整"</f>
        <v>壹拾捌亿零陆佰伍拾陆万元整</v>
      </c>
      <c r="E123" s="3357"/>
      <c r="F123" s="3357"/>
      <c r="G123" s="3357"/>
      <c r="H123" s="3357"/>
      <c r="I123" s="3356"/>
      <c r="AA123" s="684"/>
    </row>
    <row r="124" spans="1:27" ht="18.75" customHeight="1">
      <c r="A124" s="3361" t="str">
        <f>IF(项目基本情况!B9="房地产市场价值","",MID(E109,3,LEN(E109)-2))</f>
        <v/>
      </c>
      <c r="B124" s="3361"/>
      <c r="C124" s="3361"/>
      <c r="D124" s="3350" t="str">
        <f>H109</f>
        <v>——</v>
      </c>
      <c r="E124" s="3351"/>
      <c r="F124" s="3351"/>
      <c r="G124" s="3351"/>
      <c r="H124" s="3351"/>
      <c r="I124" s="3352"/>
      <c r="AA124" s="684"/>
    </row>
    <row r="125" spans="1:27" ht="18.75" customHeight="1">
      <c r="A125" s="3349" t="s">
        <v>1452</v>
      </c>
      <c r="B125" s="3349"/>
      <c r="C125" s="3349"/>
      <c r="D125" s="3355" t="e">
        <f>NUMBERSTRING(INT(D124*10000),2)&amp;"元整"</f>
        <v>#VALUE!</v>
      </c>
      <c r="E125" s="3357"/>
      <c r="F125" s="3357"/>
      <c r="G125" s="3357"/>
      <c r="H125" s="3357"/>
      <c r="I125" s="3356"/>
      <c r="AA125" s="684"/>
    </row>
    <row r="126" spans="1:27" ht="18.75" customHeight="1">
      <c r="A126" s="3361" t="str">
        <f>IF(项目基本情况!B9="房地产市场价值","",MID(E111,3,LEN(E111)-2))</f>
        <v/>
      </c>
      <c r="B126" s="3361"/>
      <c r="C126" s="3361"/>
      <c r="D126" s="3350" t="str">
        <f>H111</f>
        <v>——</v>
      </c>
      <c r="E126" s="3351"/>
      <c r="F126" s="3351"/>
      <c r="G126" s="3351"/>
      <c r="H126" s="3351"/>
      <c r="I126" s="3352"/>
      <c r="AA126" s="684"/>
    </row>
    <row r="127" spans="1:27" ht="18.75" customHeight="1">
      <c r="A127" s="3349" t="s">
        <v>1452</v>
      </c>
      <c r="B127" s="3349"/>
      <c r="C127" s="3349"/>
      <c r="D127" s="3355" t="e">
        <f>NUMBERSTRING(INT(D126*10000),2)&amp;"元整"</f>
        <v>#VALUE!</v>
      </c>
      <c r="E127" s="3357"/>
      <c r="F127" s="3357"/>
      <c r="G127" s="3357"/>
      <c r="H127" s="3357"/>
      <c r="I127" s="3356"/>
      <c r="AA127" s="684"/>
    </row>
    <row r="128" spans="1:27" ht="21.75" customHeight="1">
      <c r="A128" s="3358" t="s">
        <v>1453</v>
      </c>
      <c r="B128" s="3358"/>
      <c r="C128" s="3358"/>
      <c r="D128" s="3358"/>
      <c r="E128" s="3358"/>
      <c r="F128" s="3358"/>
      <c r="G128" s="3358"/>
      <c r="H128" s="3358"/>
      <c r="I128" s="335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38321</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6860</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1117</v>
      </c>
      <c r="D10" s="795">
        <f ca="1">IF(B1="",'数据-汇总表'!E6,IF(INDIRECT("'数据-取费表'!c"&amp;$G$1)="住宅",INDIRECT("'数据-取费表'!s"&amp;$G$1),INDIRECT("'数据-取费表'!k"&amp;$G$1)+INDIRECT("'数据-取费表'!s"&amp;$G$1)))</f>
        <v>55858.959999999992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1117</v>
      </c>
      <c r="D19" s="204">
        <f ca="1">D9+D10</f>
        <v>55858.959999999992</v>
      </c>
      <c r="E19" s="203">
        <f>'数据-取费表'!B31</f>
        <v>200</v>
      </c>
      <c r="F19" s="223"/>
      <c r="G19" s="1714"/>
    </row>
    <row r="20" spans="1:7" s="206" customFormat="1" ht="13.5" customHeight="1">
      <c r="A20" s="247" t="s">
        <v>1493</v>
      </c>
      <c r="B20" s="202" t="s">
        <v>1494</v>
      </c>
      <c r="C20" s="224">
        <f ca="1">ROUND((C5+C19)*F20,0)</f>
        <v>22</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72</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71</v>
      </c>
      <c r="D24" s="230"/>
      <c r="E24" s="230"/>
      <c r="F24" s="231"/>
      <c r="G24" s="232" t="s">
        <v>1507</v>
      </c>
    </row>
    <row r="25" spans="1:7" s="206" customFormat="1" ht="26">
      <c r="A25" s="734" t="s">
        <v>1508</v>
      </c>
      <c r="B25" s="207" t="s">
        <v>1509</v>
      </c>
      <c r="C25" s="1042">
        <f ca="1">ROUND(IF('数据-取费表'!B22&lt;=1,C20*F22*'数据-取费表'!B23/2,C20*(POWER((1+F22),'数据-取费表'!B23/2)-1)),0)</f>
        <v>1</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171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171</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1497</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33989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30722</v>
      </c>
      <c r="D34" s="209"/>
      <c r="E34" s="212"/>
      <c r="F34" s="249">
        <f ca="1">IF('数据-取费表'!B24=0,1,IF(B1="",'数据-取费表'!N16,INDIRECT("'数据-取费表'!n"&amp;$G$1)))</f>
        <v>1</v>
      </c>
      <c r="G34" s="211" t="s">
        <v>1526</v>
      </c>
    </row>
    <row r="35" spans="1:7" ht="13.5" customHeight="1">
      <c r="A35" s="734" t="s">
        <v>351</v>
      </c>
      <c r="B35" s="207" t="s">
        <v>1527</v>
      </c>
      <c r="C35" s="212">
        <f ca="1">ROUND(C34*F35,0)</f>
        <v>1536</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1117</v>
      </c>
      <c r="D37" s="209">
        <f ca="1">D19</f>
        <v>55858.959999999992</v>
      </c>
      <c r="E37" s="241">
        <f>'数据-取费表'!B35</f>
        <v>200</v>
      </c>
      <c r="F37" s="251"/>
      <c r="G37" s="253" t="s">
        <v>1532</v>
      </c>
    </row>
    <row r="38" spans="1:7" ht="13.5" customHeight="1">
      <c r="A38" s="734" t="s">
        <v>354</v>
      </c>
      <c r="B38" s="207" t="s">
        <v>1533</v>
      </c>
      <c r="C38" s="212">
        <f ca="1">ROUND(C34*F38,0)</f>
        <v>614</v>
      </c>
      <c r="D38" s="212"/>
      <c r="E38" s="212"/>
      <c r="F38" s="251">
        <f>'数据-取费表'!B36</f>
        <v>0.02</v>
      </c>
      <c r="G38" s="211" t="s">
        <v>1528</v>
      </c>
    </row>
    <row r="39" spans="1:7" s="206" customFormat="1" ht="13.5" customHeight="1">
      <c r="A39" s="247" t="s">
        <v>1534</v>
      </c>
      <c r="B39" s="202" t="s">
        <v>1535</v>
      </c>
      <c r="C39" s="224">
        <f ca="1">ROUND(C33*F20,0)</f>
        <v>680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1085</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1064</v>
      </c>
      <c r="D42" s="230"/>
      <c r="E42" s="230"/>
      <c r="F42" s="231"/>
      <c r="G42" s="3428" t="s">
        <v>1544</v>
      </c>
    </row>
    <row r="43" spans="1:7" ht="13.5" customHeight="1">
      <c r="A43" s="734" t="s">
        <v>347</v>
      </c>
      <c r="B43" s="207" t="s">
        <v>1545</v>
      </c>
      <c r="C43" s="230">
        <f ca="1">ROUND(IF('数据-取费表'!B22&lt;=1,C39*F22*'数据-取费表'!B21/2,C39*(POWER((1+F22),'数据-取费表'!B21/2)-1)),0)</f>
        <v>21</v>
      </c>
      <c r="D43" s="230"/>
      <c r="E43" s="230"/>
      <c r="F43" s="231"/>
      <c r="G43" s="3429"/>
    </row>
    <row r="44" spans="1:7" ht="13.5" customHeight="1">
      <c r="A44" s="734" t="s">
        <v>348</v>
      </c>
      <c r="B44" s="207" t="s">
        <v>1546</v>
      </c>
      <c r="C44" s="230">
        <f ca="1">ROUND(IF('数据-取费表'!B22&lt;=1,C40*F22*'数据-取费表'!B21/2,C40*(POWER((1+F22),'数据-取费表'!B21/2)-1)),4)</f>
        <v>5.9999999999999995E-4</v>
      </c>
      <c r="D44" s="230"/>
      <c r="E44" s="230"/>
      <c r="F44" s="231"/>
      <c r="G44" s="3430"/>
    </row>
    <row r="45" spans="1:7" s="206" customFormat="1" ht="13.5" customHeight="1">
      <c r="A45" s="247" t="s">
        <v>1547</v>
      </c>
      <c r="B45" s="236" t="s">
        <v>1513</v>
      </c>
      <c r="C45" s="237">
        <f ca="1">C46</f>
        <v>5200</v>
      </c>
      <c r="D45" s="227">
        <f ca="1">C47</f>
        <v>3.0000000000000001E-3</v>
      </c>
      <c r="E45" s="228" t="s">
        <v>1539</v>
      </c>
      <c r="F45" s="238">
        <f ca="1">F27</f>
        <v>0.15</v>
      </c>
      <c r="G45" s="239" t="s">
        <v>1548</v>
      </c>
    </row>
    <row r="46" spans="1:7" s="206" customFormat="1" ht="13.5" customHeight="1">
      <c r="A46" s="734" t="s">
        <v>346</v>
      </c>
      <c r="B46" s="240" t="s">
        <v>1549</v>
      </c>
      <c r="C46" s="241">
        <f ca="1">ROUND((C33+C39)*F27,0)</f>
        <v>5200</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44366</v>
      </c>
      <c r="D49" s="224"/>
      <c r="E49" s="224"/>
      <c r="F49" s="256"/>
      <c r="G49" s="226" t="s">
        <v>1554</v>
      </c>
    </row>
    <row r="50" spans="1:7" s="250" customFormat="1" ht="26">
      <c r="A50" s="247" t="s">
        <v>1555</v>
      </c>
      <c r="B50" s="202" t="s">
        <v>1556</v>
      </c>
      <c r="C50" s="224"/>
      <c r="D50" s="224"/>
      <c r="E50" s="224"/>
      <c r="F50" s="256">
        <f>IF('数据-取费表'!B24=0,'数据-取费表'!N16,1)</f>
        <v>0.83</v>
      </c>
      <c r="G50" s="239" t="s">
        <v>1557</v>
      </c>
    </row>
    <row r="51" spans="1:7" ht="16.5" customHeight="1">
      <c r="A51" s="247" t="s">
        <v>1558</v>
      </c>
      <c r="B51" s="202" t="s">
        <v>1559</v>
      </c>
      <c r="C51" s="224">
        <f ca="1">ROUND(C49*F50,0)</f>
        <v>36824</v>
      </c>
      <c r="D51" s="224"/>
      <c r="E51" s="224"/>
      <c r="F51" s="256"/>
      <c r="G51" s="226" t="s">
        <v>1560</v>
      </c>
    </row>
    <row r="52" spans="1:7" s="200" customFormat="1" ht="16.5" thickBot="1">
      <c r="A52" s="257" t="s">
        <v>1561</v>
      </c>
      <c r="B52" s="258"/>
      <c r="C52" s="259">
        <f ca="1">C31+C51</f>
        <v>38321</v>
      </c>
      <c r="D52" s="258"/>
      <c r="E52" s="258"/>
      <c r="F52" s="258"/>
      <c r="G52" s="260"/>
    </row>
    <row r="55" spans="1:7" ht="15.5">
      <c r="B55" s="262" t="s">
        <v>1562</v>
      </c>
      <c r="C55" s="263"/>
    </row>
    <row r="56" spans="1:7" ht="13">
      <c r="B56" s="265" t="s">
        <v>802</v>
      </c>
      <c r="C56" s="267">
        <f ca="1">1-C57</f>
        <v>3.9000000000000035E-2</v>
      </c>
    </row>
    <row r="57" spans="1:7" ht="13">
      <c r="B57" s="265" t="s">
        <v>803</v>
      </c>
      <c r="C57" s="266">
        <f ca="1">ROUND(C51/C52,3)</f>
        <v>0.96099999999999997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246" t="str">
        <f>项目基本情况!B1</f>
        <v>北京市朝阳区望京东路4号院1号楼房地产抵押价值预评估</v>
      </c>
      <c r="C37" s="3246"/>
      <c r="D37" s="3246"/>
      <c r="E37" s="3246"/>
      <c r="F37" s="3246"/>
      <c r="G37" s="3246"/>
      <c r="H37" s="3246"/>
      <c r="I37" s="324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0">
        <f ca="1">ROUND(IF(D2="——",C52/10000,C52/10000-E2),4)</f>
        <v>39819.682399999998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7129</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11171792</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11171792</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11171792</v>
      </c>
      <c r="D10" s="795">
        <f ca="1">IF(B1="",'数据-汇总表'!E6,IF(INDIRECT("'数据-取费表'!c"&amp;$G$1)="住宅",INDIRECT("'数据-取费表'!s"&amp;$G$1),INDIRECT("'数据-取费表'!k"&amp;$G$1)+INDIRECT("'数据-取费表'!s"&amp;$G$1)))</f>
        <v>55858.959999999992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11171792</v>
      </c>
      <c r="D19" s="204">
        <f ca="1">D9+D10</f>
        <v>55858.959999999992</v>
      </c>
      <c r="E19" s="203">
        <f>'数据-取费表'!B31</f>
        <v>200</v>
      </c>
      <c r="F19" s="223"/>
      <c r="G19" s="1714"/>
    </row>
    <row r="20" spans="1:7" s="206" customFormat="1" ht="13.5" customHeight="1">
      <c r="A20" s="247" t="s">
        <v>1574</v>
      </c>
      <c r="B20" s="202" t="s">
        <v>1575</v>
      </c>
      <c r="C20" s="224">
        <f ca="1">ROUND((C5+C19)*F20,0)</f>
        <v>446872</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1434585</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710299</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710299</v>
      </c>
      <c r="D24" s="230"/>
      <c r="E24" s="230"/>
      <c r="F24" s="231"/>
      <c r="G24" s="232" t="s">
        <v>1586</v>
      </c>
    </row>
    <row r="25" spans="1:7" s="206" customFormat="1" ht="26">
      <c r="A25" s="734" t="s">
        <v>1476</v>
      </c>
      <c r="B25" s="207" t="s">
        <v>1587</v>
      </c>
      <c r="C25" s="230">
        <f ca="1">ROUND(IF('数据-取费表'!B22&lt;=1,C20*F22*'数据-取费表'!B22/2,C20*(POWER((1+F22),'数据-取费表'!B22/2)-1)),0)</f>
        <v>13987</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3418568</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3418568</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29946494</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339901772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307224280</v>
      </c>
      <c r="D34" s="209"/>
      <c r="E34" s="212"/>
      <c r="F34" s="249"/>
      <c r="G34" s="211"/>
    </row>
    <row r="35" spans="1:7" ht="13.5" customHeight="1">
      <c r="A35" s="734" t="s">
        <v>351</v>
      </c>
      <c r="B35" s="207" t="s">
        <v>1527</v>
      </c>
      <c r="C35" s="212">
        <f ca="1">ROUND(C34*F35,0)</f>
        <v>15361214</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11171792</v>
      </c>
      <c r="D37" s="209">
        <f ca="1">D19</f>
        <v>55858.959999999992</v>
      </c>
      <c r="E37" s="241">
        <f>'数据-取费表'!B35</f>
        <v>200</v>
      </c>
      <c r="F37" s="251"/>
      <c r="G37" s="253"/>
    </row>
    <row r="38" spans="1:7" ht="13.5" customHeight="1">
      <c r="A38" s="734" t="s">
        <v>354</v>
      </c>
      <c r="B38" s="207" t="s">
        <v>1533</v>
      </c>
      <c r="C38" s="212">
        <f ca="1">ROUND(C34*F38,0)</f>
        <v>6144486</v>
      </c>
      <c r="D38" s="212"/>
      <c r="E38" s="212"/>
      <c r="F38" s="251">
        <f>'数据-取费表'!B36</f>
        <v>0.02</v>
      </c>
      <c r="G38" s="211" t="s">
        <v>1528</v>
      </c>
    </row>
    <row r="39" spans="1:7" s="206" customFormat="1" ht="13.5" customHeight="1">
      <c r="A39" s="247" t="s">
        <v>1534</v>
      </c>
      <c r="B39" s="202" t="s">
        <v>1535</v>
      </c>
      <c r="C39" s="224">
        <f ca="1">ROUND(C33*F20,0)</f>
        <v>6798035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10851703</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10638925</v>
      </c>
      <c r="D42" s="230"/>
      <c r="E42" s="230"/>
      <c r="F42" s="231"/>
      <c r="G42" s="3428" t="s">
        <v>1591</v>
      </c>
    </row>
    <row r="43" spans="1:7" ht="13.5" customHeight="1">
      <c r="A43" s="734" t="s">
        <v>347</v>
      </c>
      <c r="B43" s="207" t="s">
        <v>1545</v>
      </c>
      <c r="C43" s="230">
        <f ca="1">ROUND(IF('数据-取费表'!B22&lt;=1,C39*F22*'数据-取费表'!B20/2,C39*(POWER((1+F22),'数据-取费表'!B20/2)-1)),0)</f>
        <v>212778</v>
      </c>
      <c r="D43" s="230"/>
      <c r="E43" s="230"/>
      <c r="F43" s="231"/>
      <c r="G43" s="3429"/>
    </row>
    <row r="44" spans="1:7" ht="13.5" customHeight="1">
      <c r="A44" s="734" t="s">
        <v>348</v>
      </c>
      <c r="B44" s="207" t="s">
        <v>1546</v>
      </c>
      <c r="C44" s="230">
        <f ca="1">ROUND(IF('数据-取费表'!B22&lt;=1,C40*F22*'数据-取费表'!B20/2,C40*(POWER((1+F22),'数据-取费表'!B20/2)-1)),4)</f>
        <v>5.9999999999999995E-4</v>
      </c>
      <c r="D44" s="230"/>
      <c r="E44" s="230"/>
      <c r="F44" s="231"/>
      <c r="G44" s="3430"/>
    </row>
    <row r="45" spans="1:7" s="206" customFormat="1" ht="13.5" customHeight="1">
      <c r="A45" s="247" t="s">
        <v>1547</v>
      </c>
      <c r="B45" s="236" t="s">
        <v>1513</v>
      </c>
      <c r="C45" s="237">
        <f ca="1">C46</f>
        <v>52004971</v>
      </c>
      <c r="D45" s="227">
        <f ca="1">C47</f>
        <v>3.0000000000000001E-3</v>
      </c>
      <c r="E45" s="228" t="s">
        <v>1539</v>
      </c>
      <c r="F45" s="238">
        <f ca="1">F27</f>
        <v>0.15</v>
      </c>
      <c r="G45" s="239" t="s">
        <v>1548</v>
      </c>
    </row>
    <row r="46" spans="1:7" s="206" customFormat="1" ht="13.5" customHeight="1">
      <c r="A46" s="734" t="s">
        <v>346</v>
      </c>
      <c r="B46" s="240" t="s">
        <v>1549</v>
      </c>
      <c r="C46" s="241">
        <f ca="1">ROUND((C33+C39)*F27,0)</f>
        <v>52004971</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443675096</v>
      </c>
      <c r="D49" s="224"/>
      <c r="E49" s="224"/>
      <c r="F49" s="256"/>
      <c r="G49" s="226" t="s">
        <v>1554</v>
      </c>
    </row>
    <row r="50" spans="1:7" s="250" customFormat="1" ht="13.5">
      <c r="A50" s="247" t="s">
        <v>1555</v>
      </c>
      <c r="B50" s="202" t="s">
        <v>1556</v>
      </c>
      <c r="C50" s="224"/>
      <c r="D50" s="224"/>
      <c r="E50" s="224"/>
      <c r="F50" s="256">
        <f>IF('数据-取费表'!B24=0,'数据-取费表'!N16,1)</f>
        <v>0.83</v>
      </c>
      <c r="G50" s="239"/>
    </row>
    <row r="51" spans="1:7" ht="16.5" customHeight="1">
      <c r="A51" s="247" t="s">
        <v>1558</v>
      </c>
      <c r="B51" s="202" t="s">
        <v>1593</v>
      </c>
      <c r="C51" s="224">
        <f ca="1">ROUND(C49*F50,0)</f>
        <v>368250330</v>
      </c>
      <c r="D51" s="224"/>
      <c r="E51" s="224"/>
      <c r="F51" s="256"/>
      <c r="G51" s="226" t="s">
        <v>1560</v>
      </c>
    </row>
    <row r="52" spans="1:7" s="200" customFormat="1" ht="16.5" thickBot="1">
      <c r="A52" s="257" t="s">
        <v>1561</v>
      </c>
      <c r="B52" s="258"/>
      <c r="C52" s="259">
        <f ca="1">C31+C51</f>
        <v>398196824</v>
      </c>
      <c r="D52" s="258"/>
      <c r="E52" s="258"/>
      <c r="F52" s="258"/>
      <c r="G52" s="260"/>
    </row>
    <row r="55" spans="1:7" ht="15.5">
      <c r="B55" s="262" t="s">
        <v>1562</v>
      </c>
      <c r="C55" s="263"/>
    </row>
    <row r="56" spans="1:7" ht="13">
      <c r="B56" s="265" t="s">
        <v>802</v>
      </c>
      <c r="C56" s="267">
        <f ca="1">1-C57</f>
        <v>7.4999999999999956E-2</v>
      </c>
    </row>
    <row r="57" spans="1:7" ht="13">
      <c r="B57" s="265" t="s">
        <v>803</v>
      </c>
      <c r="C57" s="266">
        <f ca="1">ROUND(C51/C52,3)</f>
        <v>0.92500000000000004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-1273</v>
      </c>
      <c r="C2" s="268" t="s">
        <v>1595</v>
      </c>
      <c r="D2" s="268"/>
      <c r="E2" s="2565"/>
      <c r="F2" s="2565"/>
      <c r="G2" s="2565"/>
      <c r="H2" s="2565"/>
      <c r="I2" s="2565"/>
      <c r="J2" s="2565"/>
      <c r="K2" s="2565"/>
    </row>
    <row r="3" spans="1:33" ht="18" customHeight="1" thickBot="1">
      <c r="A3" s="195" t="s">
        <v>1464</v>
      </c>
      <c r="B3" s="196">
        <f ca="1">ROUND(B2*10000/IF(C1="",'数据-汇总表'!E3,INDIRECT("'数据-取费表'!K"&amp;$K$1)),0)</f>
        <v>-228</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55858.959999999992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55858.959999999992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1117</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1117</v>
      </c>
      <c r="D20" s="796">
        <f ca="1">IF(C1="",'数据-汇总表'!E6,IF(INDIRECT("'数据-取费表'!c"&amp;$K$1)="住宅",INDIRECT("'数据-取费表'!s"&amp;$K$1),INDIRECT("'数据-取费表'!k"&amp;$K$1)+INDIRECT("'数据-取费表'!s"&amp;$K$1)))</f>
        <v>55858.959999999992</v>
      </c>
      <c r="E20" s="21">
        <f>'数据-取费表'!B28</f>
        <v>200</v>
      </c>
      <c r="F20" s="756"/>
      <c r="G20" s="12"/>
      <c r="H20" s="761"/>
      <c r="I20" s="761"/>
      <c r="J20" s="761"/>
      <c r="K20" s="762"/>
    </row>
    <row r="21" spans="1:33" s="755" customFormat="1" ht="13.5" customHeight="1">
      <c r="A21" s="744" t="s">
        <v>357</v>
      </c>
      <c r="B21" s="765" t="s">
        <v>1628</v>
      </c>
      <c r="C21" s="766">
        <f ca="1">C16+C17+C18</f>
        <v>1117</v>
      </c>
      <c r="D21" s="767"/>
      <c r="E21" s="273"/>
      <c r="F21" s="273"/>
      <c r="G21" s="123" t="s">
        <v>1629</v>
      </c>
      <c r="H21" s="759"/>
      <c r="I21" s="759"/>
      <c r="J21" s="759"/>
      <c r="K21" s="760"/>
    </row>
    <row r="22" spans="1:33" s="755" customFormat="1" ht="13.5" customHeight="1">
      <c r="A22" s="744" t="s">
        <v>1601</v>
      </c>
      <c r="B22" s="765" t="s">
        <v>1630</v>
      </c>
      <c r="C22" s="766">
        <f ca="1">ROUND(C21*F22,0)</f>
        <v>22</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171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171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-1273</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R132"/>
  <sheetViews>
    <sheetView view="pageBreakPreview" topLeftCell="A19" zoomScale="60" zoomScaleNormal="70" workbookViewId="0">
      <selection activeCell="K34" sqref="K34"/>
    </sheetView>
  </sheetViews>
  <sheetFormatPr defaultColWidth="9" defaultRowHeight="14"/>
  <cols>
    <col min="1" max="1" width="10.453125" style="347" customWidth="1"/>
    <col min="2" max="2" width="15.7265625" style="347" customWidth="1"/>
    <col min="3" max="3" width="34.08984375" style="347" customWidth="1"/>
    <col min="4" max="4" width="12.26953125" style="347" customWidth="1"/>
    <col min="5" max="5" width="26.54296875" style="347" customWidth="1"/>
    <col min="6" max="6" width="12.26953125" style="347" customWidth="1"/>
    <col min="7" max="7" width="25.453125" style="347" customWidth="1"/>
    <col min="8" max="8" width="12.26953125" style="347" customWidth="1"/>
    <col min="9" max="9" width="20.5429687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35" width="9" style="347"/>
    <col min="36" max="36" width="12.6328125" style="347" customWidth="1"/>
    <col min="37" max="16384" width="9" style="347"/>
  </cols>
  <sheetData>
    <row r="1" spans="1:29" s="1150" customFormat="1" ht="28.5" customHeight="1" thickBot="1">
      <c r="A1" s="1139" t="s">
        <v>1660</v>
      </c>
      <c r="B1" s="1808" t="s">
        <v>1810</v>
      </c>
      <c r="C1" s="1141" t="s">
        <v>1662</v>
      </c>
      <c r="D1" s="1142" t="s">
        <v>3544</v>
      </c>
      <c r="E1" s="3129" t="s">
        <v>3560</v>
      </c>
      <c r="F1" s="1735" t="s">
        <v>3561</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210465</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37678</v>
      </c>
      <c r="C3" s="344" t="s">
        <v>1768</v>
      </c>
      <c r="D3" s="343">
        <f>IF(D1="",'数据-汇总表'!E3,SUMIF('数据-汇总表'!$C19:$C33,D1,'数据-汇总表'!$E19:$E33))</f>
        <v>55858.959999999977</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c r="A4" s="345" t="s">
        <v>1769</v>
      </c>
      <c r="B4" s="346"/>
      <c r="C4" s="3454" t="s">
        <v>1770</v>
      </c>
      <c r="D4" s="3455"/>
      <c r="E4" s="3456" t="s">
        <v>1771</v>
      </c>
      <c r="F4" s="3457"/>
      <c r="G4" s="3454" t="s">
        <v>1772</v>
      </c>
      <c r="H4" s="3455"/>
      <c r="I4" s="3454" t="s">
        <v>1773</v>
      </c>
      <c r="J4" s="3455"/>
      <c r="K4" s="537" t="s">
        <v>1774</v>
      </c>
      <c r="L4" s="2484"/>
      <c r="M4" s="2485"/>
      <c r="N4" s="2485"/>
      <c r="O4" s="2485"/>
      <c r="P4" s="3458" t="s">
        <v>1775</v>
      </c>
      <c r="Q4" s="3459"/>
      <c r="R4" s="3436" t="s">
        <v>1771</v>
      </c>
      <c r="S4" s="3437"/>
      <c r="T4" s="3436" t="s">
        <v>1772</v>
      </c>
      <c r="U4" s="3437"/>
      <c r="V4" s="3466" t="s">
        <v>1773</v>
      </c>
      <c r="W4" s="3466"/>
      <c r="X4" s="1809"/>
      <c r="Y4" s="3436" t="s">
        <v>1775</v>
      </c>
      <c r="Z4" s="3437"/>
      <c r="AA4" s="3431" t="s">
        <v>1771</v>
      </c>
      <c r="AB4" s="3431" t="s">
        <v>1772</v>
      </c>
      <c r="AC4" s="3451" t="s">
        <v>1773</v>
      </c>
    </row>
    <row r="5" spans="1:29">
      <c r="A5" s="348"/>
      <c r="B5" s="349"/>
      <c r="C5" s="3442" t="s">
        <v>3785</v>
      </c>
      <c r="D5" s="3443"/>
      <c r="E5" s="3440" t="str">
        <f>比较法选取案例!B2</f>
        <v>首特钢大厦2号楼</v>
      </c>
      <c r="F5" s="3441"/>
      <c r="G5" s="3446" t="str">
        <f>比较法选取案例!B3</f>
        <v>中关村西三旗(金隅)科技园T7研发设计楼地上1-5层</v>
      </c>
      <c r="H5" s="3443"/>
      <c r="I5" s="3446" t="s">
        <v>3787</v>
      </c>
      <c r="J5" s="3443"/>
      <c r="K5" s="537"/>
      <c r="L5" s="2484"/>
      <c r="M5" s="2485"/>
      <c r="N5" s="2485"/>
      <c r="O5" s="2485"/>
      <c r="P5" s="3460"/>
      <c r="Q5" s="3461"/>
      <c r="R5" s="3438"/>
      <c r="S5" s="3439"/>
      <c r="T5" s="3438"/>
      <c r="U5" s="3439"/>
      <c r="V5" s="3467"/>
      <c r="W5" s="3467"/>
      <c r="X5" s="1265"/>
      <c r="Y5" s="3438"/>
      <c r="Z5" s="3439"/>
      <c r="AA5" s="3432"/>
      <c r="AB5" s="3432"/>
      <c r="AC5" s="3452"/>
    </row>
    <row r="6" spans="1:29" ht="15" thickBot="1">
      <c r="A6" s="350"/>
      <c r="B6" s="351"/>
      <c r="C6" s="3444" t="s">
        <v>3786</v>
      </c>
      <c r="D6" s="3445"/>
      <c r="E6" s="3447" t="str">
        <f>比较法选取案例!C2</f>
        <v>石景山区新融中街1号院</v>
      </c>
      <c r="F6" s="3448"/>
      <c r="G6" s="3449" t="str">
        <f>比较法选取案例!C3</f>
        <v>海淀区西三旗建材城中路，地块四至南与东升科技园二期接壤，北到西三旗建材城路，东临昌平区东小口镇，西靠北新建材国家机关保障性住宅用地</v>
      </c>
      <c r="H6" s="3445"/>
      <c r="I6" s="3449" t="str">
        <f>比较法选取案例!A8</f>
        <v>北京朝阳区创远路28号院1号楼</v>
      </c>
      <c r="J6" s="3445"/>
      <c r="K6" s="537" t="s">
        <v>1678</v>
      </c>
      <c r="L6" s="2484"/>
      <c r="M6" s="2485"/>
      <c r="N6" s="2485"/>
      <c r="O6" s="2485"/>
      <c r="P6" s="3462"/>
      <c r="Q6" s="3463"/>
      <c r="R6" s="3438"/>
      <c r="S6" s="3439"/>
      <c r="T6" s="3464"/>
      <c r="U6" s="3465"/>
      <c r="V6" s="3467"/>
      <c r="W6" s="3467"/>
      <c r="X6" s="1265"/>
      <c r="Y6" s="3464"/>
      <c r="Z6" s="3465"/>
      <c r="AA6" s="3433"/>
      <c r="AB6" s="3433"/>
      <c r="AC6" s="3453"/>
    </row>
    <row r="7" spans="1:29" s="102" customFormat="1" ht="14.5" thickBot="1">
      <c r="A7" s="352" t="s">
        <v>1679</v>
      </c>
      <c r="B7" s="353"/>
      <c r="C7" s="354">
        <f>'数据-取费表'!B2</f>
        <v>45901</v>
      </c>
      <c r="D7" s="355">
        <v>100</v>
      </c>
      <c r="E7" s="356">
        <f>比较法选取案例!P2</f>
        <v>45139</v>
      </c>
      <c r="F7" s="357">
        <f>SUMIF(59:59,YEAR(E7)&amp;"-"&amp;MONTH(E7),60:60)</f>
        <v>100</v>
      </c>
      <c r="G7" s="356">
        <f>比较法选取案例!P3</f>
        <v>45041</v>
      </c>
      <c r="H7" s="355">
        <f>SUMIF(59:59,YEAR(G7)&amp;"-"&amp;MONTH(G7),60:60)</f>
        <v>100</v>
      </c>
      <c r="I7" s="356" t="str">
        <f>比较法选取案例!I8</f>
        <v>2023-06-27</v>
      </c>
      <c r="J7" s="355">
        <f>SUMIF(59:59,YEAR(I7)&amp;"-"&amp;MONTH(I7),60:60)</f>
        <v>100</v>
      </c>
      <c r="K7" s="38"/>
      <c r="L7" s="2486"/>
      <c r="M7" s="2438"/>
      <c r="N7" s="2438"/>
      <c r="O7" s="2438"/>
      <c r="P7" s="3468" t="s">
        <v>1680</v>
      </c>
      <c r="Q7" s="3469"/>
      <c r="R7" s="664" t="s">
        <v>14</v>
      </c>
      <c r="S7" s="665">
        <f t="shared" ref="S7:S15" si="0">F7</f>
        <v>100</v>
      </c>
      <c r="T7" s="664" t="s">
        <v>14</v>
      </c>
      <c r="U7" s="665">
        <f t="shared" ref="U7:U15" si="1">H7</f>
        <v>100</v>
      </c>
      <c r="V7" s="664" t="s">
        <v>14</v>
      </c>
      <c r="W7" s="665">
        <f t="shared" ref="W7:W15" si="2">J7</f>
        <v>100</v>
      </c>
      <c r="X7" s="666"/>
      <c r="Y7" s="3434" t="s">
        <v>1680</v>
      </c>
      <c r="Z7" s="3435"/>
      <c r="AA7" s="50">
        <f>D7/F7</f>
        <v>1</v>
      </c>
      <c r="AB7" s="50">
        <f>D7/H7</f>
        <v>1</v>
      </c>
      <c r="AC7" s="802">
        <f>D7/J7</f>
        <v>1</v>
      </c>
    </row>
    <row r="8" spans="1:29" s="102" customFormat="1" ht="14.5" thickBot="1">
      <c r="A8" s="352" t="s">
        <v>1681</v>
      </c>
      <c r="B8" s="353"/>
      <c r="C8" s="358" t="s">
        <v>3562</v>
      </c>
      <c r="D8" s="355">
        <v>100</v>
      </c>
      <c r="E8" s="358" t="s">
        <v>3562</v>
      </c>
      <c r="F8" s="357">
        <f>SUMIF(62:62,E8,63:63)-SUMIF(62:62,C8,63:63)+100</f>
        <v>100</v>
      </c>
      <c r="G8" s="358" t="s">
        <v>3562</v>
      </c>
      <c r="H8" s="355">
        <f>SUMIF(62:62,G8,63:63)-SUMIF(62:62,C8,63:63)+100</f>
        <v>100</v>
      </c>
      <c r="I8" s="358" t="s">
        <v>3562</v>
      </c>
      <c r="J8" s="355">
        <f>SUMIF(62:62,I8,63:63)-SUMIF(62:62,C8,63:63)+100</f>
        <v>100</v>
      </c>
      <c r="K8" s="38"/>
      <c r="L8" s="2486"/>
      <c r="M8" s="2438"/>
      <c r="N8" s="2438"/>
      <c r="O8" s="2438"/>
      <c r="P8" s="3468" t="s">
        <v>1683</v>
      </c>
      <c r="Q8" s="3435"/>
      <c r="R8" s="664" t="s">
        <v>14</v>
      </c>
      <c r="S8" s="665">
        <f t="shared" si="0"/>
        <v>100</v>
      </c>
      <c r="T8" s="664" t="s">
        <v>14</v>
      </c>
      <c r="U8" s="665">
        <f t="shared" si="1"/>
        <v>100</v>
      </c>
      <c r="V8" s="664" t="s">
        <v>14</v>
      </c>
      <c r="W8" s="665">
        <f t="shared" si="2"/>
        <v>100</v>
      </c>
      <c r="X8" s="666"/>
      <c r="Y8" s="3434" t="s">
        <v>1683</v>
      </c>
      <c r="Z8" s="3435"/>
      <c r="AA8" s="50">
        <f t="shared" ref="AA8:AA47" si="3">D8/F8</f>
        <v>1</v>
      </c>
      <c r="AB8" s="50">
        <f t="shared" ref="AB8:AB47" si="4">D8/H8</f>
        <v>1</v>
      </c>
      <c r="AC8" s="802">
        <f t="shared" ref="AC8:AC47" si="5">D8/J8</f>
        <v>1</v>
      </c>
    </row>
    <row r="9" spans="1:29" s="102" customFormat="1">
      <c r="A9" s="359" t="s">
        <v>1684</v>
      </c>
      <c r="B9" s="60" t="s">
        <v>1685</v>
      </c>
      <c r="C9" s="3185" t="s">
        <v>3563</v>
      </c>
      <c r="D9" s="59">
        <v>100</v>
      </c>
      <c r="E9" s="362" t="s">
        <v>3565</v>
      </c>
      <c r="F9" s="59">
        <f>SUMIF(64:64,E9,65:65)-SUMIF(64:64,C9,65:65)+100</f>
        <v>100</v>
      </c>
      <c r="G9" s="362" t="s">
        <v>3565</v>
      </c>
      <c r="H9" s="59">
        <f>SUMIF(64:64,G9,65:65)-SUMIF(64:64,C9,65:65)+100</f>
        <v>100</v>
      </c>
      <c r="I9" s="362" t="s">
        <v>21</v>
      </c>
      <c r="J9" s="59">
        <f>SUMIF(64:64,I9,65:65)-SUMIF(64:64,C9,65:65)+100</f>
        <v>105</v>
      </c>
      <c r="K9" s="38"/>
      <c r="L9" s="2486"/>
      <c r="M9" s="2438"/>
      <c r="N9" s="2438"/>
      <c r="O9" s="2438"/>
      <c r="P9" s="3450" t="s">
        <v>1686</v>
      </c>
      <c r="Q9" s="530" t="str">
        <f t="shared" ref="Q9:Q15" si="6">B9</f>
        <v>用途</v>
      </c>
      <c r="R9" s="664" t="s">
        <v>14</v>
      </c>
      <c r="S9" s="665">
        <f t="shared" si="0"/>
        <v>100</v>
      </c>
      <c r="T9" s="664" t="s">
        <v>14</v>
      </c>
      <c r="U9" s="665">
        <f t="shared" si="1"/>
        <v>100</v>
      </c>
      <c r="V9" s="664" t="s">
        <v>14</v>
      </c>
      <c r="W9" s="665">
        <f t="shared" si="2"/>
        <v>105</v>
      </c>
      <c r="X9" s="666"/>
      <c r="Y9" s="3404" t="s">
        <v>1687</v>
      </c>
      <c r="Z9" s="50" t="str">
        <f t="shared" ref="Z9:Z15" si="7">Q9</f>
        <v>用途</v>
      </c>
      <c r="AA9" s="50">
        <f t="shared" si="3"/>
        <v>1</v>
      </c>
      <c r="AB9" s="50">
        <f t="shared" si="4"/>
        <v>1</v>
      </c>
      <c r="AC9" s="802">
        <f t="shared" si="5"/>
        <v>0.95238095238095233</v>
      </c>
    </row>
    <row r="10" spans="1:29" s="366" customFormat="1" ht="28">
      <c r="A10" s="363"/>
      <c r="B10" s="364" t="s">
        <v>1688</v>
      </c>
      <c r="C10" s="3130" t="s">
        <v>3564</v>
      </c>
      <c r="D10" s="119">
        <v>100</v>
      </c>
      <c r="E10" s="3130" t="s">
        <v>3564</v>
      </c>
      <c r="F10" s="119">
        <f>SUMIF(66:66,E10,67:67)-SUMIF(66:66,C10,67:67)+100</f>
        <v>100</v>
      </c>
      <c r="G10" s="3131" t="s">
        <v>3568</v>
      </c>
      <c r="H10" s="119">
        <f>SUMIF(66:66,G10,67:67)-SUMIF(66:66,C10,67:67)+100</f>
        <v>97</v>
      </c>
      <c r="I10" s="3130" t="s">
        <v>3572</v>
      </c>
      <c r="J10" s="119">
        <f>SUMIF(66:66,I10,67:67)-SUMIF(66:66,C10,67:67)+100</f>
        <v>103</v>
      </c>
      <c r="K10" s="38"/>
      <c r="L10" s="2487"/>
      <c r="M10" s="2488"/>
      <c r="N10" s="2488"/>
      <c r="O10" s="2488"/>
      <c r="P10" s="3450"/>
      <c r="Q10" s="530" t="str">
        <f t="shared" si="6"/>
        <v>土地使用年限（年）</v>
      </c>
      <c r="R10" s="664" t="s">
        <v>14</v>
      </c>
      <c r="S10" s="665">
        <f t="shared" si="0"/>
        <v>100</v>
      </c>
      <c r="T10" s="664" t="s">
        <v>14</v>
      </c>
      <c r="U10" s="665">
        <f t="shared" si="1"/>
        <v>97</v>
      </c>
      <c r="V10" s="664" t="s">
        <v>14</v>
      </c>
      <c r="W10" s="665">
        <f t="shared" si="2"/>
        <v>103</v>
      </c>
      <c r="X10" s="666"/>
      <c r="Y10" s="3404"/>
      <c r="Z10" s="50" t="str">
        <f t="shared" si="7"/>
        <v>土地使用年限（年）</v>
      </c>
      <c r="AA10" s="50">
        <f t="shared" si="3"/>
        <v>1</v>
      </c>
      <c r="AB10" s="50">
        <f t="shared" si="4"/>
        <v>1.0309278350515463</v>
      </c>
      <c r="AC10" s="802">
        <f t="shared" si="5"/>
        <v>0.970873786407767</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50"/>
      <c r="Q11" s="530" t="str">
        <f t="shared" si="6"/>
        <v>容积率</v>
      </c>
      <c r="R11" s="664" t="s">
        <v>14</v>
      </c>
      <c r="S11" s="665">
        <f t="shared" si="0"/>
        <v>100</v>
      </c>
      <c r="T11" s="664" t="s">
        <v>14</v>
      </c>
      <c r="U11" s="665">
        <f t="shared" si="1"/>
        <v>100</v>
      </c>
      <c r="V11" s="664" t="s">
        <v>14</v>
      </c>
      <c r="W11" s="665">
        <f t="shared" si="2"/>
        <v>100</v>
      </c>
      <c r="X11" s="666"/>
      <c r="Y11" s="3404"/>
      <c r="Z11" s="50" t="str">
        <f t="shared" si="7"/>
        <v>容积率</v>
      </c>
      <c r="AA11" s="50">
        <f t="shared" si="3"/>
        <v>1</v>
      </c>
      <c r="AB11" s="50">
        <f t="shared" si="4"/>
        <v>1</v>
      </c>
      <c r="AC11" s="802">
        <f t="shared" si="5"/>
        <v>1</v>
      </c>
    </row>
    <row r="12" spans="1:29" s="102" customFormat="1" ht="15.5">
      <c r="A12" s="370"/>
      <c r="B12" s="447">
        <v>111</v>
      </c>
      <c r="C12" s="371"/>
      <c r="D12" s="372">
        <v>100</v>
      </c>
      <c r="E12" s="371">
        <v>2015</v>
      </c>
      <c r="F12" s="119">
        <f>SUMIF(71:71,E12,72:72)-SUMIF(71:71,C12,72:72)+100</f>
        <v>100</v>
      </c>
      <c r="G12" s="1810">
        <v>2023</v>
      </c>
      <c r="H12" s="119">
        <f>SUMIF(71:71,G12,72:72)-SUMIF(71:71,C12,72:72)+100</f>
        <v>100</v>
      </c>
      <c r="I12" s="371">
        <v>2021</v>
      </c>
      <c r="J12" s="119">
        <f>SUMIF(71:71,I12,72:72)-SUMIF(71:71,C12,72:72)+100</f>
        <v>100</v>
      </c>
      <c r="K12" s="539"/>
      <c r="L12" s="2486"/>
      <c r="M12" s="2438"/>
      <c r="N12" s="2438"/>
      <c r="O12" s="2438"/>
      <c r="P12" s="3450"/>
      <c r="Q12" s="530">
        <f t="shared" si="6"/>
        <v>111</v>
      </c>
      <c r="R12" s="664" t="s">
        <v>14</v>
      </c>
      <c r="S12" s="665">
        <f t="shared" si="0"/>
        <v>100</v>
      </c>
      <c r="T12" s="664" t="s">
        <v>14</v>
      </c>
      <c r="U12" s="665">
        <f t="shared" si="1"/>
        <v>100</v>
      </c>
      <c r="V12" s="664" t="s">
        <v>14</v>
      </c>
      <c r="W12" s="665">
        <f t="shared" si="2"/>
        <v>100</v>
      </c>
      <c r="X12" s="666"/>
      <c r="Y12" s="3404"/>
      <c r="Z12" s="50">
        <f t="shared" si="7"/>
        <v>111</v>
      </c>
      <c r="AA12" s="50">
        <f>D12/F12</f>
        <v>1</v>
      </c>
      <c r="AB12" s="50">
        <f>D12/H12</f>
        <v>1</v>
      </c>
      <c r="AC12" s="802">
        <f>D12/J12</f>
        <v>1</v>
      </c>
    </row>
    <row r="13" spans="1:29" ht="28.5">
      <c r="A13" s="367"/>
      <c r="B13" s="447">
        <v>111</v>
      </c>
      <c r="C13" s="373"/>
      <c r="D13" s="374">
        <v>100</v>
      </c>
      <c r="E13" s="368">
        <f>E12-2+50-2025</f>
        <v>38</v>
      </c>
      <c r="F13" s="119">
        <f>SUMIF(73:73,E13,74:74)-SUMIF(73:73,C13,74:74)+100</f>
        <v>100</v>
      </c>
      <c r="G13" s="3188" t="s">
        <v>3569</v>
      </c>
      <c r="H13" s="374">
        <f>SUMIF(73:73,G13,74:74)-SUMIF(73:73,C13,74:74)+100</f>
        <v>100</v>
      </c>
      <c r="I13" s="3191" t="s">
        <v>3573</v>
      </c>
      <c r="J13" s="374">
        <f>SUMIF(73:73,I13,74:74)-SUMIF(73:73,C13,74:74)+100</f>
        <v>100</v>
      </c>
      <c r="K13" s="539"/>
      <c r="L13" s="2490"/>
      <c r="M13" s="2485"/>
      <c r="N13" s="2485"/>
      <c r="O13" s="2485"/>
      <c r="P13" s="3450"/>
      <c r="Q13" s="530">
        <f t="shared" si="6"/>
        <v>111</v>
      </c>
      <c r="R13" s="664" t="s">
        <v>14</v>
      </c>
      <c r="S13" s="665">
        <f t="shared" si="0"/>
        <v>100</v>
      </c>
      <c r="T13" s="664" t="s">
        <v>14</v>
      </c>
      <c r="U13" s="665">
        <f t="shared" si="1"/>
        <v>100</v>
      </c>
      <c r="V13" s="664" t="s">
        <v>14</v>
      </c>
      <c r="W13" s="665">
        <f t="shared" si="2"/>
        <v>100</v>
      </c>
      <c r="X13" s="666"/>
      <c r="Y13" s="3404"/>
      <c r="Z13" s="50">
        <f t="shared" si="7"/>
        <v>111</v>
      </c>
      <c r="AA13" s="50">
        <f t="shared" si="3"/>
        <v>1</v>
      </c>
      <c r="AB13" s="50">
        <f t="shared" si="4"/>
        <v>1</v>
      </c>
      <c r="AC13" s="802">
        <f t="shared" si="5"/>
        <v>1</v>
      </c>
    </row>
    <row r="14" spans="1:29" ht="28.5" thickBot="1">
      <c r="A14" s="375"/>
      <c r="B14" s="1749">
        <v>111</v>
      </c>
      <c r="C14" s="376"/>
      <c r="D14" s="377">
        <v>100</v>
      </c>
      <c r="E14" s="3186" t="s">
        <v>3566</v>
      </c>
      <c r="F14" s="377">
        <f>SUMIF(75:75,E14,76:76)-SUMIF(75:75,C14,76:76)+100</f>
        <v>100</v>
      </c>
      <c r="G14" s="3189" t="s">
        <v>3570</v>
      </c>
      <c r="H14" s="377">
        <f>SUMIF(75:75,G14,76:76)-SUMIF(75:75,C14,76:76)+100</f>
        <v>100</v>
      </c>
      <c r="I14" s="371">
        <f>2018+50-2025</f>
        <v>43</v>
      </c>
      <c r="J14" s="377">
        <f>SUMIF(75:75,I14,76:76)-SUMIF(75:75,C14,76:76)+100</f>
        <v>100</v>
      </c>
      <c r="K14" s="539"/>
      <c r="L14" s="2490"/>
      <c r="M14" s="2485"/>
      <c r="N14" s="2485"/>
      <c r="O14" s="2485"/>
      <c r="P14" s="3450"/>
      <c r="Q14" s="530">
        <f t="shared" si="6"/>
        <v>111</v>
      </c>
      <c r="R14" s="664" t="s">
        <v>14</v>
      </c>
      <c r="S14" s="665">
        <f t="shared" si="0"/>
        <v>100</v>
      </c>
      <c r="T14" s="664" t="s">
        <v>14</v>
      </c>
      <c r="U14" s="665">
        <f t="shared" si="1"/>
        <v>100</v>
      </c>
      <c r="V14" s="664" t="s">
        <v>14</v>
      </c>
      <c r="W14" s="665">
        <f t="shared" si="2"/>
        <v>100</v>
      </c>
      <c r="X14" s="666"/>
      <c r="Y14" s="3404"/>
      <c r="Z14" s="50">
        <f t="shared" si="7"/>
        <v>111</v>
      </c>
      <c r="AA14" s="50">
        <f t="shared" si="3"/>
        <v>1</v>
      </c>
      <c r="AB14" s="50">
        <f t="shared" si="4"/>
        <v>1</v>
      </c>
      <c r="AC14" s="802">
        <f t="shared" si="5"/>
        <v>1</v>
      </c>
    </row>
    <row r="15" spans="1:29" ht="77.5" customHeight="1">
      <c r="A15" s="379" t="s">
        <v>1690</v>
      </c>
      <c r="B15" s="554" t="s">
        <v>1811</v>
      </c>
      <c r="C15" s="1811" t="str">
        <f>估价对象房地状况!C5</f>
        <v>估价对象位于北五环内，周边有望京国际研发园、望京数字创意园、锐创国际中心等办公项目，办公集聚程度较好</v>
      </c>
      <c r="D15" s="380">
        <v>100</v>
      </c>
      <c r="E15" s="3187" t="s">
        <v>3567</v>
      </c>
      <c r="F15" s="380">
        <f>SUMIF(77:77,E16,78:78)-SUMIF(77:77,C16,78:78)+100</f>
        <v>100</v>
      </c>
      <c r="G15" s="3190" t="s">
        <v>3571</v>
      </c>
      <c r="H15" s="380">
        <f>SUMIF(77:77,G16,78:78)-SUMIF(77:77,C16,78:78)+100</f>
        <v>100</v>
      </c>
      <c r="I15" s="3192" t="s">
        <v>3574</v>
      </c>
      <c r="J15" s="380">
        <f>SUMIF(77:77,I16,78:78)-SUMIF(77:77,C16,78:78)+100</f>
        <v>100</v>
      </c>
      <c r="K15" s="540">
        <v>5</v>
      </c>
      <c r="L15" s="2490"/>
      <c r="M15" s="2485"/>
      <c r="N15" s="2485"/>
      <c r="O15" s="2485"/>
      <c r="P15" s="3470" t="s">
        <v>1691</v>
      </c>
      <c r="Q15" s="1263" t="str">
        <f t="shared" si="6"/>
        <v>办公集聚程度</v>
      </c>
      <c r="R15" s="667" t="s">
        <v>14</v>
      </c>
      <c r="S15" s="668">
        <f t="shared" si="0"/>
        <v>100</v>
      </c>
      <c r="T15" s="667" t="s">
        <v>14</v>
      </c>
      <c r="U15" s="668">
        <f t="shared" si="1"/>
        <v>100</v>
      </c>
      <c r="V15" s="667" t="s">
        <v>14</v>
      </c>
      <c r="W15" s="668">
        <f t="shared" si="2"/>
        <v>100</v>
      </c>
      <c r="X15" s="1265"/>
      <c r="Y15" s="3472" t="s">
        <v>1691</v>
      </c>
      <c r="Z15" s="1264" t="str">
        <f t="shared" si="7"/>
        <v>办公集聚程度</v>
      </c>
      <c r="AA15" s="1264">
        <f t="shared" si="3"/>
        <v>1</v>
      </c>
      <c r="AB15" s="1264">
        <f t="shared" si="4"/>
        <v>1</v>
      </c>
      <c r="AC15" s="1812">
        <f t="shared" si="5"/>
        <v>1</v>
      </c>
    </row>
    <row r="16" spans="1:29" ht="15.5">
      <c r="A16" s="367"/>
      <c r="B16" s="555"/>
      <c r="C16" s="1758" t="s">
        <v>3582</v>
      </c>
      <c r="D16" s="387"/>
      <c r="E16" s="1758" t="s">
        <v>3582</v>
      </c>
      <c r="F16" s="387"/>
      <c r="G16" s="1758" t="s">
        <v>3582</v>
      </c>
      <c r="H16" s="389"/>
      <c r="I16" s="1758" t="s">
        <v>3582</v>
      </c>
      <c r="J16" s="387"/>
      <c r="K16" s="541"/>
      <c r="L16" s="2490"/>
      <c r="M16" s="2485"/>
      <c r="N16" s="2485"/>
      <c r="O16" s="2485"/>
      <c r="P16" s="3471"/>
      <c r="Q16" s="1263"/>
      <c r="R16" s="667"/>
      <c r="S16" s="668"/>
      <c r="T16" s="667"/>
      <c r="U16" s="668"/>
      <c r="V16" s="667"/>
      <c r="W16" s="668"/>
      <c r="X16" s="1265"/>
      <c r="Y16" s="3473"/>
      <c r="Z16" s="1264"/>
      <c r="AA16" s="1264">
        <v>1</v>
      </c>
      <c r="AB16" s="1264">
        <v>1</v>
      </c>
      <c r="AC16" s="1812">
        <v>1</v>
      </c>
    </row>
    <row r="17" spans="1:29" ht="114">
      <c r="A17" s="367"/>
      <c r="B17" s="556" t="s">
        <v>1259</v>
      </c>
      <c r="C17" s="1813" t="str">
        <f>估价对象房地状况!C6</f>
        <v>估价对象临城市支路——屏翠东路，周边1公里范围内有专112、专15、547等多条公交线路，距地铁15号线望京东站约589米，项目内有停车位，停车便捷度较好，综合评价交通便捷度较好。</v>
      </c>
      <c r="D17" s="389">
        <v>100</v>
      </c>
      <c r="E17" s="3193" t="s">
        <v>3575</v>
      </c>
      <c r="F17" s="389">
        <f>SUMIF(79:79,E18,80:80)-SUMIF(79:79,C18,80:80)+100</f>
        <v>100</v>
      </c>
      <c r="G17" s="3193" t="s">
        <v>3576</v>
      </c>
      <c r="H17" s="394">
        <f>SUMIF(79:79,G18,80:80)-SUMIF(79:79,C18,80:80)+100</f>
        <v>100</v>
      </c>
      <c r="I17" s="3193" t="s">
        <v>3577</v>
      </c>
      <c r="J17" s="394">
        <f>SUMIF(79:79,I18,80:80)-SUMIF(79:79,C18,80:80)+100</f>
        <v>100</v>
      </c>
      <c r="K17" s="540">
        <v>2</v>
      </c>
      <c r="L17" s="2490"/>
      <c r="M17" s="2485"/>
      <c r="N17" s="2485"/>
      <c r="O17" s="2485"/>
      <c r="P17" s="3471"/>
      <c r="Q17" s="1263" t="str">
        <f>B17</f>
        <v>交通便捷度</v>
      </c>
      <c r="R17" s="667" t="s">
        <v>14</v>
      </c>
      <c r="S17" s="668">
        <f>F17</f>
        <v>100</v>
      </c>
      <c r="T17" s="667" t="s">
        <v>14</v>
      </c>
      <c r="U17" s="668">
        <f>H17</f>
        <v>100</v>
      </c>
      <c r="V17" s="667" t="s">
        <v>14</v>
      </c>
      <c r="W17" s="668">
        <f>J17</f>
        <v>100</v>
      </c>
      <c r="X17" s="1265"/>
      <c r="Y17" s="3473"/>
      <c r="Z17" s="1264" t="str">
        <f>Q17</f>
        <v>交通便捷度</v>
      </c>
      <c r="AA17" s="1264">
        <f t="shared" si="3"/>
        <v>1</v>
      </c>
      <c r="AB17" s="1264">
        <f t="shared" si="4"/>
        <v>1</v>
      </c>
      <c r="AC17" s="1812">
        <f t="shared" si="5"/>
        <v>1</v>
      </c>
    </row>
    <row r="18" spans="1:29" ht="15.5">
      <c r="A18" s="367"/>
      <c r="B18" s="401"/>
      <c r="C18" s="1758" t="s">
        <v>3582</v>
      </c>
      <c r="D18" s="389"/>
      <c r="E18" s="1758" t="s">
        <v>3582</v>
      </c>
      <c r="F18" s="389"/>
      <c r="G18" s="1758" t="s">
        <v>3582</v>
      </c>
      <c r="H18" s="387"/>
      <c r="I18" s="1758" t="s">
        <v>3582</v>
      </c>
      <c r="J18" s="387"/>
      <c r="K18" s="541"/>
      <c r="L18" s="2490"/>
      <c r="M18" s="2485"/>
      <c r="N18" s="2485"/>
      <c r="O18" s="2485"/>
      <c r="P18" s="3471"/>
      <c r="Q18" s="1263"/>
      <c r="R18" s="667"/>
      <c r="S18" s="668"/>
      <c r="T18" s="667"/>
      <c r="U18" s="668"/>
      <c r="V18" s="667"/>
      <c r="W18" s="668"/>
      <c r="X18" s="1265"/>
      <c r="Y18" s="3473"/>
      <c r="Z18" s="1264"/>
      <c r="AA18" s="1264">
        <v>1</v>
      </c>
      <c r="AB18" s="1264">
        <v>1</v>
      </c>
      <c r="AC18" s="1812">
        <v>1</v>
      </c>
    </row>
    <row r="19" spans="1:29" ht="266.5">
      <c r="A19" s="367"/>
      <c r="B19" s="556" t="s">
        <v>1812</v>
      </c>
      <c r="C19" s="1813" t="str">
        <f>估价对象房地状况!C7</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D19" s="394">
        <v>100</v>
      </c>
      <c r="E19" s="3194" t="s">
        <v>3578</v>
      </c>
      <c r="F19" s="394">
        <f>SUMIF(81:81,E20,82:82)-SUMIF(81:81,C20,82:82)+100</f>
        <v>100</v>
      </c>
      <c r="G19" s="3194" t="s">
        <v>3579</v>
      </c>
      <c r="H19" s="389">
        <f>SUMIF(81:81,G20,82:82)-SUMIF(81:81,C20,82:82)+100</f>
        <v>100</v>
      </c>
      <c r="I19" s="3194" t="s">
        <v>3580</v>
      </c>
      <c r="J19" s="389">
        <f>SUMIF(81:81,I20,82:82)-SUMIF(81:81,C20,82:82)+100</f>
        <v>100</v>
      </c>
      <c r="K19" s="540">
        <v>2</v>
      </c>
      <c r="L19" s="2490"/>
      <c r="M19" s="2485"/>
      <c r="N19" s="2485"/>
      <c r="O19" s="2485"/>
      <c r="P19" s="3471"/>
      <c r="Q19" s="1263" t="str">
        <f>B19</f>
        <v>公共配套设施</v>
      </c>
      <c r="R19" s="667" t="s">
        <v>14</v>
      </c>
      <c r="S19" s="668">
        <f>F19</f>
        <v>100</v>
      </c>
      <c r="T19" s="667" t="s">
        <v>14</v>
      </c>
      <c r="U19" s="668">
        <f>H19</f>
        <v>100</v>
      </c>
      <c r="V19" s="667" t="s">
        <v>14</v>
      </c>
      <c r="W19" s="668">
        <f>J19</f>
        <v>100</v>
      </c>
      <c r="X19" s="1265"/>
      <c r="Y19" s="3473"/>
      <c r="Z19" s="1264" t="str">
        <f>Q19</f>
        <v>公共配套设施</v>
      </c>
      <c r="AA19" s="1264">
        <f t="shared" si="3"/>
        <v>1</v>
      </c>
      <c r="AB19" s="1264">
        <f t="shared" si="4"/>
        <v>1</v>
      </c>
      <c r="AC19" s="1812">
        <f t="shared" si="5"/>
        <v>1</v>
      </c>
    </row>
    <row r="20" spans="1:29" ht="15.5">
      <c r="A20" s="367"/>
      <c r="B20" s="401"/>
      <c r="C20" s="1758" t="s">
        <v>3582</v>
      </c>
      <c r="D20" s="387"/>
      <c r="E20" s="1758" t="s">
        <v>3582</v>
      </c>
      <c r="F20" s="387"/>
      <c r="G20" s="1758" t="s">
        <v>3582</v>
      </c>
      <c r="H20" s="387"/>
      <c r="I20" s="1758" t="s">
        <v>3582</v>
      </c>
      <c r="J20" s="387"/>
      <c r="K20" s="541"/>
      <c r="L20" s="2490"/>
      <c r="M20" s="2485"/>
      <c r="N20" s="2485"/>
      <c r="O20" s="2485"/>
      <c r="P20" s="3471"/>
      <c r="Q20" s="1263"/>
      <c r="R20" s="667"/>
      <c r="S20" s="668"/>
      <c r="T20" s="667"/>
      <c r="U20" s="668"/>
      <c r="V20" s="667"/>
      <c r="W20" s="668"/>
      <c r="X20" s="1265"/>
      <c r="Y20" s="3473"/>
      <c r="Z20" s="1264"/>
      <c r="AA20" s="1264">
        <v>1</v>
      </c>
      <c r="AB20" s="1264">
        <v>1</v>
      </c>
      <c r="AC20" s="1812">
        <v>1</v>
      </c>
    </row>
    <row r="21" spans="1:29" ht="15.5">
      <c r="A21" s="367"/>
      <c r="B21" s="557" t="s">
        <v>1813</v>
      </c>
      <c r="C21" s="1813"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v>1</v>
      </c>
      <c r="L21" s="2490"/>
      <c r="M21" s="2485"/>
      <c r="N21" s="2485"/>
      <c r="O21" s="2485"/>
      <c r="P21" s="3471"/>
      <c r="Q21" s="1263" t="str">
        <f>B21</f>
        <v>基础设施水平</v>
      </c>
      <c r="R21" s="667" t="s">
        <v>14</v>
      </c>
      <c r="S21" s="668">
        <f>F21</f>
        <v>100</v>
      </c>
      <c r="T21" s="667" t="s">
        <v>14</v>
      </c>
      <c r="U21" s="668">
        <f>H21</f>
        <v>100</v>
      </c>
      <c r="V21" s="667" t="s">
        <v>14</v>
      </c>
      <c r="W21" s="668">
        <f>J21</f>
        <v>100</v>
      </c>
      <c r="X21" s="1265"/>
      <c r="Y21" s="3473"/>
      <c r="Z21" s="1264" t="str">
        <f>Q21</f>
        <v>基础设施水平</v>
      </c>
      <c r="AA21" s="1264">
        <f t="shared" ref="AA21" si="8">D21/F21</f>
        <v>1</v>
      </c>
      <c r="AB21" s="1264">
        <f t="shared" ref="AB21" si="9">D21/H21</f>
        <v>1</v>
      </c>
      <c r="AC21" s="1812">
        <f t="shared" ref="AC21" si="10">D21/J21</f>
        <v>1</v>
      </c>
    </row>
    <row r="22" spans="1:29" ht="15.5">
      <c r="A22" s="367"/>
      <c r="B22" s="557"/>
      <c r="C22" s="1814" t="s">
        <v>3581</v>
      </c>
      <c r="D22" s="387"/>
      <c r="E22" s="1814" t="s">
        <v>3581</v>
      </c>
      <c r="F22" s="387"/>
      <c r="G22" s="1814" t="s">
        <v>3581</v>
      </c>
      <c r="H22" s="387"/>
      <c r="I22" s="1814" t="s">
        <v>3581</v>
      </c>
      <c r="J22" s="387"/>
      <c r="K22" s="1064"/>
      <c r="L22" s="2490"/>
      <c r="M22" s="2485"/>
      <c r="N22" s="2485"/>
      <c r="O22" s="2485"/>
      <c r="P22" s="3471"/>
      <c r="Q22" s="1263"/>
      <c r="R22" s="667"/>
      <c r="S22" s="668"/>
      <c r="T22" s="667"/>
      <c r="U22" s="668"/>
      <c r="V22" s="667"/>
      <c r="W22" s="668"/>
      <c r="X22" s="1265"/>
      <c r="Y22" s="3473"/>
      <c r="Z22" s="1264"/>
      <c r="AA22" s="1264">
        <v>1</v>
      </c>
      <c r="AB22" s="1264">
        <v>1</v>
      </c>
      <c r="AC22" s="1812">
        <v>1</v>
      </c>
    </row>
    <row r="23" spans="1:29" ht="98">
      <c r="A23" s="367"/>
      <c r="B23" s="556" t="s">
        <v>1814</v>
      </c>
      <c r="C23" s="1813" t="str">
        <f>估价对象房地状况!C9</f>
        <v>区域自然环境：大望京公园、善各庄公园；无人文环境；综合评价环境状况较好</v>
      </c>
      <c r="D23" s="389">
        <v>100</v>
      </c>
      <c r="E23" s="3213" t="s">
        <v>3669</v>
      </c>
      <c r="F23" s="389">
        <f>SUMIF(85:85,E24,86:86)-SUMIF(85:85,C24,86:86)+100</f>
        <v>100</v>
      </c>
      <c r="G23" s="3213" t="s">
        <v>3670</v>
      </c>
      <c r="H23" s="389">
        <f>SUMIF(85:85,G24,86:86)-SUMIF(85:85,C24,86:86)+100</f>
        <v>100</v>
      </c>
      <c r="I23" s="3214" t="s">
        <v>3671</v>
      </c>
      <c r="J23" s="389">
        <f>SUMIF(85:85,I24,86:86)-SUMIF(85:85,C24,86:86)+100</f>
        <v>100</v>
      </c>
      <c r="K23" s="540">
        <v>2</v>
      </c>
      <c r="L23" s="2490"/>
      <c r="M23" s="2485"/>
      <c r="N23" s="2485"/>
      <c r="O23" s="2485"/>
      <c r="P23" s="3471"/>
      <c r="Q23" s="1263" t="str">
        <f>B23</f>
        <v>环境质量</v>
      </c>
      <c r="R23" s="667" t="s">
        <v>14</v>
      </c>
      <c r="S23" s="668">
        <f>F23</f>
        <v>100</v>
      </c>
      <c r="T23" s="667" t="s">
        <v>14</v>
      </c>
      <c r="U23" s="668">
        <f>H23</f>
        <v>100</v>
      </c>
      <c r="V23" s="667" t="s">
        <v>14</v>
      </c>
      <c r="W23" s="668">
        <f>J23</f>
        <v>100</v>
      </c>
      <c r="X23" s="1265"/>
      <c r="Y23" s="3473"/>
      <c r="Z23" s="1264" t="str">
        <f>Q23</f>
        <v>环境质量</v>
      </c>
      <c r="AA23" s="1264">
        <f t="shared" si="3"/>
        <v>1</v>
      </c>
      <c r="AB23" s="1264">
        <f t="shared" si="4"/>
        <v>1</v>
      </c>
      <c r="AC23" s="1812">
        <f t="shared" si="5"/>
        <v>1</v>
      </c>
    </row>
    <row r="24" spans="1:29" ht="16" thickBot="1">
      <c r="A24" s="367"/>
      <c r="B24" s="557"/>
      <c r="C24" s="1758" t="s">
        <v>3582</v>
      </c>
      <c r="D24" s="387"/>
      <c r="E24" s="1758" t="s">
        <v>3582</v>
      </c>
      <c r="F24" s="387"/>
      <c r="G24" s="1758" t="s">
        <v>3582</v>
      </c>
      <c r="H24" s="387"/>
      <c r="I24" s="1758" t="s">
        <v>3582</v>
      </c>
      <c r="J24" s="387"/>
      <c r="K24" s="541"/>
      <c r="L24" s="2490"/>
      <c r="M24" s="2485"/>
      <c r="N24" s="2485"/>
      <c r="O24" s="2485"/>
      <c r="P24" s="3471"/>
      <c r="Q24" s="1263"/>
      <c r="R24" s="667"/>
      <c r="S24" s="668"/>
      <c r="T24" s="667"/>
      <c r="U24" s="668"/>
      <c r="V24" s="667"/>
      <c r="W24" s="668"/>
      <c r="X24" s="1265"/>
      <c r="Y24" s="3473"/>
      <c r="Z24" s="1264"/>
      <c r="AA24" s="1264">
        <v>1</v>
      </c>
      <c r="AB24" s="1264">
        <v>1</v>
      </c>
      <c r="AC24" s="1812">
        <v>1</v>
      </c>
    </row>
    <row r="25" spans="1:29" ht="28" hidden="1">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471"/>
      <c r="Q25" s="1263" t="str">
        <f>B25</f>
        <v>毗邻道路的类型与等级</v>
      </c>
      <c r="R25" s="667" t="s">
        <v>14</v>
      </c>
      <c r="S25" s="668">
        <f>F25</f>
        <v>100</v>
      </c>
      <c r="T25" s="667" t="s">
        <v>14</v>
      </c>
      <c r="U25" s="668">
        <f>H25</f>
        <v>100</v>
      </c>
      <c r="V25" s="667" t="s">
        <v>14</v>
      </c>
      <c r="W25" s="668">
        <f>J25</f>
        <v>100</v>
      </c>
      <c r="X25" s="1265"/>
      <c r="Y25" s="3473"/>
      <c r="Z25" s="1264" t="str">
        <f>Q25</f>
        <v>毗邻道路的类型与等级</v>
      </c>
      <c r="AA25" s="1264">
        <f t="shared" si="3"/>
        <v>1</v>
      </c>
      <c r="AB25" s="1264">
        <f t="shared" si="4"/>
        <v>1</v>
      </c>
      <c r="AC25" s="1812">
        <f t="shared" si="5"/>
        <v>1</v>
      </c>
    </row>
    <row r="26" spans="1:29" ht="15.5" hidden="1">
      <c r="A26" s="348"/>
      <c r="B26" s="401"/>
      <c r="C26" s="558"/>
      <c r="D26" s="374"/>
      <c r="E26" s="542"/>
      <c r="F26" s="374"/>
      <c r="G26" s="558"/>
      <c r="H26" s="374"/>
      <c r="I26" s="542"/>
      <c r="J26" s="374"/>
      <c r="K26" s="541"/>
      <c r="L26" s="2490"/>
      <c r="M26" s="2485"/>
      <c r="N26" s="2485"/>
      <c r="O26" s="2485"/>
      <c r="P26" s="3471"/>
      <c r="Q26" s="1263"/>
      <c r="R26" s="667"/>
      <c r="S26" s="668"/>
      <c r="T26" s="667"/>
      <c r="U26" s="668"/>
      <c r="V26" s="667"/>
      <c r="W26" s="668"/>
      <c r="X26" s="1265"/>
      <c r="Y26" s="3473"/>
      <c r="Z26" s="1264"/>
      <c r="AA26" s="1264">
        <v>1</v>
      </c>
      <c r="AB26" s="1264">
        <v>1</v>
      </c>
      <c r="AC26" s="1812">
        <v>1</v>
      </c>
    </row>
    <row r="27" spans="1:29" ht="15.5" hidden="1">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71"/>
      <c r="Q27" s="1263" t="str">
        <f t="shared" ref="Q27:Q47" si="11">B27</f>
        <v>楼层</v>
      </c>
      <c r="R27" s="667" t="s">
        <v>14</v>
      </c>
      <c r="S27" s="668">
        <f>F27</f>
        <v>100</v>
      </c>
      <c r="T27" s="667" t="s">
        <v>14</v>
      </c>
      <c r="U27" s="668">
        <f>H27</f>
        <v>100</v>
      </c>
      <c r="V27" s="667" t="s">
        <v>14</v>
      </c>
      <c r="W27" s="668">
        <f>J27</f>
        <v>100</v>
      </c>
      <c r="X27" s="1265"/>
      <c r="Y27" s="3473"/>
      <c r="Z27" s="1264" t="str">
        <f>Q27</f>
        <v>楼层</v>
      </c>
      <c r="AA27" s="1264">
        <f t="shared" si="3"/>
        <v>1</v>
      </c>
      <c r="AB27" s="1264">
        <f t="shared" si="4"/>
        <v>1</v>
      </c>
      <c r="AC27" s="1812">
        <f t="shared" si="5"/>
        <v>1</v>
      </c>
    </row>
    <row r="28" spans="1:29" s="102" customFormat="1" ht="15.5" hidden="1">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471"/>
      <c r="Q28" s="530" t="str">
        <f t="shared" si="11"/>
        <v>朝向</v>
      </c>
      <c r="R28" s="664" t="s">
        <v>14</v>
      </c>
      <c r="S28" s="665">
        <f>F28</f>
        <v>100</v>
      </c>
      <c r="T28" s="664" t="s">
        <v>14</v>
      </c>
      <c r="U28" s="665">
        <f>H28</f>
        <v>100</v>
      </c>
      <c r="V28" s="664" t="s">
        <v>14</v>
      </c>
      <c r="W28" s="665">
        <f>J28</f>
        <v>100</v>
      </c>
      <c r="X28" s="666"/>
      <c r="Y28" s="3473"/>
      <c r="Z28" s="50" t="str">
        <f>Q28</f>
        <v>朝向</v>
      </c>
      <c r="AA28" s="1264">
        <f>D28/F28</f>
        <v>1</v>
      </c>
      <c r="AB28" s="1264">
        <f>D28/H28</f>
        <v>1</v>
      </c>
      <c r="AC28" s="1812">
        <f>D28/J28</f>
        <v>1</v>
      </c>
    </row>
    <row r="29" spans="1:29" ht="15.5" hidden="1">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71"/>
      <c r="Q29" s="1263">
        <f t="shared" si="11"/>
        <v>111</v>
      </c>
      <c r="R29" s="667" t="s">
        <v>14</v>
      </c>
      <c r="S29" s="668">
        <f t="shared" ref="S29:S47" si="12">F29</f>
        <v>100</v>
      </c>
      <c r="T29" s="667" t="s">
        <v>14</v>
      </c>
      <c r="U29" s="668">
        <f t="shared" ref="U29:U47" si="13">H29</f>
        <v>100</v>
      </c>
      <c r="V29" s="667" t="s">
        <v>14</v>
      </c>
      <c r="W29" s="668">
        <f t="shared" ref="W29:W47" si="14">J29</f>
        <v>100</v>
      </c>
      <c r="X29" s="1265"/>
      <c r="Y29" s="3473"/>
      <c r="Z29" s="1264">
        <f t="shared" ref="Z29:Z47" si="15">Q29</f>
        <v>111</v>
      </c>
      <c r="AA29" s="1264">
        <f t="shared" si="3"/>
        <v>1</v>
      </c>
      <c r="AB29" s="1264">
        <f t="shared" si="4"/>
        <v>1</v>
      </c>
      <c r="AC29" s="1812">
        <f t="shared" si="5"/>
        <v>1</v>
      </c>
    </row>
    <row r="30" spans="1:29" ht="15.5" hidden="1">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71"/>
      <c r="Q30" s="1263">
        <f t="shared" si="11"/>
        <v>111</v>
      </c>
      <c r="R30" s="667" t="s">
        <v>14</v>
      </c>
      <c r="S30" s="668">
        <f t="shared" si="12"/>
        <v>100</v>
      </c>
      <c r="T30" s="667" t="s">
        <v>14</v>
      </c>
      <c r="U30" s="668">
        <f t="shared" si="13"/>
        <v>100</v>
      </c>
      <c r="V30" s="667" t="s">
        <v>14</v>
      </c>
      <c r="W30" s="668">
        <f t="shared" si="14"/>
        <v>100</v>
      </c>
      <c r="X30" s="1265"/>
      <c r="Y30" s="3473"/>
      <c r="Z30" s="1264">
        <f t="shared" si="15"/>
        <v>111</v>
      </c>
      <c r="AA30" s="1264">
        <f t="shared" si="3"/>
        <v>1</v>
      </c>
      <c r="AB30" s="1264">
        <f t="shared" si="4"/>
        <v>1</v>
      </c>
      <c r="AC30" s="1812">
        <f t="shared" si="5"/>
        <v>1</v>
      </c>
    </row>
    <row r="31" spans="1:29" ht="15.5" hidden="1">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71"/>
      <c r="Q31" s="1263">
        <f t="shared" si="11"/>
        <v>111</v>
      </c>
      <c r="R31" s="667" t="s">
        <v>14</v>
      </c>
      <c r="S31" s="668">
        <f t="shared" si="12"/>
        <v>100</v>
      </c>
      <c r="T31" s="667" t="s">
        <v>14</v>
      </c>
      <c r="U31" s="668">
        <f t="shared" si="13"/>
        <v>100</v>
      </c>
      <c r="V31" s="667" t="s">
        <v>14</v>
      </c>
      <c r="W31" s="668">
        <f t="shared" si="14"/>
        <v>100</v>
      </c>
      <c r="X31" s="1265"/>
      <c r="Y31" s="3473"/>
      <c r="Z31" s="1264">
        <f t="shared" si="15"/>
        <v>111</v>
      </c>
      <c r="AA31" s="1264">
        <f t="shared" si="3"/>
        <v>1</v>
      </c>
      <c r="AB31" s="1264">
        <f t="shared" si="4"/>
        <v>1</v>
      </c>
      <c r="AC31" s="1812">
        <f t="shared" si="5"/>
        <v>1</v>
      </c>
    </row>
    <row r="32" spans="1:29" ht="16" hidden="1"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71"/>
      <c r="Q32" s="1263">
        <f t="shared" si="11"/>
        <v>111</v>
      </c>
      <c r="R32" s="667" t="s">
        <v>14</v>
      </c>
      <c r="S32" s="668">
        <f t="shared" si="12"/>
        <v>100</v>
      </c>
      <c r="T32" s="667" t="s">
        <v>14</v>
      </c>
      <c r="U32" s="668">
        <f t="shared" si="13"/>
        <v>100</v>
      </c>
      <c r="V32" s="667" t="s">
        <v>14</v>
      </c>
      <c r="W32" s="668">
        <f t="shared" si="14"/>
        <v>100</v>
      </c>
      <c r="X32" s="1265"/>
      <c r="Y32" s="3473"/>
      <c r="Z32" s="1264">
        <f t="shared" si="15"/>
        <v>111</v>
      </c>
      <c r="AA32" s="1264">
        <f t="shared" si="3"/>
        <v>1</v>
      </c>
      <c r="AB32" s="1264">
        <f t="shared" si="4"/>
        <v>1</v>
      </c>
      <c r="AC32" s="1812">
        <f t="shared" si="5"/>
        <v>1</v>
      </c>
    </row>
    <row r="33" spans="1:29" ht="15.5">
      <c r="A33" s="379" t="s">
        <v>1694</v>
      </c>
      <c r="B33" s="60" t="s">
        <v>1817</v>
      </c>
      <c r="C33" s="1764" t="s">
        <v>3709</v>
      </c>
      <c r="D33" s="405">
        <v>100</v>
      </c>
      <c r="E33" s="1764" t="s">
        <v>3709</v>
      </c>
      <c r="F33" s="400">
        <f>SUMIF(101:101,E33,102:102)-SUMIF(101:101,C33,102:102)+100</f>
        <v>100</v>
      </c>
      <c r="G33" s="1764" t="s">
        <v>3711</v>
      </c>
      <c r="H33" s="374">
        <f>SUMIF(101:101,G33,102:102)-SUMIF(101:101,C33,102:102)+100</f>
        <v>96</v>
      </c>
      <c r="I33" s="1764" t="s">
        <v>3709</v>
      </c>
      <c r="J33" s="405">
        <f>SUMIF(101:101,I33,102:102)-SUMIF(101:101,C33,102:102)+100</f>
        <v>100</v>
      </c>
      <c r="K33" s="538">
        <v>4</v>
      </c>
      <c r="L33" s="2490"/>
      <c r="M33" s="2485"/>
      <c r="N33" s="2485"/>
      <c r="O33" s="2485"/>
      <c r="P33" s="3474" t="s">
        <v>1696</v>
      </c>
      <c r="Q33" s="1263" t="str">
        <f t="shared" si="11"/>
        <v>建筑类型</v>
      </c>
      <c r="R33" s="667" t="s">
        <v>14</v>
      </c>
      <c r="S33" s="668">
        <f t="shared" si="12"/>
        <v>100</v>
      </c>
      <c r="T33" s="667" t="s">
        <v>14</v>
      </c>
      <c r="U33" s="668">
        <f t="shared" si="13"/>
        <v>96</v>
      </c>
      <c r="V33" s="667" t="s">
        <v>14</v>
      </c>
      <c r="W33" s="668">
        <f t="shared" si="14"/>
        <v>100</v>
      </c>
      <c r="X33" s="1265"/>
      <c r="Y33" s="3477" t="s">
        <v>1696</v>
      </c>
      <c r="Z33" s="1264" t="str">
        <f t="shared" si="15"/>
        <v>建筑类型</v>
      </c>
      <c r="AA33" s="1264">
        <f t="shared" si="3"/>
        <v>1</v>
      </c>
      <c r="AB33" s="1264">
        <f t="shared" si="4"/>
        <v>1.0416666666666667</v>
      </c>
      <c r="AC33" s="1812">
        <f t="shared" si="5"/>
        <v>1</v>
      </c>
    </row>
    <row r="34" spans="1:29" s="408" customFormat="1" ht="15.5">
      <c r="A34" s="406"/>
      <c r="B34" s="364" t="s">
        <v>1697</v>
      </c>
      <c r="C34" s="407">
        <f>'数据-汇总表'!E19</f>
        <v>55858.959999999977</v>
      </c>
      <c r="D34" s="119">
        <v>100</v>
      </c>
      <c r="E34" s="369">
        <f>比较法选取案例!I2</f>
        <v>20714.13</v>
      </c>
      <c r="F34" s="364">
        <f>LOOKUP(E34,104:104,105:105)-LOOKUP(C34,104:104,105:105)+100</f>
        <v>102</v>
      </c>
      <c r="G34" s="368">
        <f>比较法选取案例!I3</f>
        <v>8905</v>
      </c>
      <c r="H34" s="119">
        <f>LOOKUP(G34,104:104,105:105)-LOOKUP(C34,104:104,105:105)+100</f>
        <v>104</v>
      </c>
      <c r="I34" s="368">
        <v>10575.42</v>
      </c>
      <c r="J34" s="119">
        <f>LOOKUP(I34,104:104,105:105)-LOOKUP(C34,104:104,105:105)+100</f>
        <v>102</v>
      </c>
      <c r="K34" s="539"/>
      <c r="L34" s="2489"/>
      <c r="M34" s="2491"/>
      <c r="N34" s="2491"/>
      <c r="O34" s="2491"/>
      <c r="P34" s="3475"/>
      <c r="Q34" s="531" t="str">
        <f t="shared" si="11"/>
        <v>项目建筑规模</v>
      </c>
      <c r="R34" s="669" t="s">
        <v>14</v>
      </c>
      <c r="S34" s="670">
        <f t="shared" si="12"/>
        <v>102</v>
      </c>
      <c r="T34" s="669" t="s">
        <v>14</v>
      </c>
      <c r="U34" s="670">
        <f t="shared" si="13"/>
        <v>104</v>
      </c>
      <c r="V34" s="669" t="s">
        <v>14</v>
      </c>
      <c r="W34" s="670">
        <f t="shared" si="14"/>
        <v>102</v>
      </c>
      <c r="X34" s="671"/>
      <c r="Y34" s="3477"/>
      <c r="Z34" s="672" t="str">
        <f t="shared" si="15"/>
        <v>项目建筑规模</v>
      </c>
      <c r="AA34" s="1264">
        <f t="shared" si="3"/>
        <v>0.98039215686274506</v>
      </c>
      <c r="AB34" s="1264">
        <f t="shared" si="4"/>
        <v>0.96153846153846156</v>
      </c>
      <c r="AC34" s="1812">
        <f t="shared" si="5"/>
        <v>0.98039215686274506</v>
      </c>
    </row>
    <row r="35" spans="1:29" ht="15.5">
      <c r="A35" s="409"/>
      <c r="B35" s="364" t="s">
        <v>1698</v>
      </c>
      <c r="C35" s="399" t="s">
        <v>3583</v>
      </c>
      <c r="D35" s="374">
        <v>100</v>
      </c>
      <c r="E35" s="399" t="s">
        <v>3583</v>
      </c>
      <c r="F35" s="400">
        <f>SUMIF(106:106,E35,107:107)-SUMIF(106:106,C35,107:107)+100</f>
        <v>100</v>
      </c>
      <c r="G35" s="399" t="s">
        <v>3583</v>
      </c>
      <c r="H35" s="374">
        <f>SUMIF(106:106,G35,107:107)-SUMIF(106:106,C35,107:107)+100</f>
        <v>100</v>
      </c>
      <c r="I35" s="399" t="s">
        <v>3583</v>
      </c>
      <c r="J35" s="374">
        <f>SUMIF(106:106,I35,107:107)-SUMIF(106:106,C35,107:107)+100</f>
        <v>100</v>
      </c>
      <c r="K35" s="538">
        <v>2</v>
      </c>
      <c r="L35" s="2490"/>
      <c r="M35" s="2485"/>
      <c r="N35" s="2485"/>
      <c r="O35" s="2485"/>
      <c r="P35" s="3475"/>
      <c r="Q35" s="1263" t="str">
        <f t="shared" si="11"/>
        <v>建筑结构</v>
      </c>
      <c r="R35" s="667" t="s">
        <v>14</v>
      </c>
      <c r="S35" s="668">
        <f t="shared" si="12"/>
        <v>100</v>
      </c>
      <c r="T35" s="667" t="s">
        <v>14</v>
      </c>
      <c r="U35" s="668">
        <f t="shared" si="13"/>
        <v>100</v>
      </c>
      <c r="V35" s="667" t="s">
        <v>14</v>
      </c>
      <c r="W35" s="668">
        <f t="shared" si="14"/>
        <v>100</v>
      </c>
      <c r="X35" s="1265"/>
      <c r="Y35" s="3477"/>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1</v>
      </c>
      <c r="L36" s="2490"/>
      <c r="M36" s="2485"/>
      <c r="N36" s="2485"/>
      <c r="O36" s="2485"/>
      <c r="P36" s="3475"/>
      <c r="Q36" s="1263" t="str">
        <f t="shared" si="11"/>
        <v>公共部分装修</v>
      </c>
      <c r="R36" s="667" t="s">
        <v>14</v>
      </c>
      <c r="S36" s="668">
        <f t="shared" si="12"/>
        <v>100</v>
      </c>
      <c r="T36" s="667" t="s">
        <v>14</v>
      </c>
      <c r="U36" s="668">
        <f t="shared" si="13"/>
        <v>100</v>
      </c>
      <c r="V36" s="667" t="s">
        <v>14</v>
      </c>
      <c r="W36" s="668">
        <f t="shared" si="14"/>
        <v>100</v>
      </c>
      <c r="X36" s="1265"/>
      <c r="Y36" s="3477"/>
      <c r="Z36" s="1264" t="str">
        <f t="shared" si="15"/>
        <v>公共部分装修</v>
      </c>
      <c r="AA36" s="1264">
        <f t="shared" si="3"/>
        <v>1</v>
      </c>
      <c r="AB36" s="1264">
        <f t="shared" si="4"/>
        <v>1</v>
      </c>
      <c r="AC36" s="1812">
        <f t="shared" si="5"/>
        <v>1</v>
      </c>
    </row>
    <row r="37" spans="1:29" ht="15.5">
      <c r="A37" s="409"/>
      <c r="B37" s="364" t="s">
        <v>1786</v>
      </c>
      <c r="C37" s="411">
        <f>'[2]数据-取费表'!N6</f>
        <v>0.83</v>
      </c>
      <c r="D37" s="374">
        <v>100</v>
      </c>
      <c r="E37" s="411">
        <f>ROUND(1-(1-0)*(2025-E12)/60,2)</f>
        <v>0.83</v>
      </c>
      <c r="F37" s="400">
        <f>LOOKUP(E37,111:111,112:112)-LOOKUP(C37,111:111,112:112)+100</f>
        <v>100</v>
      </c>
      <c r="G37" s="411">
        <f>ROUND(1-(1-0)*(2025-G12)/60,2)</f>
        <v>0.97</v>
      </c>
      <c r="H37" s="400">
        <f>LOOKUP(G37,111:111,112:112)-LOOKUP(C37,111:111,112:112)+100</f>
        <v>101</v>
      </c>
      <c r="I37" s="411">
        <f>ROUND(1-(1-0)*(2025-I12)/60,2)</f>
        <v>0.93</v>
      </c>
      <c r="J37" s="374">
        <f>LOOKUP(I37,111:111,112:112)-LOOKUP(C37,111:111,112:112)+100</f>
        <v>101</v>
      </c>
      <c r="K37" s="538">
        <v>1</v>
      </c>
      <c r="L37" s="2490"/>
      <c r="M37" s="2485"/>
      <c r="N37" s="2485"/>
      <c r="O37" s="2485"/>
      <c r="P37" s="3475"/>
      <c r="Q37" s="1263" t="str">
        <f t="shared" si="11"/>
        <v>成新度</v>
      </c>
      <c r="R37" s="667" t="s">
        <v>14</v>
      </c>
      <c r="S37" s="668">
        <f t="shared" si="12"/>
        <v>100</v>
      </c>
      <c r="T37" s="667" t="s">
        <v>14</v>
      </c>
      <c r="U37" s="668">
        <f t="shared" si="13"/>
        <v>101</v>
      </c>
      <c r="V37" s="667" t="s">
        <v>14</v>
      </c>
      <c r="W37" s="668">
        <f t="shared" si="14"/>
        <v>101</v>
      </c>
      <c r="X37" s="1265"/>
      <c r="Y37" s="3477"/>
      <c r="Z37" s="1264" t="str">
        <f t="shared" si="15"/>
        <v>成新度</v>
      </c>
      <c r="AA37" s="1264">
        <f t="shared" si="3"/>
        <v>1</v>
      </c>
      <c r="AB37" s="1264">
        <f t="shared" si="4"/>
        <v>0.99009900990099009</v>
      </c>
      <c r="AC37" s="1812">
        <f t="shared" si="5"/>
        <v>0.99009900990099009</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6"/>
      <c r="M38" s="2438"/>
      <c r="N38" s="2438"/>
      <c r="O38" s="2438"/>
      <c r="P38" s="3475"/>
      <c r="Q38" s="530" t="str">
        <f t="shared" si="11"/>
        <v>写字楼等级</v>
      </c>
      <c r="R38" s="664" t="s">
        <v>14</v>
      </c>
      <c r="S38" s="665">
        <f t="shared" si="12"/>
        <v>100</v>
      </c>
      <c r="T38" s="664" t="s">
        <v>14</v>
      </c>
      <c r="U38" s="665">
        <f t="shared" si="13"/>
        <v>100</v>
      </c>
      <c r="V38" s="664" t="s">
        <v>14</v>
      </c>
      <c r="W38" s="665">
        <f t="shared" si="14"/>
        <v>100</v>
      </c>
      <c r="X38" s="666"/>
      <c r="Y38" s="3477"/>
      <c r="Z38" s="50" t="str">
        <f t="shared" si="15"/>
        <v>写字楼等级</v>
      </c>
      <c r="AA38" s="50">
        <f t="shared" si="3"/>
        <v>1</v>
      </c>
      <c r="AB38" s="50">
        <f t="shared" si="4"/>
        <v>1</v>
      </c>
      <c r="AC38" s="802">
        <f t="shared" si="5"/>
        <v>1</v>
      </c>
    </row>
    <row r="39" spans="1:29" ht="15.5">
      <c r="A39" s="409"/>
      <c r="B39" s="364" t="s">
        <v>1819</v>
      </c>
      <c r="C39" s="399" t="s">
        <v>3584</v>
      </c>
      <c r="D39" s="374">
        <v>100</v>
      </c>
      <c r="E39" s="399" t="s">
        <v>3584</v>
      </c>
      <c r="F39" s="400">
        <f>SUMIF(115:115,E39,116:116)-SUMIF(115:115,C39,116:116)+100</f>
        <v>100</v>
      </c>
      <c r="G39" s="399" t="s">
        <v>3584</v>
      </c>
      <c r="H39" s="374">
        <f>SUMIF(115:115,G39,116:116)-SUMIF(115:115,C39,116:116)+100</f>
        <v>100</v>
      </c>
      <c r="I39" s="399" t="s">
        <v>3584</v>
      </c>
      <c r="J39" s="374">
        <f>SUMIF(115:115,I39,116:116)-SUMIF(115:115,C39,116:116)+100</f>
        <v>100</v>
      </c>
      <c r="K39" s="538">
        <v>2</v>
      </c>
      <c r="L39" s="2490"/>
      <c r="M39" s="2485"/>
      <c r="N39" s="2485"/>
      <c r="O39" s="2485"/>
      <c r="P39" s="3475" t="s">
        <v>1696</v>
      </c>
      <c r="Q39" s="1263" t="str">
        <f t="shared" si="11"/>
        <v>物业管理</v>
      </c>
      <c r="R39" s="667" t="s">
        <v>14</v>
      </c>
      <c r="S39" s="668">
        <f t="shared" si="12"/>
        <v>100</v>
      </c>
      <c r="T39" s="667" t="s">
        <v>14</v>
      </c>
      <c r="U39" s="668">
        <f t="shared" si="13"/>
        <v>100</v>
      </c>
      <c r="V39" s="667" t="s">
        <v>14</v>
      </c>
      <c r="W39" s="668">
        <f t="shared" si="14"/>
        <v>100</v>
      </c>
      <c r="X39" s="1265"/>
      <c r="Y39" s="3477"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v>1</v>
      </c>
      <c r="L40" s="2490"/>
      <c r="M40" s="2485"/>
      <c r="N40" s="2485"/>
      <c r="O40" s="2485"/>
      <c r="P40" s="3475"/>
      <c r="Q40" s="1263" t="str">
        <f t="shared" si="11"/>
        <v>市政基础设施</v>
      </c>
      <c r="R40" s="667" t="s">
        <v>14</v>
      </c>
      <c r="S40" s="668">
        <f t="shared" si="12"/>
        <v>100</v>
      </c>
      <c r="T40" s="667" t="s">
        <v>14</v>
      </c>
      <c r="U40" s="668">
        <f t="shared" si="13"/>
        <v>100</v>
      </c>
      <c r="V40" s="667" t="s">
        <v>14</v>
      </c>
      <c r="W40" s="668">
        <f t="shared" si="14"/>
        <v>100</v>
      </c>
      <c r="X40" s="1265"/>
      <c r="Y40" s="3477"/>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75"/>
      <c r="Q41" s="1263" t="str">
        <f t="shared" si="11"/>
        <v>层高</v>
      </c>
      <c r="R41" s="667" t="s">
        <v>14</v>
      </c>
      <c r="S41" s="668">
        <f t="shared" si="12"/>
        <v>100</v>
      </c>
      <c r="T41" s="667" t="s">
        <v>14</v>
      </c>
      <c r="U41" s="668">
        <f t="shared" si="13"/>
        <v>100</v>
      </c>
      <c r="V41" s="667" t="s">
        <v>14</v>
      </c>
      <c r="W41" s="668">
        <f t="shared" si="14"/>
        <v>100</v>
      </c>
      <c r="X41" s="1265"/>
      <c r="Y41" s="3477"/>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75"/>
      <c r="Q42" s="531" t="str">
        <f t="shared" si="11"/>
        <v>单套建筑面积</v>
      </c>
      <c r="R42" s="669" t="s">
        <v>14</v>
      </c>
      <c r="S42" s="670">
        <f t="shared" si="12"/>
        <v>100</v>
      </c>
      <c r="T42" s="669" t="s">
        <v>14</v>
      </c>
      <c r="U42" s="670">
        <f t="shared" si="13"/>
        <v>100</v>
      </c>
      <c r="V42" s="669" t="s">
        <v>14</v>
      </c>
      <c r="W42" s="670">
        <f t="shared" si="14"/>
        <v>100</v>
      </c>
      <c r="X42" s="671"/>
      <c r="Y42" s="3477"/>
      <c r="Z42" s="672" t="str">
        <f t="shared" si="15"/>
        <v>单套建筑面积</v>
      </c>
      <c r="AA42" s="1264">
        <f t="shared" si="3"/>
        <v>1</v>
      </c>
      <c r="AB42" s="1264">
        <f t="shared" si="4"/>
        <v>1</v>
      </c>
      <c r="AC42" s="1812">
        <f t="shared" si="5"/>
        <v>1</v>
      </c>
    </row>
    <row r="43" spans="1:29" ht="15.5">
      <c r="A43" s="409"/>
      <c r="B43" s="364" t="s">
        <v>1792</v>
      </c>
      <c r="C43" s="399" t="s">
        <v>3585</v>
      </c>
      <c r="D43" s="374">
        <v>100</v>
      </c>
      <c r="E43" s="399" t="s">
        <v>3587</v>
      </c>
      <c r="F43" s="400">
        <f>SUMIF(123:123,E43,124:124)-SUMIF(123:123,C43,124:124)+100</f>
        <v>96</v>
      </c>
      <c r="G43" s="399" t="s">
        <v>3587</v>
      </c>
      <c r="H43" s="374">
        <f>SUMIF(123:123,G43,124:124)-SUMIF(123:123,C43,124:124)+100</f>
        <v>96</v>
      </c>
      <c r="I43" s="399" t="s">
        <v>3587</v>
      </c>
      <c r="J43" s="374">
        <f>SUMIF(123:123,I43,124:124)-SUMIF(123:123,C43,124:124)+100</f>
        <v>96</v>
      </c>
      <c r="K43" s="538">
        <v>2</v>
      </c>
      <c r="L43" s="2490"/>
      <c r="M43" s="2485"/>
      <c r="N43" s="2485"/>
      <c r="O43" s="2485"/>
      <c r="P43" s="3475"/>
      <c r="Q43" s="1263" t="str">
        <f t="shared" si="11"/>
        <v>内部装修</v>
      </c>
      <c r="R43" s="667" t="s">
        <v>14</v>
      </c>
      <c r="S43" s="668">
        <f t="shared" si="12"/>
        <v>96</v>
      </c>
      <c r="T43" s="667" t="s">
        <v>14</v>
      </c>
      <c r="U43" s="668">
        <f t="shared" si="13"/>
        <v>96</v>
      </c>
      <c r="V43" s="667" t="s">
        <v>14</v>
      </c>
      <c r="W43" s="668">
        <f t="shared" si="14"/>
        <v>96</v>
      </c>
      <c r="X43" s="1265"/>
      <c r="Y43" s="3477"/>
      <c r="Z43" s="1264" t="str">
        <f t="shared" si="15"/>
        <v>内部装修</v>
      </c>
      <c r="AA43" s="1264">
        <f t="shared" si="3"/>
        <v>1.0416666666666667</v>
      </c>
      <c r="AB43" s="1264">
        <f t="shared" si="4"/>
        <v>1.0416666666666667</v>
      </c>
      <c r="AC43" s="1812">
        <f t="shared" si="5"/>
        <v>1.0416666666666667</v>
      </c>
    </row>
    <row r="44" spans="1:29" ht="28">
      <c r="A44" s="409"/>
      <c r="B44" s="364" t="s">
        <v>1707</v>
      </c>
      <c r="C44" s="399" t="s">
        <v>3582</v>
      </c>
      <c r="D44" s="374">
        <v>100</v>
      </c>
      <c r="E44" s="399" t="s">
        <v>3582</v>
      </c>
      <c r="F44" s="400">
        <f>SUMIF(125:125,E44,126:126)-SUMIF(125:125,C44,126:126)+100</f>
        <v>100</v>
      </c>
      <c r="G44" s="399" t="s">
        <v>3582</v>
      </c>
      <c r="H44" s="374">
        <f>SUMIF(125:125,G44,126:126)-SUMIF(125:125,C44,126:126)+100</f>
        <v>100</v>
      </c>
      <c r="I44" s="399" t="s">
        <v>3582</v>
      </c>
      <c r="J44" s="374">
        <f>SUMIF(125:125,I44,126:126)-SUMIF(125:125,C44,126:126)+100</f>
        <v>100</v>
      </c>
      <c r="K44" s="538">
        <v>2</v>
      </c>
      <c r="L44" s="2490"/>
      <c r="M44" s="2485"/>
      <c r="N44" s="2485"/>
      <c r="O44" s="2485"/>
      <c r="P44" s="3475"/>
      <c r="Q44" s="1263" t="str">
        <f t="shared" si="11"/>
        <v>内部装修维护情况</v>
      </c>
      <c r="R44" s="667" t="s">
        <v>14</v>
      </c>
      <c r="S44" s="668">
        <f t="shared" si="12"/>
        <v>100</v>
      </c>
      <c r="T44" s="667" t="s">
        <v>14</v>
      </c>
      <c r="U44" s="668">
        <f t="shared" si="13"/>
        <v>100</v>
      </c>
      <c r="V44" s="667" t="s">
        <v>14</v>
      </c>
      <c r="W44" s="668">
        <f t="shared" si="14"/>
        <v>100</v>
      </c>
      <c r="X44" s="1265"/>
      <c r="Y44" s="3477"/>
      <c r="Z44" s="1264" t="str">
        <f t="shared" si="15"/>
        <v>内部装修维护情况</v>
      </c>
      <c r="AA44" s="1264">
        <f t="shared" si="3"/>
        <v>1</v>
      </c>
      <c r="AB44" s="1264">
        <f t="shared" si="4"/>
        <v>1</v>
      </c>
      <c r="AC44" s="1812">
        <f t="shared" si="5"/>
        <v>1</v>
      </c>
    </row>
    <row r="45" spans="1:29" s="102" customFormat="1" ht="15.5">
      <c r="A45" s="410"/>
      <c r="B45" s="3219" t="s">
        <v>3691</v>
      </c>
      <c r="C45" s="407" t="s">
        <v>3586</v>
      </c>
      <c r="D45" s="119">
        <v>100</v>
      </c>
      <c r="E45" s="371" t="s">
        <v>3588</v>
      </c>
      <c r="F45" s="364">
        <f>SUMIF(127:127,E45,128:128)-SUMIF(127:127,C45,128:128)+100</f>
        <v>114</v>
      </c>
      <c r="G45" s="371" t="s">
        <v>3588</v>
      </c>
      <c r="H45" s="119">
        <f>SUMIF(127:127,G45,128:128)-SUMIF(127:127,C45,128:128)+100</f>
        <v>114</v>
      </c>
      <c r="I45" s="371" t="s">
        <v>3588</v>
      </c>
      <c r="J45" s="119">
        <f>SUMIF(127:127,I45,128:128)-SUMIF(127:127,C45,128:128)+100</f>
        <v>114</v>
      </c>
      <c r="K45" s="539"/>
      <c r="L45" s="2486"/>
      <c r="M45" s="2438"/>
      <c r="N45" s="2438"/>
      <c r="O45" s="2438"/>
      <c r="P45" s="3475"/>
      <c r="Q45" s="530" t="str">
        <f t="shared" si="11"/>
        <v>地下面积占比</v>
      </c>
      <c r="R45" s="664" t="s">
        <v>14</v>
      </c>
      <c r="S45" s="665">
        <f t="shared" si="12"/>
        <v>114</v>
      </c>
      <c r="T45" s="664" t="s">
        <v>14</v>
      </c>
      <c r="U45" s="665">
        <f t="shared" si="13"/>
        <v>114</v>
      </c>
      <c r="V45" s="664" t="s">
        <v>14</v>
      </c>
      <c r="W45" s="665">
        <f t="shared" si="14"/>
        <v>114</v>
      </c>
      <c r="X45" s="666"/>
      <c r="Y45" s="3477"/>
      <c r="Z45" s="50" t="str">
        <f t="shared" si="15"/>
        <v>地下面积占比</v>
      </c>
      <c r="AA45" s="50">
        <f t="shared" si="3"/>
        <v>0.8771929824561403</v>
      </c>
      <c r="AB45" s="50">
        <f t="shared" si="4"/>
        <v>0.8771929824561403</v>
      </c>
      <c r="AC45" s="802">
        <f t="shared" si="5"/>
        <v>0.8771929824561403</v>
      </c>
    </row>
    <row r="46" spans="1:29" ht="15.5">
      <c r="A46" s="409"/>
      <c r="B46" s="1066">
        <v>111</v>
      </c>
      <c r="C46" s="373">
        <v>0.15</v>
      </c>
      <c r="D46" s="374">
        <v>100</v>
      </c>
      <c r="E46" s="371">
        <v>0</v>
      </c>
      <c r="F46" s="400">
        <f>SUMIF(129:129,E46,130:130)-SUMIF(129:129,C46,130:130)+100</f>
        <v>100</v>
      </c>
      <c r="G46" s="371">
        <v>0</v>
      </c>
      <c r="H46" s="374">
        <f>SUMIF(129:129,G46,130:130)-SUMIF(129:129,C46,130:130)+100</f>
        <v>100</v>
      </c>
      <c r="I46" s="371">
        <v>0</v>
      </c>
      <c r="J46" s="374">
        <f>SUMIF(129:129,I46,130:130)-SUMIF(129:129,C46,130:130)+100</f>
        <v>100</v>
      </c>
      <c r="K46" s="539"/>
      <c r="L46" s="2490"/>
      <c r="M46" s="2485"/>
      <c r="N46" s="2485"/>
      <c r="O46" s="2485"/>
      <c r="P46" s="3475"/>
      <c r="Q46" s="1263">
        <f t="shared" si="11"/>
        <v>111</v>
      </c>
      <c r="R46" s="667" t="s">
        <v>14</v>
      </c>
      <c r="S46" s="668">
        <f t="shared" si="12"/>
        <v>100</v>
      </c>
      <c r="T46" s="667" t="s">
        <v>14</v>
      </c>
      <c r="U46" s="668">
        <f t="shared" si="13"/>
        <v>100</v>
      </c>
      <c r="V46" s="667" t="s">
        <v>14</v>
      </c>
      <c r="W46" s="668">
        <f t="shared" si="14"/>
        <v>100</v>
      </c>
      <c r="X46" s="1265"/>
      <c r="Y46" s="3477"/>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76"/>
      <c r="Q47" s="1263">
        <f t="shared" si="11"/>
        <v>111</v>
      </c>
      <c r="R47" s="667" t="s">
        <v>14</v>
      </c>
      <c r="S47" s="668">
        <f t="shared" si="12"/>
        <v>100</v>
      </c>
      <c r="T47" s="667" t="s">
        <v>14</v>
      </c>
      <c r="U47" s="668">
        <f t="shared" si="13"/>
        <v>100</v>
      </c>
      <c r="V47" s="667" t="s">
        <v>14</v>
      </c>
      <c r="W47" s="668">
        <f t="shared" si="14"/>
        <v>100</v>
      </c>
      <c r="X47" s="1265"/>
      <c r="Y47" s="3478"/>
      <c r="Z47" s="1264">
        <f t="shared" si="15"/>
        <v>111</v>
      </c>
      <c r="AA47" s="1264">
        <f t="shared" si="3"/>
        <v>1</v>
      </c>
      <c r="AB47" s="1264">
        <f t="shared" si="4"/>
        <v>1</v>
      </c>
      <c r="AC47" s="1812">
        <f t="shared" si="5"/>
        <v>1</v>
      </c>
    </row>
    <row r="48" spans="1:29">
      <c r="A48" s="416" t="s">
        <v>1708</v>
      </c>
      <c r="B48" s="417"/>
      <c r="C48" s="1081" t="s">
        <v>0</v>
      </c>
      <c r="D48" s="418"/>
      <c r="E48" s="419">
        <f>比较法选取案例!M2</f>
        <v>45000</v>
      </c>
      <c r="F48" s="420"/>
      <c r="G48" s="421">
        <f>比较法选取案例!M3</f>
        <v>38000</v>
      </c>
      <c r="H48" s="422"/>
      <c r="I48" s="419">
        <f>比较法选取案例!M9</f>
        <v>45388</v>
      </c>
      <c r="J48" s="422"/>
      <c r="K48" s="674"/>
      <c r="L48" s="2492"/>
      <c r="M48" s="2485"/>
      <c r="N48" s="2485"/>
      <c r="O48" s="2485"/>
      <c r="P48" s="3450" t="str">
        <f>A48</f>
        <v>成交单价（元/平方米）</v>
      </c>
      <c r="Q48" s="3479"/>
      <c r="R48" s="3467">
        <f>E48</f>
        <v>45000</v>
      </c>
      <c r="S48" s="3467"/>
      <c r="T48" s="3467">
        <f>G48</f>
        <v>38000</v>
      </c>
      <c r="U48" s="3467"/>
      <c r="V48" s="3467">
        <f>I48</f>
        <v>45388</v>
      </c>
      <c r="W48" s="3467"/>
      <c r="X48" s="385"/>
      <c r="Y48" s="673"/>
      <c r="Z48" s="385"/>
      <c r="AA48" s="385"/>
      <c r="AB48" s="385"/>
      <c r="AC48" s="555"/>
    </row>
    <row r="49" spans="1:44" ht="14.5" thickBot="1">
      <c r="A49" s="423" t="s">
        <v>1793</v>
      </c>
      <c r="B49" s="424"/>
      <c r="C49" s="1082">
        <f>R50</f>
        <v>37678</v>
      </c>
      <c r="D49" s="2141" t="s">
        <v>2138</v>
      </c>
      <c r="E49" s="1083">
        <f>R49</f>
        <v>40312</v>
      </c>
      <c r="F49" s="2142"/>
      <c r="G49" s="1082">
        <f>T49</f>
        <v>35498</v>
      </c>
      <c r="H49" s="2142"/>
      <c r="I49" s="1083">
        <f>V49</f>
        <v>37223</v>
      </c>
      <c r="J49" s="2142"/>
      <c r="K49" s="2144">
        <f>F49+H49+J49</f>
        <v>0</v>
      </c>
      <c r="L49" s="2492"/>
      <c r="M49" s="2485"/>
      <c r="N49" s="2485"/>
      <c r="O49" s="2485"/>
      <c r="P49" s="3450" t="str">
        <f>A49</f>
        <v>比较价值（元/平方米）</v>
      </c>
      <c r="Q49" s="3479"/>
      <c r="R49" s="3467">
        <f>IF(F1="售价",ROUND(PRODUCT(R48,AA7:AA47),0),ROUND(PRODUCT(R48,AA7:AA47),1))</f>
        <v>40312</v>
      </c>
      <c r="S49" s="3467"/>
      <c r="T49" s="3467">
        <f>IF(F1="售价",ROUND(PRODUCT(T48,AB7:AB47),0),ROUND(PRODUCT(T48,AB7:AB47),1))</f>
        <v>35498</v>
      </c>
      <c r="U49" s="3467"/>
      <c r="V49" s="3467">
        <f>IF(F1="售价",ROUND(PRODUCT(V48,AC7:AC47),0),ROUND(PRODUCT(V48,AC7:AC47),1))</f>
        <v>37223</v>
      </c>
      <c r="W49" s="3467"/>
      <c r="X49" s="385"/>
      <c r="Y49" s="385"/>
      <c r="Z49" s="385"/>
      <c r="AA49" s="385"/>
      <c r="AB49" s="385"/>
      <c r="AC49" s="555"/>
    </row>
    <row r="50" spans="1:44" ht="14.5" thickBot="1">
      <c r="A50" s="427" t="s">
        <v>1794</v>
      </c>
      <c r="B50" s="428"/>
      <c r="C50" s="351">
        <f>R50</f>
        <v>37678</v>
      </c>
      <c r="D50" s="351"/>
      <c r="E50" s="351"/>
      <c r="F50" s="351"/>
      <c r="G50" s="351"/>
      <c r="H50" s="351"/>
      <c r="I50" s="351"/>
      <c r="J50" s="429"/>
      <c r="K50" s="675"/>
      <c r="L50" s="2492"/>
      <c r="M50" s="2485"/>
      <c r="N50" s="2485"/>
      <c r="O50" s="2485"/>
      <c r="P50" s="3480" t="str">
        <f>A50</f>
        <v>估价对象XX用房的比较价值（楼面单价，元/平方米）</v>
      </c>
      <c r="Q50" s="3481"/>
      <c r="R50" s="3482">
        <f>IF(F1="售价",ROUND(IF(D49="简单平均",AVERAGE(R49:V49),R49*F49+T49*H49+V49*J49),0),ROUND(IF(D49="简单平均",AVERAGE(R49:V49),R49*F49+T49*H49+V49*J49),1))</f>
        <v>37678</v>
      </c>
      <c r="S50" s="3482"/>
      <c r="T50" s="3482"/>
      <c r="U50" s="3482"/>
      <c r="V50" s="3482"/>
      <c r="W50" s="3482"/>
      <c r="X50" s="1798"/>
      <c r="Y50" s="1798"/>
      <c r="Z50" s="1798"/>
      <c r="AA50" s="1798"/>
      <c r="AB50" s="1798"/>
      <c r="AC50" s="1799"/>
    </row>
    <row r="51" spans="1:44">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44">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44" ht="13.5" customHeight="1">
      <c r="A53" s="2485"/>
      <c r="B53" s="2485"/>
      <c r="C53" s="432" t="s">
        <v>1795</v>
      </c>
      <c r="D53" s="433"/>
      <c r="E53" s="434">
        <f>IF(E48&lt;E49,E49/E48-1,E48/E49-1)</f>
        <v>0.11629291526096441</v>
      </c>
      <c r="F53" s="435" t="str">
        <f>IF(OR(E53&gt;=0.3,E53&lt;=-0.3),"超过30%","")</f>
        <v/>
      </c>
      <c r="G53" s="434">
        <f>IF(G48&lt;G49,G49/G48-1,G48/G49-1)</f>
        <v>7.0482844103893161E-2</v>
      </c>
      <c r="H53" s="435" t="str">
        <f>IF(OR(G53&gt;=0.3,G53&lt;=-0.3),"超过30%","")</f>
        <v/>
      </c>
      <c r="I53" s="434">
        <f>IF(I48&lt;I49,I49/I48-1,I48/I49-1)</f>
        <v>0.21935362544663239</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44" ht="13.5" customHeight="1">
      <c r="A54" s="2485"/>
      <c r="B54" s="2485"/>
      <c r="C54" s="432" t="s">
        <v>1796</v>
      </c>
      <c r="D54" s="436"/>
      <c r="E54" s="434">
        <f>IF(E49&lt;G49,G49/E49-1,E49/G49-1)</f>
        <v>0.13561327398726686</v>
      </c>
      <c r="F54" s="435" t="str">
        <f>IF(OR(E54&gt;=0.2,E54&lt;=-0.2),"超过20%","")</f>
        <v/>
      </c>
      <c r="G54" s="434">
        <f>IF(G49&lt;I49,I49/G49-1,G49/I49-1)</f>
        <v>4.8594287002084569E-2</v>
      </c>
      <c r="H54" s="435" t="str">
        <f>IF(OR(G54&gt;=0.2,G54&lt;=-0.2),"超过20%","")</f>
        <v/>
      </c>
      <c r="I54" s="434">
        <f>IF(I49&lt;E49,E49/I49-1,I49/E49-1)</f>
        <v>8.2986325658866766E-2</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44" s="437" customFormat="1" ht="13.5" customHeight="1">
      <c r="A55" s="2495"/>
      <c r="B55" s="2495"/>
      <c r="C55" s="432" t="s">
        <v>1797</v>
      </c>
      <c r="D55" s="436"/>
      <c r="E55" s="434">
        <f>IF(E48&lt;G48,G48/E48-1,E48/G48-1)</f>
        <v>0.18421052631578938</v>
      </c>
      <c r="F55" s="435" t="str">
        <f>IF(OR(E55&gt;=0.3,E55&lt;=-0.3),"超过30%","")</f>
        <v/>
      </c>
      <c r="G55" s="434">
        <f>IF(G48&lt;I48,I48/G48-1,G48/I48-1)</f>
        <v>0.19442105263157905</v>
      </c>
      <c r="H55" s="435" t="str">
        <f>IF(OR(G55&gt;=0.3,G55&lt;=-0.3),"超过30%","")</f>
        <v/>
      </c>
      <c r="I55" s="434">
        <f>IF(I48&lt;E48,E48/I48-1,I48/E48-1)</f>
        <v>8.6222222222223088E-3</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44"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44">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44" ht="21.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44" s="442" customFormat="1">
      <c r="A59" s="440" t="s">
        <v>1679</v>
      </c>
      <c r="B59" s="441"/>
      <c r="C59" s="1103" t="str">
        <f>YEAR(C7)&amp;"-"&amp;MONTH(C7)</f>
        <v>2025-9</v>
      </c>
      <c r="D59" s="1104">
        <f>EDATE(C59,-1)</f>
        <v>45870</v>
      </c>
      <c r="E59" s="1104">
        <f>EDATE(D59,-1)</f>
        <v>45839</v>
      </c>
      <c r="F59" s="1104">
        <f t="shared" ref="F59:O59" si="16">EDATE(E59,-1)</f>
        <v>45809</v>
      </c>
      <c r="G59" s="1104">
        <f t="shared" si="16"/>
        <v>45778</v>
      </c>
      <c r="H59" s="1104">
        <f t="shared" si="16"/>
        <v>45748</v>
      </c>
      <c r="I59" s="1104">
        <f t="shared" si="16"/>
        <v>45717</v>
      </c>
      <c r="J59" s="1104">
        <f t="shared" si="16"/>
        <v>45689</v>
      </c>
      <c r="K59" s="1104">
        <f t="shared" si="16"/>
        <v>45658</v>
      </c>
      <c r="L59" s="1104">
        <f t="shared" si="16"/>
        <v>45627</v>
      </c>
      <c r="M59" s="1104">
        <f t="shared" si="16"/>
        <v>45597</v>
      </c>
      <c r="N59" s="1104">
        <f t="shared" si="16"/>
        <v>45566</v>
      </c>
      <c r="O59" s="1104">
        <f t="shared" si="16"/>
        <v>45536</v>
      </c>
      <c r="P59" s="3220">
        <f t="shared" ref="P59" si="17">EDATE(O59,-1)</f>
        <v>45505</v>
      </c>
      <c r="Q59" s="3220">
        <f t="shared" ref="Q59" si="18">EDATE(P59,-1)</f>
        <v>45474</v>
      </c>
      <c r="R59" s="3220">
        <f t="shared" ref="R59" si="19">EDATE(Q59,-1)</f>
        <v>45444</v>
      </c>
      <c r="S59" s="3220">
        <f t="shared" ref="S59" si="20">EDATE(R59,-1)</f>
        <v>45413</v>
      </c>
      <c r="T59" s="3220">
        <f t="shared" ref="T59" si="21">EDATE(S59,-1)</f>
        <v>45383</v>
      </c>
      <c r="U59" s="3220">
        <f t="shared" ref="U59" si="22">EDATE(T59,-1)</f>
        <v>45352</v>
      </c>
      <c r="V59" s="3220">
        <f t="shared" ref="V59" si="23">EDATE(U59,-1)</f>
        <v>45323</v>
      </c>
      <c r="W59" s="3220">
        <f t="shared" ref="W59" si="24">EDATE(V59,-1)</f>
        <v>45292</v>
      </c>
      <c r="X59" s="3220">
        <f t="shared" ref="X59" si="25">EDATE(W59,-1)</f>
        <v>45261</v>
      </c>
      <c r="Y59" s="3220">
        <f t="shared" ref="Y59" si="26">EDATE(X59,-1)</f>
        <v>45231</v>
      </c>
      <c r="Z59" s="3220">
        <f t="shared" ref="Z59" si="27">EDATE(Y59,-1)</f>
        <v>45200</v>
      </c>
      <c r="AA59" s="3220">
        <f t="shared" ref="AA59:AB59" si="28">EDATE(Z59,-1)</f>
        <v>45170</v>
      </c>
      <c r="AB59" s="3220">
        <f t="shared" si="28"/>
        <v>45139</v>
      </c>
      <c r="AC59" s="3220">
        <f t="shared" ref="AC59" si="29">EDATE(AB59,-1)</f>
        <v>45108</v>
      </c>
      <c r="AD59" s="3220">
        <f t="shared" ref="AD59" si="30">EDATE(AC59,-1)</f>
        <v>45078</v>
      </c>
      <c r="AE59" s="3220">
        <f t="shared" ref="AE59" si="31">EDATE(AD59,-1)</f>
        <v>45047</v>
      </c>
      <c r="AF59" s="3220">
        <f t="shared" ref="AF59" si="32">EDATE(AE59,-1)</f>
        <v>45017</v>
      </c>
      <c r="AG59" s="3220">
        <f t="shared" ref="AG59" si="33">EDATE(AF59,-1)</f>
        <v>44986</v>
      </c>
      <c r="AH59" s="3220">
        <f t="shared" ref="AH59" si="34">EDATE(AG59,-1)</f>
        <v>44958</v>
      </c>
      <c r="AI59" s="3220">
        <f t="shared" ref="AI59" si="35">EDATE(AH59,-1)</f>
        <v>44927</v>
      </c>
      <c r="AJ59" s="3220">
        <f t="shared" ref="AJ59" si="36">EDATE(AI59,-1)</f>
        <v>44896</v>
      </c>
      <c r="AK59" s="3220">
        <f t="shared" ref="AK59" si="37">EDATE(AJ59,-1)</f>
        <v>44866</v>
      </c>
      <c r="AL59" s="3220">
        <f t="shared" ref="AL59" si="38">EDATE(AK59,-1)</f>
        <v>44835</v>
      </c>
      <c r="AM59" s="3220">
        <f t="shared" ref="AM59" si="39">EDATE(AL59,-1)</f>
        <v>44805</v>
      </c>
      <c r="AN59" s="3220">
        <f t="shared" ref="AN59" si="40">EDATE(AM59,-1)</f>
        <v>44774</v>
      </c>
      <c r="AO59" s="3220">
        <f t="shared" ref="AO59" si="41">EDATE(AN59,-1)</f>
        <v>44743</v>
      </c>
      <c r="AP59" s="3220">
        <f t="shared" ref="AP59" si="42">EDATE(AO59,-1)</f>
        <v>44713</v>
      </c>
      <c r="AQ59" s="3220">
        <f t="shared" ref="AQ59" si="43">EDATE(AP59,-1)</f>
        <v>44682</v>
      </c>
      <c r="AR59" s="3220">
        <f t="shared" ref="AR59" si="44">EDATE(AQ59,-1)</f>
        <v>44652</v>
      </c>
    </row>
    <row r="60" spans="1:44" s="102" customFormat="1">
      <c r="A60" s="443"/>
      <c r="B60" s="444"/>
      <c r="C60" s="1102">
        <v>100</v>
      </c>
      <c r="D60" s="446">
        <v>100</v>
      </c>
      <c r="E60" s="446">
        <v>100</v>
      </c>
      <c r="F60" s="446">
        <v>100</v>
      </c>
      <c r="G60" s="446">
        <v>100</v>
      </c>
      <c r="H60" s="446">
        <v>100</v>
      </c>
      <c r="I60" s="446">
        <v>100</v>
      </c>
      <c r="J60" s="446">
        <v>100</v>
      </c>
      <c r="K60" s="446">
        <v>100</v>
      </c>
      <c r="L60" s="446">
        <v>100</v>
      </c>
      <c r="M60" s="446">
        <v>100</v>
      </c>
      <c r="N60" s="446">
        <v>100</v>
      </c>
      <c r="O60" s="446">
        <v>100</v>
      </c>
      <c r="P60" s="446">
        <v>100</v>
      </c>
      <c r="Q60" s="446">
        <v>100</v>
      </c>
      <c r="R60" s="446">
        <v>100</v>
      </c>
      <c r="S60" s="446">
        <v>100</v>
      </c>
      <c r="T60" s="446">
        <v>100</v>
      </c>
      <c r="U60" s="446">
        <v>100</v>
      </c>
      <c r="V60" s="446">
        <v>100</v>
      </c>
      <c r="W60" s="446">
        <v>100</v>
      </c>
      <c r="X60" s="446">
        <v>100</v>
      </c>
      <c r="Y60" s="446">
        <v>100</v>
      </c>
      <c r="Z60" s="446">
        <v>100</v>
      </c>
      <c r="AA60" s="446">
        <v>100</v>
      </c>
      <c r="AB60" s="446">
        <v>100</v>
      </c>
      <c r="AC60" s="446">
        <v>100</v>
      </c>
      <c r="AD60" s="446">
        <v>100</v>
      </c>
      <c r="AE60" s="446">
        <v>100</v>
      </c>
      <c r="AF60" s="446">
        <v>100</v>
      </c>
      <c r="AG60" s="446">
        <v>100</v>
      </c>
      <c r="AH60" s="446">
        <v>100</v>
      </c>
      <c r="AI60" s="446">
        <v>100</v>
      </c>
      <c r="AJ60" s="446">
        <v>100</v>
      </c>
      <c r="AK60" s="446">
        <v>100</v>
      </c>
      <c r="AL60" s="446">
        <v>100</v>
      </c>
      <c r="AM60" s="446">
        <v>100</v>
      </c>
      <c r="AN60" s="446">
        <v>100</v>
      </c>
      <c r="AO60" s="446">
        <v>100</v>
      </c>
      <c r="AP60" s="446">
        <v>100</v>
      </c>
      <c r="AQ60" s="446">
        <v>100</v>
      </c>
      <c r="AR60" s="446">
        <v>100</v>
      </c>
    </row>
    <row r="61" spans="1:44" s="102" customFormat="1" ht="14.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44" s="102" customFormat="1">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44" s="102" customFormat="1" ht="14.5"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44">
      <c r="A64" s="379" t="s">
        <v>1719</v>
      </c>
      <c r="B64" s="460" t="s">
        <v>1685</v>
      </c>
      <c r="C64" s="461" t="str">
        <f>C9</f>
        <v>研发</v>
      </c>
      <c r="D64" s="3215" t="s">
        <v>460</v>
      </c>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5" thickBot="1">
      <c r="A65" s="367"/>
      <c r="B65" s="466"/>
      <c r="C65" s="467">
        <v>100</v>
      </c>
      <c r="D65" s="467">
        <v>105</v>
      </c>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8.5" thickTop="1">
      <c r="A66" s="367"/>
      <c r="B66" s="469" t="s">
        <v>1688</v>
      </c>
      <c r="C66" s="513" t="s">
        <v>3676</v>
      </c>
      <c r="D66" s="513" t="s">
        <v>3672</v>
      </c>
      <c r="E66" s="513" t="s">
        <v>3673</v>
      </c>
      <c r="F66" s="513" t="s">
        <v>3674</v>
      </c>
      <c r="G66" s="513" t="s">
        <v>3675</v>
      </c>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5" thickBot="1">
      <c r="A67" s="367"/>
      <c r="B67" s="474"/>
      <c r="C67" s="467">
        <f t="shared" ref="C67:E67" si="45">D67-3</f>
        <v>88</v>
      </c>
      <c r="D67" s="467">
        <f t="shared" si="45"/>
        <v>91</v>
      </c>
      <c r="E67" s="467">
        <f t="shared" si="45"/>
        <v>94</v>
      </c>
      <c r="F67" s="467">
        <f>G67-3</f>
        <v>97</v>
      </c>
      <c r="G67" s="467">
        <v>100</v>
      </c>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4.5" thickTop="1">
      <c r="A68" s="367"/>
      <c r="B68" s="477" t="s">
        <v>1689</v>
      </c>
      <c r="C68" s="478" t="str">
        <f>C69&amp;"（含）"&amp;"-"&amp;D69</f>
        <v>0（含）-3</v>
      </c>
      <c r="D68" s="478" t="str">
        <f t="shared" ref="D68:L68" si="46">D69&amp;"（含）"&amp;"-"&amp;E69</f>
        <v>3（含）-</v>
      </c>
      <c r="E68" s="478" t="str">
        <f t="shared" si="46"/>
        <v>（含）-</v>
      </c>
      <c r="F68" s="478" t="str">
        <f t="shared" si="46"/>
        <v>（含）-</v>
      </c>
      <c r="G68" s="478" t="str">
        <f t="shared" si="46"/>
        <v>（含）-</v>
      </c>
      <c r="H68" s="478" t="str">
        <f t="shared" si="46"/>
        <v>（含）-</v>
      </c>
      <c r="I68" s="478" t="str">
        <f t="shared" si="46"/>
        <v>（含）-</v>
      </c>
      <c r="J68" s="478" t="str">
        <f t="shared" si="46"/>
        <v>（含）-</v>
      </c>
      <c r="K68" s="478" t="str">
        <f t="shared" si="46"/>
        <v>（含）-</v>
      </c>
      <c r="L68" s="478" t="str">
        <f t="shared" si="46"/>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5" thickBot="1">
      <c r="A70" s="367"/>
      <c r="B70" s="466"/>
      <c r="C70" s="475">
        <v>100</v>
      </c>
      <c r="D70" s="475">
        <f t="shared" ref="D70:M70" si="47">C70-$K11</f>
        <v>100</v>
      </c>
      <c r="E70" s="475">
        <f t="shared" si="47"/>
        <v>100</v>
      </c>
      <c r="F70" s="475">
        <f t="shared" si="47"/>
        <v>100</v>
      </c>
      <c r="G70" s="475">
        <f t="shared" si="47"/>
        <v>100</v>
      </c>
      <c r="H70" s="475">
        <f t="shared" si="47"/>
        <v>100</v>
      </c>
      <c r="I70" s="475">
        <f t="shared" si="47"/>
        <v>100</v>
      </c>
      <c r="J70" s="475">
        <f t="shared" si="47"/>
        <v>100</v>
      </c>
      <c r="K70" s="475">
        <f t="shared" si="47"/>
        <v>100</v>
      </c>
      <c r="L70" s="475">
        <f t="shared" si="47"/>
        <v>100</v>
      </c>
      <c r="M70" s="476">
        <f t="shared" si="47"/>
        <v>100</v>
      </c>
      <c r="N70" s="2520"/>
      <c r="O70" s="2520"/>
      <c r="P70" s="2528"/>
      <c r="Q70" s="2506"/>
      <c r="R70" s="2485"/>
      <c r="S70" s="2485"/>
      <c r="T70" s="2485"/>
      <c r="U70" s="2485"/>
      <c r="V70" s="2485"/>
      <c r="W70" s="2485"/>
      <c r="X70" s="2485"/>
      <c r="Y70" s="2485"/>
      <c r="Z70" s="2485"/>
      <c r="AA70" s="2485"/>
      <c r="AB70" s="2485"/>
      <c r="AC70" s="2485"/>
    </row>
    <row r="71" spans="1:29" s="408" customFormat="1" ht="14.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5" thickBot="1">
      <c r="A78" s="367"/>
      <c r="B78" s="474"/>
      <c r="C78" s="475">
        <v>100</v>
      </c>
      <c r="D78" s="475">
        <f>C78-$K15</f>
        <v>95</v>
      </c>
      <c r="E78" s="475">
        <f>D78-$K15</f>
        <v>90</v>
      </c>
      <c r="F78" s="475">
        <f>E78-$K15</f>
        <v>85</v>
      </c>
      <c r="G78" s="475">
        <f>F78-$K15</f>
        <v>80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4.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5"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4.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5" thickBot="1">
      <c r="A82" s="367"/>
      <c r="B82" s="474"/>
      <c r="C82" s="475">
        <v>100</v>
      </c>
      <c r="D82" s="475">
        <f>C82-$K19</f>
        <v>98</v>
      </c>
      <c r="E82" s="475">
        <f>D82-$K19</f>
        <v>96</v>
      </c>
      <c r="F82" s="475">
        <f>E82-$K19</f>
        <v>94</v>
      </c>
      <c r="G82" s="475">
        <f>F82-$K19</f>
        <v>92</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4.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5" thickBot="1">
      <c r="A84" s="367"/>
      <c r="B84" s="477"/>
      <c r="C84" s="475">
        <v>100</v>
      </c>
      <c r="D84" s="475">
        <f>C84-$K21</f>
        <v>99</v>
      </c>
      <c r="E84" s="475">
        <f>D84-$K21</f>
        <v>98</v>
      </c>
      <c r="F84" s="475">
        <f>E84-$K21</f>
        <v>97</v>
      </c>
      <c r="G84" s="475">
        <f>F84-$K21</f>
        <v>96</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4.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5"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8.5" thickTop="1">
      <c r="A87" s="370"/>
      <c r="B87" s="469" t="s">
        <v>1823</v>
      </c>
      <c r="C87" s="3216" t="s">
        <v>3677</v>
      </c>
      <c r="D87" s="3217" t="s">
        <v>3678</v>
      </c>
      <c r="E87" s="3217" t="s">
        <v>3679</v>
      </c>
      <c r="F87" s="3217" t="s">
        <v>3680</v>
      </c>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5" thickBot="1">
      <c r="A88" s="370"/>
      <c r="B88" s="474"/>
      <c r="C88" s="512">
        <v>100</v>
      </c>
      <c r="D88" s="475">
        <f t="shared" ref="D88:M88" si="48">C88-$K25</f>
        <v>100</v>
      </c>
      <c r="E88" s="475">
        <f t="shared" si="48"/>
        <v>100</v>
      </c>
      <c r="F88" s="475">
        <f t="shared" si="48"/>
        <v>100</v>
      </c>
      <c r="G88" s="475">
        <f t="shared" si="48"/>
        <v>100</v>
      </c>
      <c r="H88" s="475">
        <f t="shared" si="48"/>
        <v>100</v>
      </c>
      <c r="I88" s="475">
        <f t="shared" si="48"/>
        <v>100</v>
      </c>
      <c r="J88" s="475">
        <f t="shared" si="48"/>
        <v>100</v>
      </c>
      <c r="K88" s="475">
        <f t="shared" si="48"/>
        <v>100</v>
      </c>
      <c r="L88" s="475">
        <f t="shared" si="48"/>
        <v>100</v>
      </c>
      <c r="M88" s="475">
        <f t="shared" si="48"/>
        <v>100</v>
      </c>
      <c r="N88" s="2520"/>
      <c r="O88" s="2520"/>
      <c r="P88" s="2528"/>
      <c r="Q88" s="2506"/>
      <c r="R88" s="2438"/>
      <c r="S88" s="2438"/>
      <c r="T88" s="2438"/>
      <c r="U88" s="2438"/>
      <c r="V88" s="2438"/>
      <c r="W88" s="2438"/>
      <c r="X88" s="2438"/>
      <c r="Y88" s="2438"/>
      <c r="Z88" s="2438"/>
      <c r="AA88" s="2438"/>
      <c r="AB88" s="2438"/>
      <c r="AC88" s="2438"/>
    </row>
    <row r="89" spans="1:29" s="102" customFormat="1" ht="14.5" thickTop="1">
      <c r="A89" s="370"/>
      <c r="B89" s="469" t="str">
        <f>B27</f>
        <v>楼层</v>
      </c>
      <c r="C89" s="485"/>
      <c r="D89" s="485"/>
      <c r="E89" s="485"/>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5" thickBot="1">
      <c r="A90" s="370"/>
      <c r="B90" s="474"/>
      <c r="C90" s="512">
        <v>100</v>
      </c>
      <c r="D90" s="475">
        <f>C90-$K27</f>
        <v>100</v>
      </c>
      <c r="E90" s="475">
        <f t="shared" ref="E90:M90" si="49">D90-$K27</f>
        <v>100</v>
      </c>
      <c r="F90" s="475">
        <f t="shared" si="49"/>
        <v>100</v>
      </c>
      <c r="G90" s="475">
        <f t="shared" si="49"/>
        <v>100</v>
      </c>
      <c r="H90" s="475">
        <f t="shared" si="49"/>
        <v>100</v>
      </c>
      <c r="I90" s="475">
        <f t="shared" si="49"/>
        <v>100</v>
      </c>
      <c r="J90" s="475">
        <f t="shared" si="49"/>
        <v>100</v>
      </c>
      <c r="K90" s="475">
        <f t="shared" si="49"/>
        <v>100</v>
      </c>
      <c r="L90" s="475">
        <f t="shared" si="49"/>
        <v>100</v>
      </c>
      <c r="M90" s="475">
        <f t="shared" si="49"/>
        <v>100</v>
      </c>
      <c r="N90" s="2520"/>
      <c r="O90" s="2520"/>
      <c r="P90" s="2528"/>
      <c r="Q90" s="2506"/>
      <c r="R90" s="2438"/>
      <c r="S90" s="2438"/>
      <c r="T90" s="2438"/>
      <c r="U90" s="2438"/>
      <c r="V90" s="2438"/>
      <c r="W90" s="2438"/>
      <c r="X90" s="2438"/>
      <c r="Y90" s="2438"/>
      <c r="Z90" s="2438"/>
      <c r="AA90" s="2438"/>
      <c r="AB90" s="2438"/>
      <c r="AC90" s="2438"/>
    </row>
    <row r="91" spans="1:29" s="408" customFormat="1" ht="14.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5" thickBot="1">
      <c r="A92" s="484"/>
      <c r="B92" s="474"/>
      <c r="C92" s="512">
        <v>100</v>
      </c>
      <c r="D92" s="475">
        <f t="shared" ref="D92:M92" si="50">C92-$K28</f>
        <v>100</v>
      </c>
      <c r="E92" s="475">
        <f t="shared" si="50"/>
        <v>100</v>
      </c>
      <c r="F92" s="475">
        <f t="shared" si="50"/>
        <v>100</v>
      </c>
      <c r="G92" s="475">
        <f t="shared" si="50"/>
        <v>100</v>
      </c>
      <c r="H92" s="475">
        <f t="shared" si="50"/>
        <v>100</v>
      </c>
      <c r="I92" s="475">
        <f t="shared" si="50"/>
        <v>100</v>
      </c>
      <c r="J92" s="475">
        <f t="shared" si="50"/>
        <v>100</v>
      </c>
      <c r="K92" s="475">
        <f t="shared" si="50"/>
        <v>100</v>
      </c>
      <c r="L92" s="475">
        <f t="shared" si="50"/>
        <v>100</v>
      </c>
      <c r="M92" s="475">
        <f t="shared" si="50"/>
        <v>100</v>
      </c>
      <c r="N92" s="2521"/>
      <c r="O92" s="2521"/>
      <c r="P92" s="2529"/>
      <c r="Q92" s="2513"/>
      <c r="R92" s="2491"/>
      <c r="S92" s="2491"/>
      <c r="T92" s="2491"/>
      <c r="U92" s="2491"/>
      <c r="V92" s="2491"/>
      <c r="W92" s="2491"/>
      <c r="X92" s="2491"/>
      <c r="Y92" s="2491"/>
      <c r="Z92" s="2491"/>
      <c r="AA92" s="2491"/>
      <c r="AB92" s="2491"/>
      <c r="AC92" s="2491"/>
    </row>
    <row r="93" spans="1:29" ht="14.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3215" t="s">
        <v>3710</v>
      </c>
      <c r="D101" s="3215" t="s">
        <v>3712</v>
      </c>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5" thickBot="1">
      <c r="A102" s="367"/>
      <c r="B102" s="474"/>
      <c r="C102" s="475">
        <v>100</v>
      </c>
      <c r="D102" s="475">
        <f t="shared" ref="D102:M102" si="51">C102-$K33</f>
        <v>96</v>
      </c>
      <c r="E102" s="475">
        <f t="shared" si="51"/>
        <v>92</v>
      </c>
      <c r="F102" s="475">
        <f t="shared" si="51"/>
        <v>88</v>
      </c>
      <c r="G102" s="475">
        <f t="shared" si="51"/>
        <v>84</v>
      </c>
      <c r="H102" s="475">
        <f t="shared" si="51"/>
        <v>80</v>
      </c>
      <c r="I102" s="475">
        <f t="shared" si="51"/>
        <v>76</v>
      </c>
      <c r="J102" s="475">
        <f t="shared" si="51"/>
        <v>72</v>
      </c>
      <c r="K102" s="475">
        <f t="shared" si="51"/>
        <v>68</v>
      </c>
      <c r="L102" s="475">
        <f t="shared" si="51"/>
        <v>64</v>
      </c>
      <c r="M102" s="476">
        <f t="shared" si="51"/>
        <v>60</v>
      </c>
      <c r="N102" s="2520"/>
      <c r="O102" s="2520"/>
      <c r="P102" s="2528"/>
      <c r="Q102" s="2506"/>
      <c r="R102" s="2485"/>
      <c r="S102" s="2485"/>
      <c r="T102" s="2485"/>
      <c r="U102" s="2485"/>
      <c r="V102" s="2485"/>
      <c r="W102" s="2485"/>
      <c r="X102" s="2485"/>
      <c r="Y102" s="2485"/>
      <c r="Z102" s="2485"/>
      <c r="AA102" s="2485"/>
      <c r="AB102" s="2485"/>
      <c r="AC102" s="2485"/>
    </row>
    <row r="103" spans="1:29" ht="28.5" thickTop="1">
      <c r="A103" s="367"/>
      <c r="B103" s="469" t="s">
        <v>1737</v>
      </c>
      <c r="C103" s="509" t="str">
        <f>C104&amp;"(含)"&amp;"-"&amp;D104</f>
        <v>0(含)-5000</v>
      </c>
      <c r="D103" s="509" t="str">
        <f t="shared" ref="D103:L103" si="52">D104&amp;"(含)"&amp;"-"&amp;E104</f>
        <v>5000(含)-10000</v>
      </c>
      <c r="E103" s="509" t="str">
        <f t="shared" si="52"/>
        <v>10000(含)-30000</v>
      </c>
      <c r="F103" s="509" t="str">
        <f t="shared" si="52"/>
        <v>30000(含)-80000</v>
      </c>
      <c r="G103" s="509" t="str">
        <f t="shared" si="52"/>
        <v>80000(含)-150000</v>
      </c>
      <c r="H103" s="509" t="str">
        <f t="shared" si="52"/>
        <v>150000(含)-</v>
      </c>
      <c r="I103" s="509" t="str">
        <f t="shared" si="52"/>
        <v>(含)-</v>
      </c>
      <c r="J103" s="509" t="str">
        <f t="shared" si="52"/>
        <v>(含)-</v>
      </c>
      <c r="K103" s="509" t="str">
        <f t="shared" si="52"/>
        <v>(含)-</v>
      </c>
      <c r="L103" s="509" t="str">
        <f t="shared" si="52"/>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5000</v>
      </c>
      <c r="E104" s="6">
        <v>10000</v>
      </c>
      <c r="F104" s="6">
        <v>30000</v>
      </c>
      <c r="G104" s="6">
        <v>80000</v>
      </c>
      <c r="H104" s="6">
        <v>150000</v>
      </c>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5" thickBot="1">
      <c r="A105" s="484"/>
      <c r="B105" s="474"/>
      <c r="C105" s="491">
        <v>100</v>
      </c>
      <c r="D105" s="467">
        <f>C105-2</f>
        <v>98</v>
      </c>
      <c r="E105" s="467">
        <f t="shared" ref="E105:H105" si="53">D105-2</f>
        <v>96</v>
      </c>
      <c r="F105" s="467">
        <f t="shared" si="53"/>
        <v>94</v>
      </c>
      <c r="G105" s="467">
        <f t="shared" si="53"/>
        <v>92</v>
      </c>
      <c r="H105" s="467">
        <f t="shared" si="53"/>
        <v>90</v>
      </c>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4.5" thickTop="1">
      <c r="A106" s="409"/>
      <c r="B106" s="469" t="s">
        <v>1738</v>
      </c>
      <c r="C106" s="3217" t="s">
        <v>3681</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5" thickBot="1">
      <c r="A107" s="367"/>
      <c r="B107" s="474"/>
      <c r="C107" s="475">
        <v>100</v>
      </c>
      <c r="D107" s="475">
        <f t="shared" ref="D107:M107" si="54">C107-$K35</f>
        <v>98</v>
      </c>
      <c r="E107" s="475">
        <f t="shared" si="54"/>
        <v>96</v>
      </c>
      <c r="F107" s="475">
        <f t="shared" si="54"/>
        <v>94</v>
      </c>
      <c r="G107" s="475">
        <f t="shared" si="54"/>
        <v>92</v>
      </c>
      <c r="H107" s="475">
        <f t="shared" si="54"/>
        <v>90</v>
      </c>
      <c r="I107" s="475">
        <f t="shared" si="54"/>
        <v>88</v>
      </c>
      <c r="J107" s="475">
        <f t="shared" si="54"/>
        <v>86</v>
      </c>
      <c r="K107" s="475">
        <f t="shared" si="54"/>
        <v>84</v>
      </c>
      <c r="L107" s="475">
        <f t="shared" si="54"/>
        <v>82</v>
      </c>
      <c r="M107" s="476">
        <f t="shared" si="54"/>
        <v>80</v>
      </c>
      <c r="N107" s="2520"/>
      <c r="O107" s="2520"/>
      <c r="P107" s="2528"/>
      <c r="Q107" s="2506"/>
      <c r="R107" s="2485"/>
      <c r="S107" s="2485"/>
      <c r="T107" s="2485"/>
      <c r="U107" s="2485"/>
      <c r="V107" s="2485"/>
      <c r="W107" s="2485"/>
      <c r="X107" s="2485"/>
      <c r="Y107" s="2485"/>
      <c r="Z107" s="2485"/>
      <c r="AA107" s="2485"/>
      <c r="AB107" s="2485"/>
      <c r="AC107" s="2485"/>
    </row>
    <row r="108" spans="1:29" ht="14.5" thickTop="1">
      <c r="A108" s="409"/>
      <c r="B108" s="469" t="s">
        <v>1740</v>
      </c>
      <c r="C108" s="3217" t="s">
        <v>3682</v>
      </c>
      <c r="D108" s="3217" t="s">
        <v>3683</v>
      </c>
      <c r="E108" s="3217" t="s">
        <v>3684</v>
      </c>
      <c r="F108" s="3218" t="s">
        <v>3685</v>
      </c>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5" thickBot="1">
      <c r="A109" s="367"/>
      <c r="B109" s="474"/>
      <c r="C109" s="475">
        <v>100</v>
      </c>
      <c r="D109" s="475">
        <f t="shared" ref="D109:M109" si="55">C109-$K36</f>
        <v>99</v>
      </c>
      <c r="E109" s="475">
        <f t="shared" si="55"/>
        <v>98</v>
      </c>
      <c r="F109" s="475">
        <f t="shared" si="55"/>
        <v>97</v>
      </c>
      <c r="G109" s="475">
        <f t="shared" si="55"/>
        <v>96</v>
      </c>
      <c r="H109" s="475">
        <f t="shared" si="55"/>
        <v>95</v>
      </c>
      <c r="I109" s="475">
        <f t="shared" si="55"/>
        <v>94</v>
      </c>
      <c r="J109" s="475">
        <f t="shared" si="55"/>
        <v>93</v>
      </c>
      <c r="K109" s="475">
        <f t="shared" si="55"/>
        <v>92</v>
      </c>
      <c r="L109" s="475">
        <f t="shared" si="55"/>
        <v>91</v>
      </c>
      <c r="M109" s="476">
        <f t="shared" si="55"/>
        <v>90</v>
      </c>
      <c r="N109" s="2520"/>
      <c r="O109" s="2520"/>
      <c r="P109" s="2528"/>
      <c r="Q109" s="2506"/>
      <c r="R109" s="2485"/>
      <c r="S109" s="2485"/>
      <c r="T109" s="2485"/>
      <c r="U109" s="2485"/>
      <c r="V109" s="2485"/>
      <c r="W109" s="2485"/>
      <c r="X109" s="2485"/>
      <c r="Y109" s="2485"/>
      <c r="Z109" s="2485"/>
      <c r="AA109" s="2485"/>
      <c r="AB109" s="2485"/>
      <c r="AC109" s="2485"/>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5" thickBot="1">
      <c r="A112" s="367"/>
      <c r="B112" s="474"/>
      <c r="C112" s="512">
        <v>100</v>
      </c>
      <c r="D112" s="475">
        <f>C112+$K37</f>
        <v>101</v>
      </c>
      <c r="E112" s="475">
        <f t="shared" ref="E112:M112" si="56">D112+$K37</f>
        <v>102</v>
      </c>
      <c r="F112" s="475">
        <f t="shared" si="56"/>
        <v>103</v>
      </c>
      <c r="G112" s="475">
        <f t="shared" si="56"/>
        <v>104</v>
      </c>
      <c r="H112" s="475">
        <f t="shared" si="56"/>
        <v>105</v>
      </c>
      <c r="I112" s="475">
        <f t="shared" si="56"/>
        <v>106</v>
      </c>
      <c r="J112" s="475">
        <f t="shared" si="56"/>
        <v>107</v>
      </c>
      <c r="K112" s="475">
        <f t="shared" si="56"/>
        <v>108</v>
      </c>
      <c r="L112" s="475">
        <f t="shared" si="56"/>
        <v>109</v>
      </c>
      <c r="M112" s="475">
        <f t="shared" si="56"/>
        <v>110</v>
      </c>
      <c r="N112" s="2520"/>
      <c r="O112" s="2520"/>
      <c r="P112" s="2528"/>
      <c r="Q112" s="2506"/>
      <c r="R112" s="2485"/>
      <c r="S112" s="2485"/>
      <c r="T112" s="2485"/>
      <c r="U112" s="2485"/>
      <c r="V112" s="2485"/>
      <c r="W112" s="2485"/>
      <c r="X112" s="2485"/>
      <c r="Y112" s="2485"/>
      <c r="Z112" s="2485"/>
      <c r="AA112" s="2485"/>
      <c r="AB112" s="2485"/>
      <c r="AC112" s="2485"/>
    </row>
    <row r="113" spans="1:29" s="408" customFormat="1" ht="14.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5" thickBot="1">
      <c r="A114" s="484"/>
      <c r="B114" s="474"/>
      <c r="C114" s="475">
        <v>100</v>
      </c>
      <c r="D114" s="475">
        <f>C114-$K38</f>
        <v>98</v>
      </c>
      <c r="E114" s="475">
        <f t="shared" ref="E114:M114" si="57">D114-$K38</f>
        <v>96</v>
      </c>
      <c r="F114" s="475">
        <f t="shared" si="57"/>
        <v>94</v>
      </c>
      <c r="G114" s="475">
        <f t="shared" si="57"/>
        <v>92</v>
      </c>
      <c r="H114" s="475">
        <f t="shared" si="57"/>
        <v>90</v>
      </c>
      <c r="I114" s="475">
        <f t="shared" si="57"/>
        <v>88</v>
      </c>
      <c r="J114" s="475">
        <f t="shared" si="57"/>
        <v>86</v>
      </c>
      <c r="K114" s="475">
        <f t="shared" si="57"/>
        <v>84</v>
      </c>
      <c r="L114" s="475">
        <f t="shared" si="57"/>
        <v>82</v>
      </c>
      <c r="M114" s="475">
        <f t="shared" si="57"/>
        <v>80</v>
      </c>
      <c r="N114" s="2521"/>
      <c r="O114" s="2521"/>
      <c r="P114" s="2529"/>
      <c r="Q114" s="2513"/>
      <c r="R114" s="2491"/>
      <c r="S114" s="2491"/>
      <c r="T114" s="2491"/>
      <c r="U114" s="2491"/>
      <c r="V114" s="2491"/>
      <c r="W114" s="2491"/>
      <c r="X114" s="2491"/>
      <c r="Y114" s="2491"/>
      <c r="Z114" s="2491"/>
      <c r="AA114" s="2491"/>
      <c r="AB114" s="2491"/>
      <c r="AC114" s="2491"/>
    </row>
    <row r="115" spans="1:29" ht="14.5" thickTop="1">
      <c r="A115" s="409"/>
      <c r="B115" s="469" t="s">
        <v>1741</v>
      </c>
      <c r="C115" s="3217" t="s">
        <v>3686</v>
      </c>
      <c r="D115" s="3217" t="s">
        <v>3687</v>
      </c>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5" thickBot="1">
      <c r="A116" s="367"/>
      <c r="B116" s="474"/>
      <c r="C116" s="475">
        <v>100</v>
      </c>
      <c r="D116" s="475">
        <f t="shared" ref="D116:M116" si="58">C116-$K39</f>
        <v>98</v>
      </c>
      <c r="E116" s="475">
        <f t="shared" si="58"/>
        <v>96</v>
      </c>
      <c r="F116" s="475">
        <f t="shared" si="58"/>
        <v>94</v>
      </c>
      <c r="G116" s="475">
        <f t="shared" si="58"/>
        <v>92</v>
      </c>
      <c r="H116" s="475">
        <f t="shared" si="58"/>
        <v>90</v>
      </c>
      <c r="I116" s="475">
        <f t="shared" si="58"/>
        <v>88</v>
      </c>
      <c r="J116" s="475">
        <f t="shared" si="58"/>
        <v>86</v>
      </c>
      <c r="K116" s="475">
        <f t="shared" si="58"/>
        <v>84</v>
      </c>
      <c r="L116" s="475">
        <f t="shared" si="58"/>
        <v>82</v>
      </c>
      <c r="M116" s="476">
        <f t="shared" si="58"/>
        <v>80</v>
      </c>
      <c r="N116" s="2520"/>
      <c r="O116" s="2520"/>
      <c r="P116" s="2528"/>
      <c r="Q116" s="2506"/>
      <c r="R116" s="2485"/>
      <c r="S116" s="2485"/>
      <c r="T116" s="2485"/>
      <c r="U116" s="2485"/>
      <c r="V116" s="2485"/>
      <c r="W116" s="2485"/>
      <c r="X116" s="2485"/>
      <c r="Y116" s="2485"/>
      <c r="Z116" s="2485"/>
      <c r="AA116" s="2485"/>
      <c r="AB116" s="2485"/>
      <c r="AC116" s="2485"/>
    </row>
    <row r="117" spans="1:29" ht="14.5" thickTop="1">
      <c r="A117" s="409"/>
      <c r="B117" s="469" t="s">
        <v>1742</v>
      </c>
      <c r="C117" s="3217" t="s">
        <v>3557</v>
      </c>
      <c r="D117" s="3217" t="s">
        <v>3688</v>
      </c>
      <c r="E117" s="3217" t="s">
        <v>3689</v>
      </c>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5"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4.5" thickTop="1">
      <c r="A119" s="409"/>
      <c r="B119" s="560" t="s">
        <v>1825</v>
      </c>
      <c r="C119" s="3218" t="s">
        <v>3690</v>
      </c>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5" thickBot="1">
      <c r="A120" s="367"/>
      <c r="B120" s="474"/>
      <c r="C120" s="512">
        <v>100</v>
      </c>
      <c r="D120" s="475">
        <f>C120-$K41</f>
        <v>100</v>
      </c>
      <c r="E120" s="475">
        <f t="shared" ref="E120:M120" si="59">D120-$K41</f>
        <v>100</v>
      </c>
      <c r="F120" s="475">
        <f t="shared" si="59"/>
        <v>100</v>
      </c>
      <c r="G120" s="475">
        <f t="shared" si="59"/>
        <v>100</v>
      </c>
      <c r="H120" s="475">
        <f t="shared" si="59"/>
        <v>100</v>
      </c>
      <c r="I120" s="475">
        <f t="shared" si="59"/>
        <v>100</v>
      </c>
      <c r="J120" s="475">
        <f t="shared" si="59"/>
        <v>100</v>
      </c>
      <c r="K120" s="475">
        <f t="shared" si="59"/>
        <v>100</v>
      </c>
      <c r="L120" s="475">
        <f t="shared" si="59"/>
        <v>100</v>
      </c>
      <c r="M120" s="475">
        <f t="shared" si="5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4.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4.5" thickTop="1">
      <c r="A123" s="409"/>
      <c r="B123" s="469" t="s">
        <v>1744</v>
      </c>
      <c r="C123" s="3217" t="s">
        <v>3682</v>
      </c>
      <c r="D123" s="3217" t="s">
        <v>3683</v>
      </c>
      <c r="E123" s="3217" t="s">
        <v>3684</v>
      </c>
      <c r="F123" s="3218" t="s">
        <v>3685</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5" thickBot="1">
      <c r="A124" s="367"/>
      <c r="B124" s="474"/>
      <c r="C124" s="475">
        <v>100</v>
      </c>
      <c r="D124" s="475">
        <f t="shared" ref="D124:M124" si="60">C124-$K43</f>
        <v>98</v>
      </c>
      <c r="E124" s="475">
        <f t="shared" si="60"/>
        <v>96</v>
      </c>
      <c r="F124" s="475">
        <f t="shared" si="60"/>
        <v>94</v>
      </c>
      <c r="G124" s="475">
        <f t="shared" si="60"/>
        <v>92</v>
      </c>
      <c r="H124" s="475">
        <f t="shared" si="60"/>
        <v>90</v>
      </c>
      <c r="I124" s="475">
        <f t="shared" si="60"/>
        <v>88</v>
      </c>
      <c r="J124" s="475">
        <f t="shared" si="60"/>
        <v>86</v>
      </c>
      <c r="K124" s="475">
        <f t="shared" si="60"/>
        <v>84</v>
      </c>
      <c r="L124" s="475">
        <f t="shared" si="60"/>
        <v>82</v>
      </c>
      <c r="M124" s="476">
        <f t="shared" si="60"/>
        <v>80</v>
      </c>
      <c r="N124" s="2520"/>
      <c r="O124" s="2520"/>
      <c r="P124" s="2528"/>
      <c r="Q124" s="2506"/>
      <c r="R124" s="2485"/>
      <c r="S124" s="2485"/>
      <c r="T124" s="2485"/>
      <c r="U124" s="2485"/>
      <c r="V124" s="2485"/>
      <c r="W124" s="2485"/>
      <c r="X124" s="2485"/>
      <c r="Y124" s="2485"/>
      <c r="Z124" s="2485"/>
      <c r="AA124" s="2485"/>
      <c r="AB124" s="2485"/>
      <c r="AC124" s="2485"/>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5"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28.5" thickTop="1">
      <c r="A127" s="406"/>
      <c r="B127" s="469" t="str">
        <f>B45</f>
        <v>地下面积占比</v>
      </c>
      <c r="C127" s="485" t="s">
        <v>3588</v>
      </c>
      <c r="D127" s="485" t="s">
        <v>3586</v>
      </c>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5" thickBot="1">
      <c r="A128" s="484"/>
      <c r="B128" s="474"/>
      <c r="C128" s="491">
        <v>100</v>
      </c>
      <c r="D128" s="467">
        <v>86</v>
      </c>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9" zoomScale="70" zoomScaleNormal="70" zoomScaleSheetLayoutView="70" workbookViewId="0">
      <selection activeCell="I6" sqref="I6:I9"/>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t="s">
        <v>3544</v>
      </c>
      <c r="D1" s="1271" t="s">
        <v>43</v>
      </c>
      <c r="E1" s="1272" t="s">
        <v>678</v>
      </c>
      <c r="F1" s="999">
        <f ca="1">J53</f>
        <v>33.880000000000003</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111100</v>
      </c>
      <c r="C2" s="1289" t="s">
        <v>805</v>
      </c>
      <c r="D2" s="1289"/>
      <c r="E2" s="1295"/>
      <c r="F2" s="1296"/>
      <c r="G2" s="2476"/>
      <c r="H2" s="2466"/>
      <c r="I2" s="2466"/>
      <c r="J2" s="2466"/>
      <c r="K2" s="2467"/>
      <c r="L2" s="2466"/>
      <c r="M2" s="2466"/>
    </row>
    <row r="3" spans="1:37" ht="18" customHeight="1" thickBot="1">
      <c r="A3" s="1297" t="s">
        <v>806</v>
      </c>
      <c r="B3" s="1298">
        <f ca="1">IF(ISERROR(B2*10000/F43),0,ROUND(B2*10000/F43,0))</f>
        <v>19889</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7116</v>
      </c>
      <c r="D5" s="1273" t="s">
        <v>693</v>
      </c>
      <c r="E5" s="1008"/>
      <c r="F5" s="1009"/>
      <c r="G5" s="1292"/>
      <c r="H5" s="291">
        <v>1</v>
      </c>
      <c r="I5" s="292" t="s">
        <v>692</v>
      </c>
      <c r="J5" s="1007">
        <f ca="1">J6+J10+J12</f>
        <v>0</v>
      </c>
      <c r="K5" s="1273" t="s">
        <v>693</v>
      </c>
      <c r="L5" s="1008"/>
      <c r="M5" s="1009"/>
    </row>
    <row r="6" spans="1:37" ht="18" customHeight="1">
      <c r="A6" s="1006" t="s">
        <v>398</v>
      </c>
      <c r="B6" s="3485" t="s">
        <v>694</v>
      </c>
      <c r="C6" s="1011">
        <f ca="1">ROUND(F6*F8*F7*(1-F9)/10000,0)</f>
        <v>7107</v>
      </c>
      <c r="D6" s="147" t="s">
        <v>2109</v>
      </c>
      <c r="E6" s="294" t="s">
        <v>696</v>
      </c>
      <c r="F6" s="295">
        <f ca="1">INDIRECT("'数据-取费表'!u"&amp;$G$1)</f>
        <v>4.3</v>
      </c>
      <c r="G6" s="1292"/>
      <c r="H6" s="1006" t="s">
        <v>398</v>
      </c>
      <c r="I6" s="3485" t="s">
        <v>694</v>
      </c>
      <c r="J6" s="293">
        <f ca="1">ROUND(M6*M8*M7*(1-M9)/10000,0)</f>
        <v>0</v>
      </c>
      <c r="K6" s="147" t="s">
        <v>2108</v>
      </c>
      <c r="L6" s="294" t="s">
        <v>696</v>
      </c>
      <c r="M6" s="295">
        <f ca="1">INDIRECT("'数据-取费表'!z"&amp;$G$1)</f>
        <v>0</v>
      </c>
    </row>
    <row r="7" spans="1:37" ht="18" customHeight="1">
      <c r="A7" s="1010"/>
      <c r="B7" s="3486"/>
      <c r="C7" s="1012"/>
      <c r="D7" s="299"/>
      <c r="E7" s="1013" t="s">
        <v>697</v>
      </c>
      <c r="F7" s="295">
        <f ca="1">IF(INDIRECT("'数据-取费表'!ah"&amp;$G$1)="",INDIRECT("'数据-取费表'!k"&amp;$G$1),INDIRECT("'数据-取费表'!ah"&amp;$G$1))</f>
        <v>47667.369999999981</v>
      </c>
      <c r="G7" s="1292"/>
      <c r="H7" s="296"/>
      <c r="I7" s="3486"/>
      <c r="J7" s="298"/>
      <c r="K7" s="299"/>
      <c r="L7" s="294" t="s">
        <v>697</v>
      </c>
      <c r="M7" s="295">
        <f ca="1">F7</f>
        <v>47667.369999999981</v>
      </c>
    </row>
    <row r="8" spans="1:37" ht="18" customHeight="1">
      <c r="A8" s="296"/>
      <c r="B8" s="3486"/>
      <c r="C8" s="298"/>
      <c r="D8" s="299"/>
      <c r="E8" s="294" t="s">
        <v>698</v>
      </c>
      <c r="F8" s="295">
        <f ca="1">INDIRECT("'数据-取费表'!ai"&amp;$G$1)</f>
        <v>365</v>
      </c>
      <c r="G8" s="1292"/>
      <c r="H8" s="296"/>
      <c r="I8" s="3486"/>
      <c r="J8" s="298"/>
      <c r="K8" s="299"/>
      <c r="L8" s="294" t="s">
        <v>698</v>
      </c>
      <c r="M8" s="295">
        <f ca="1">INDIRECT("'数据-取费表'!ai"&amp;$G$1)</f>
        <v>365</v>
      </c>
    </row>
    <row r="9" spans="1:37" ht="18" customHeight="1">
      <c r="A9" s="296"/>
      <c r="B9" s="3487"/>
      <c r="C9" s="298"/>
      <c r="D9" s="299"/>
      <c r="E9" s="294" t="s">
        <v>699</v>
      </c>
      <c r="F9" s="304">
        <f ca="1">INDIRECT("'数据-取费表'!w"&amp;$G$1)</f>
        <v>0.05</v>
      </c>
      <c r="G9" s="1292"/>
      <c r="H9" s="296"/>
      <c r="I9" s="3487"/>
      <c r="J9" s="298"/>
      <c r="K9" s="299"/>
      <c r="L9" s="305" t="s">
        <v>699</v>
      </c>
      <c r="M9" s="306">
        <f ca="1">INDIRECT("'数据-取费表'!ab"&amp;$G$1)</f>
        <v>0</v>
      </c>
    </row>
    <row r="10" spans="1:37" ht="18" customHeight="1">
      <c r="A10" s="1006" t="s">
        <v>402</v>
      </c>
      <c r="B10" s="1274" t="s">
        <v>700</v>
      </c>
      <c r="C10" s="308">
        <f ca="1">ROUND(IF(F10="押一",C6/12*F11,IF(F10="押二",C6/12*2*F11,IF(F10="押三",C6/12*3*F11,C11*F11))),0)</f>
        <v>9</v>
      </c>
      <c r="D10" s="150" t="s">
        <v>2117</v>
      </c>
      <c r="E10" s="305" t="s">
        <v>701</v>
      </c>
      <c r="F10" s="1053" t="s">
        <v>3692</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36824</v>
      </c>
      <c r="D13" s="1018" t="s">
        <v>705</v>
      </c>
      <c r="E13" s="1018" t="s">
        <v>706</v>
      </c>
      <c r="F13" s="1019">
        <f ca="1">INDIRECT("'数据-取费表'!y"&amp;$G$1)</f>
        <v>0.83</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30722</v>
      </c>
      <c r="D14" s="1257" t="s">
        <v>708</v>
      </c>
      <c r="E14" s="1255"/>
      <c r="F14" s="311"/>
      <c r="G14" s="1292"/>
      <c r="H14" s="928" t="s">
        <v>398</v>
      </c>
      <c r="I14" s="294" t="s">
        <v>709</v>
      </c>
      <c r="J14" s="21">
        <f ca="1">C29</f>
        <v>44366</v>
      </c>
      <c r="K14" s="12"/>
      <c r="L14" s="759"/>
      <c r="M14" s="760"/>
    </row>
    <row r="15" spans="1:37" s="1304" customFormat="1" ht="18" customHeight="1" thickBot="1">
      <c r="A15" s="928" t="s">
        <v>399</v>
      </c>
      <c r="B15" s="294" t="s">
        <v>710</v>
      </c>
      <c r="C15" s="21">
        <f ca="1">ROUND(C14*F15,0)</f>
        <v>1536</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222</v>
      </c>
      <c r="K16" s="1024" t="s">
        <v>715</v>
      </c>
      <c r="L16" s="1025"/>
      <c r="M16" s="1009"/>
    </row>
    <row r="17" spans="1:37" s="1304" customFormat="1" ht="18" customHeight="1">
      <c r="A17" s="928" t="s">
        <v>681</v>
      </c>
      <c r="B17" s="294" t="s">
        <v>716</v>
      </c>
      <c r="C17" s="21">
        <f ca="1">ROUND(F17*(F43+INDIRECT("'数据-取费表'!S"&amp;$G$1))/10000,0)</f>
        <v>1117</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614</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33989</v>
      </c>
      <c r="D19" s="123" t="s">
        <v>726</v>
      </c>
      <c r="E19" s="1269"/>
      <c r="F19" s="23"/>
      <c r="G19" s="1292"/>
      <c r="H19" s="928" t="s">
        <v>399</v>
      </c>
      <c r="I19" s="294" t="s">
        <v>727</v>
      </c>
      <c r="J19" s="21">
        <f ca="1">IF(K19="按租金收入计税",ROUND(J6*M19/(1+'数据-取费表'!C42),2),ROUND(C29*M19*0.7,2))</f>
        <v>0</v>
      </c>
      <c r="K19" s="1278" t="s">
        <v>3330</v>
      </c>
      <c r="L19" s="294" t="s">
        <v>712</v>
      </c>
      <c r="M19" s="314">
        <f>IF(K19="按租金收入计税",'数据-取费表'!B51,'数据-取费表'!B50)</f>
        <v>0.12</v>
      </c>
    </row>
    <row r="20" spans="1:37" s="1304" customFormat="1" ht="18" customHeight="1">
      <c r="A20" s="928" t="s">
        <v>402</v>
      </c>
      <c r="B20" s="294" t="s">
        <v>728</v>
      </c>
      <c r="C20" s="21">
        <f ca="1">ROUND(C19*F20,0)</f>
        <v>680</v>
      </c>
      <c r="D20" s="315" t="s">
        <v>729</v>
      </c>
      <c r="E20" s="294" t="s">
        <v>712</v>
      </c>
      <c r="F20" s="314">
        <f>'数据-取费表'!B37</f>
        <v>0.02</v>
      </c>
      <c r="G20" s="1303"/>
      <c r="H20" s="928" t="s">
        <v>680</v>
      </c>
      <c r="I20" s="147" t="s">
        <v>730</v>
      </c>
      <c r="J20" s="22">
        <f ca="1">ROUND(M20*M21/10000,2)</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221.83</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1085</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-222</v>
      </c>
      <c r="K25" s="1032" t="s">
        <v>753</v>
      </c>
      <c r="L25" s="1033"/>
      <c r="M25" s="1034"/>
    </row>
    <row r="26" spans="1:37" ht="13">
      <c r="A26" s="928" t="s">
        <v>397</v>
      </c>
      <c r="B26" s="294" t="s">
        <v>754</v>
      </c>
      <c r="C26" s="21">
        <f ca="1">ROUND((C19+C20)*F26,0)</f>
        <v>5200</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44366</v>
      </c>
      <c r="D29" s="1029"/>
      <c r="E29" s="1027"/>
      <c r="F29" s="1030"/>
      <c r="G29" s="1303"/>
      <c r="H29" s="325" t="s">
        <v>396</v>
      </c>
      <c r="I29" s="326" t="s">
        <v>768</v>
      </c>
      <c r="J29" s="327">
        <f ca="1">ROUND(J26/(1+F40)^F41,0)</f>
        <v>0</v>
      </c>
      <c r="K29" s="328" t="s">
        <v>769</v>
      </c>
      <c r="L29" s="329"/>
      <c r="M29" s="330">
        <f ca="1">INDIRECT("'数据-取费表'!k"&amp;$G$1)</f>
        <v>55858.959999999977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1486</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1191.27</v>
      </c>
      <c r="D31" s="1257" t="s">
        <v>720</v>
      </c>
      <c r="E31" s="1256" t="s">
        <v>770</v>
      </c>
      <c r="F31" s="2139" t="str">
        <f>IF(项目基本情况!B11="企业","——",IF(M47="住宅",IF(F6*F7*F8/12/(1+'数据-取费表'!F30)&gt;100000,4%,2.5%),IF(F6*F7*F8/12/(1+'数据-取费表'!F30)&gt;100000,12%,7%)))</f>
        <v>——</v>
      </c>
      <c r="G31" s="1292"/>
      <c r="H31" s="2567" t="s">
        <v>2302</v>
      </c>
      <c r="I31" s="1305"/>
      <c r="J31" s="1306"/>
      <c r="K31" s="121"/>
      <c r="L31" s="2469"/>
      <c r="M31" s="2470"/>
    </row>
    <row r="32" spans="1:37" ht="18" customHeight="1">
      <c r="A32" s="928" t="s">
        <v>397</v>
      </c>
      <c r="B32" s="294" t="s">
        <v>723</v>
      </c>
      <c r="C32" s="21">
        <f ca="1">IF(项目基本情况!B11="自然人","——",ROUND(C6*F32/(1+'数据-取费表'!C42),2))</f>
        <v>379.04</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812.23</v>
      </c>
      <c r="D33" s="1278" t="s">
        <v>3330</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3</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221.83</v>
      </c>
      <c r="D36" s="1256" t="s">
        <v>771</v>
      </c>
      <c r="E36" s="294" t="s">
        <v>712</v>
      </c>
      <c r="F36" s="320">
        <f ca="1">INDIRECT("'数据-取费表'!Ak"&amp;$G$1)</f>
        <v>5.0000000000000001E-3</v>
      </c>
      <c r="G36" s="1292"/>
      <c r="H36" s="2471"/>
      <c r="I36" s="1305"/>
      <c r="J36" s="1306"/>
      <c r="K36" s="2329"/>
      <c r="L36" s="2471"/>
      <c r="M36" s="2471"/>
    </row>
    <row r="37" spans="1:18" ht="18" customHeight="1">
      <c r="A37" s="928" t="s">
        <v>437</v>
      </c>
      <c r="B37" s="294" t="s">
        <v>742</v>
      </c>
      <c r="C37" s="21">
        <f ca="1">ROUND(C13*F37,2)</f>
        <v>36.82</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ROUND(C5*F38,2)</f>
        <v>35.58</v>
      </c>
      <c r="D38" s="1029" t="s">
        <v>748</v>
      </c>
      <c r="E38" s="1027" t="s">
        <v>744</v>
      </c>
      <c r="F38" s="1023">
        <f ca="1">INDIRECT("'数据-取费表'!Am"&amp;$G$1)</f>
        <v>5.0000000000000001E-3</v>
      </c>
      <c r="G38" s="1292"/>
      <c r="H38" s="2471"/>
      <c r="I38" s="1305"/>
      <c r="J38" s="1306"/>
      <c r="K38" s="2469"/>
      <c r="L38" s="2471"/>
      <c r="M38" s="2471"/>
    </row>
    <row r="39" spans="1:18" ht="24.65" customHeight="1" thickTop="1">
      <c r="A39" s="1016" t="s">
        <v>394</v>
      </c>
      <c r="B39" s="1031" t="s">
        <v>772</v>
      </c>
      <c r="C39" s="302">
        <f ca="1">C5-C30</f>
        <v>5630</v>
      </c>
      <c r="D39" s="1032" t="s">
        <v>773</v>
      </c>
      <c r="E39" s="1033"/>
      <c r="F39" s="1034"/>
      <c r="G39" s="1292"/>
      <c r="H39" s="2471"/>
      <c r="I39" s="1305"/>
      <c r="J39" s="1306"/>
      <c r="K39" s="2469"/>
      <c r="L39" s="2471"/>
      <c r="M39" s="2471"/>
    </row>
    <row r="40" spans="1:18" ht="18" customHeight="1">
      <c r="A40" s="291" t="s">
        <v>395</v>
      </c>
      <c r="B40" s="292" t="s">
        <v>774</v>
      </c>
      <c r="C40" s="293">
        <f ca="1">ROUND(C39*(1-((1+F42)/(1+F40))^F41)/(F40-F42),0)</f>
        <v>109569</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33.880000000000003</v>
      </c>
      <c r="G41" s="1292"/>
      <c r="H41" s="121">
        <f ca="1">C39/C5</f>
        <v>0.79117481731309725</v>
      </c>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ROUND(C40*10000/F43,0)</f>
        <v>19615</v>
      </c>
      <c r="D43" s="328" t="s">
        <v>777</v>
      </c>
      <c r="E43" s="329" t="s">
        <v>778</v>
      </c>
      <c r="F43" s="330">
        <f ca="1">INDIRECT("'数据-取费表'!k"&amp;$G$1)</f>
        <v>55858.959999999977</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4" thickBot="1">
      <c r="A46" s="1311" t="s">
        <v>809</v>
      </c>
      <c r="C46" s="1312">
        <f ca="1">C68-C40</f>
        <v>-113510</v>
      </c>
      <c r="D46" s="1313" t="str">
        <f>C2</f>
        <v>万元</v>
      </c>
      <c r="E46" s="1307"/>
      <c r="F46" s="1307"/>
      <c r="I46" s="1314" t="s">
        <v>810</v>
      </c>
      <c r="J46" s="1315"/>
      <c r="K46" s="1316"/>
      <c r="L46" s="1317">
        <f ca="1">IF(M47="住宅",0,IF(L48&gt;J51,L60,J60))</f>
        <v>1531</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3583</v>
      </c>
      <c r="K47" s="1323" t="s">
        <v>816</v>
      </c>
      <c r="L47" s="1324">
        <f ca="1">INDIRECT("'数据-取费表'!d"&amp;$G$1)</f>
        <v>0</v>
      </c>
      <c r="M47" s="1288" t="str">
        <f>IF(ISNUMBER(FIND("住宅",C1)),"住宅","非住宅")</f>
        <v>非住宅</v>
      </c>
      <c r="O47" s="1325" t="s">
        <v>403</v>
      </c>
      <c r="P47" s="1326" t="s">
        <v>817</v>
      </c>
      <c r="Q47" s="1327">
        <f ca="1">C40+J29</f>
        <v>109569</v>
      </c>
      <c r="R47" s="1327" t="s">
        <v>818</v>
      </c>
    </row>
    <row r="48" spans="1:18" s="1292" customFormat="1" ht="43.5" thickBot="1">
      <c r="A48" s="1047" t="s">
        <v>438</v>
      </c>
      <c r="B48" s="292" t="s">
        <v>692</v>
      </c>
      <c r="C48" s="1268">
        <f ca="1">C49+C53+C55</f>
        <v>0</v>
      </c>
      <c r="D48" s="1049"/>
      <c r="E48" s="1050"/>
      <c r="F48" s="908"/>
      <c r="G48" s="681"/>
      <c r="H48" s="682"/>
      <c r="I48" s="1328" t="s">
        <v>819</v>
      </c>
      <c r="J48" s="1329" t="s">
        <v>3693</v>
      </c>
      <c r="K48" s="1330" t="s">
        <v>820</v>
      </c>
      <c r="L48" s="1331">
        <f ca="1">INDIRECT("'数据-取费表'!f"&amp;$G$1)</f>
        <v>33.880000000000003</v>
      </c>
      <c r="O48" s="1325" t="s">
        <v>404</v>
      </c>
      <c r="P48" s="1326" t="s">
        <v>821</v>
      </c>
      <c r="Q48" s="1327">
        <f ca="1">J60</f>
        <v>1531</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f>'数据-取费表'!N18</f>
        <v>2015</v>
      </c>
      <c r="K49" s="1330" t="s">
        <v>824</v>
      </c>
      <c r="L49" s="1333"/>
      <c r="O49" s="1334" t="s">
        <v>405</v>
      </c>
      <c r="P49" s="1326" t="s">
        <v>825</v>
      </c>
      <c r="Q49" s="1327">
        <f ca="1">C29</f>
        <v>44366</v>
      </c>
      <c r="R49" s="1327" t="s">
        <v>818</v>
      </c>
    </row>
    <row r="50" spans="1:18" s="1292" customFormat="1" ht="13.5" thickBot="1">
      <c r="A50" s="922"/>
      <c r="B50" s="925"/>
      <c r="C50" s="1055"/>
      <c r="D50" s="899"/>
      <c r="E50" s="993" t="s">
        <v>697</v>
      </c>
      <c r="F50" s="994">
        <f ca="1">F7</f>
        <v>47667.369999999981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50</v>
      </c>
      <c r="K51" s="1339" t="s">
        <v>830</v>
      </c>
      <c r="L51" s="1340">
        <f ca="1">ROUND(-PV(INDIRECT("'数据-取费表'!h"&amp;$G$1),J51,(C39-C13*C76),0),0)</f>
        <v>55723</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33.880000000000003</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33.880000000000003</v>
      </c>
      <c r="K53" s="3483" t="s">
        <v>837</v>
      </c>
      <c r="L53" s="3484"/>
      <c r="O53" s="1325" t="s">
        <v>409</v>
      </c>
      <c r="P53" s="1326" t="s">
        <v>838</v>
      </c>
      <c r="Q53" s="1327">
        <f ca="1">Q47+Q48</f>
        <v>111100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0.26900000000000002</v>
      </c>
      <c r="K55" s="1350" t="s">
        <v>841</v>
      </c>
      <c r="L55" s="1351"/>
      <c r="O55" s="1318" t="s">
        <v>811</v>
      </c>
      <c r="P55" s="1319" t="s">
        <v>812</v>
      </c>
      <c r="Q55" s="1320" t="s">
        <v>813</v>
      </c>
      <c r="R55" s="1320" t="s">
        <v>814</v>
      </c>
    </row>
    <row r="56" spans="1:18" s="1292" customFormat="1" ht="40" thickTop="1" thickBot="1">
      <c r="A56" s="903">
        <v>2</v>
      </c>
      <c r="B56" s="904" t="s">
        <v>704</v>
      </c>
      <c r="C56" s="224">
        <f ca="1">C13</f>
        <v>36824</v>
      </c>
      <c r="D56" s="1352"/>
      <c r="E56" s="1353"/>
      <c r="F56" s="1345"/>
      <c r="I56" s="1354" t="s">
        <v>842</v>
      </c>
      <c r="J56" s="1355" t="s">
        <v>3420</v>
      </c>
      <c r="K56" s="1328" t="s">
        <v>843</v>
      </c>
      <c r="L56" s="1331" t="str">
        <f ca="1">IF(L48&lt;J51,"——",L48-J53)</f>
        <v>——</v>
      </c>
      <c r="O56" s="1325" t="s">
        <v>403</v>
      </c>
      <c r="P56" s="1326" t="s">
        <v>817</v>
      </c>
      <c r="Q56" s="1327">
        <f ca="1">C40+J29</f>
        <v>109569</v>
      </c>
      <c r="R56" s="1327" t="s">
        <v>818</v>
      </c>
    </row>
    <row r="57" spans="1:18" s="1292" customFormat="1" ht="26.5" thickBot="1">
      <c r="A57" s="1356"/>
      <c r="B57" s="896" t="s">
        <v>767</v>
      </c>
      <c r="C57" s="230">
        <f ca="1">C29</f>
        <v>44366</v>
      </c>
      <c r="D57" s="1357"/>
      <c r="E57" s="1358"/>
      <c r="F57" s="1359"/>
      <c r="I57" s="1360" t="s">
        <v>844</v>
      </c>
      <c r="J57" s="1361">
        <f ca="1">IF(OR(M47="住宅",J51&lt;L48,J56="是"),"——",J51-L48)</f>
        <v>16.119999999999997</v>
      </c>
      <c r="K57" s="1328" t="s">
        <v>845</v>
      </c>
      <c r="L57" s="1331" t="str">
        <f ca="1">IF(L48&lt;J51,"——",IF(L55="比较法",L49,IF(L55="基准地价",L50,L51)))</f>
        <v>——</v>
      </c>
      <c r="O57" s="1325" t="s">
        <v>404</v>
      </c>
      <c r="P57" s="1326" t="s">
        <v>846</v>
      </c>
      <c r="Q57" s="1327">
        <f ca="1">L60</f>
        <v>0</v>
      </c>
      <c r="R57" s="1327" t="s">
        <v>847</v>
      </c>
    </row>
    <row r="58" spans="1:18" s="1292" customFormat="1" ht="26.5" thickBot="1">
      <c r="A58" s="307" t="s">
        <v>393</v>
      </c>
      <c r="B58" s="904" t="s">
        <v>714</v>
      </c>
      <c r="C58" s="308">
        <f ca="1">ROUND(C59+C64+C65+C66,0)</f>
        <v>259</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17746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1531</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3330</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3</v>
      </c>
      <c r="I62" s="1367" t="s">
        <v>858</v>
      </c>
      <c r="J62" s="610" t="s">
        <v>859</v>
      </c>
      <c r="K62" s="610" t="s">
        <v>860</v>
      </c>
      <c r="L62" s="610" t="s">
        <v>861</v>
      </c>
      <c r="M62" s="1368" t="s">
        <v>862</v>
      </c>
      <c r="O62" s="1325" t="s">
        <v>409</v>
      </c>
      <c r="P62" s="1326" t="s">
        <v>863</v>
      </c>
      <c r="Q62" s="1327">
        <f ca="1">Q56+Q57</f>
        <v>109569</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221.83</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36.82</v>
      </c>
      <c r="D65" s="910" t="s">
        <v>743</v>
      </c>
      <c r="E65" s="896" t="s">
        <v>744</v>
      </c>
      <c r="F65" s="321">
        <f t="shared" ca="1" si="0"/>
        <v>1E-3</v>
      </c>
      <c r="I65" s="1367" t="s">
        <v>867</v>
      </c>
      <c r="J65" s="610">
        <v>40</v>
      </c>
      <c r="K65" s="610">
        <v>30</v>
      </c>
      <c r="L65" s="610">
        <v>50</v>
      </c>
      <c r="M65" s="1369">
        <v>0.02</v>
      </c>
      <c r="O65" s="1325" t="s">
        <v>403</v>
      </c>
      <c r="P65" s="1326" t="s">
        <v>868</v>
      </c>
      <c r="Q65" s="1327">
        <f ca="1">C40+J29</f>
        <v>109569</v>
      </c>
      <c r="R65" s="1327" t="s">
        <v>818</v>
      </c>
    </row>
    <row r="66" spans="1:18" s="1292" customFormat="1" ht="16" thickBot="1">
      <c r="A66" s="928" t="s">
        <v>793</v>
      </c>
      <c r="B66" s="896" t="s">
        <v>728</v>
      </c>
      <c r="C66" s="21">
        <f ca="1">ROUND(C48*F66,2)</f>
        <v>0</v>
      </c>
      <c r="D66" s="910" t="s">
        <v>794</v>
      </c>
      <c r="E66" s="896" t="s">
        <v>712</v>
      </c>
      <c r="F66" s="304">
        <f t="shared" ca="1" si="0"/>
        <v>5.0000000000000001E-3</v>
      </c>
      <c r="O66" s="1325" t="s">
        <v>404</v>
      </c>
      <c r="P66" s="1326" t="s">
        <v>846</v>
      </c>
      <c r="Q66" s="1327">
        <f ca="1">L60</f>
        <v>0</v>
      </c>
      <c r="R66" s="1327" t="s">
        <v>869</v>
      </c>
    </row>
    <row r="67" spans="1:18" s="1292" customFormat="1" ht="26.5" thickBot="1">
      <c r="A67" s="903" t="s">
        <v>394</v>
      </c>
      <c r="B67" s="913" t="s">
        <v>752</v>
      </c>
      <c r="C67" s="308">
        <f ca="1">C48-C58</f>
        <v>-259</v>
      </c>
      <c r="D67" s="909" t="s">
        <v>753</v>
      </c>
      <c r="E67" s="914"/>
      <c r="F67" s="915"/>
      <c r="O67" s="1334" t="s">
        <v>405</v>
      </c>
      <c r="P67" s="1326" t="s">
        <v>850</v>
      </c>
      <c r="Q67" s="1370">
        <f ca="1">L51</f>
        <v>55723</v>
      </c>
      <c r="R67" s="1327" t="s">
        <v>870</v>
      </c>
    </row>
    <row r="68" spans="1:18" s="1292" customFormat="1" ht="16" thickBot="1">
      <c r="A68" s="893" t="s">
        <v>395</v>
      </c>
      <c r="B68" s="894" t="s">
        <v>774</v>
      </c>
      <c r="C68" s="293">
        <f ca="1">ROUND(C67*(1-((1+F70)/(1+F68))^F69)/(F68-F70),0)</f>
        <v>-3941</v>
      </c>
      <c r="D68" s="911" t="s">
        <v>758</v>
      </c>
      <c r="E68" s="896" t="s">
        <v>759</v>
      </c>
      <c r="F68" s="304">
        <f ca="1">F40</f>
        <v>5.5E-2</v>
      </c>
      <c r="O68" s="1334" t="s">
        <v>406</v>
      </c>
      <c r="P68" s="1371" t="s">
        <v>871</v>
      </c>
      <c r="Q68" s="1327">
        <f ca="1">ROUND(Q69-Q70*Q71,0)</f>
        <v>3052</v>
      </c>
      <c r="R68" s="1327" t="s">
        <v>414</v>
      </c>
    </row>
    <row r="69" spans="1:18" s="1292" customFormat="1" ht="13.5" thickBot="1">
      <c r="A69" s="897"/>
      <c r="B69" s="898"/>
      <c r="C69" s="298"/>
      <c r="D69" s="916" t="s">
        <v>762</v>
      </c>
      <c r="E69" s="896" t="s">
        <v>763</v>
      </c>
      <c r="F69" s="324">
        <f ca="1">F41</f>
        <v>33.880000000000003</v>
      </c>
      <c r="O69" s="1334" t="s">
        <v>411</v>
      </c>
      <c r="P69" s="1371" t="s">
        <v>872</v>
      </c>
      <c r="Q69" s="1327">
        <f ca="1">C39</f>
        <v>5630</v>
      </c>
      <c r="R69" s="1327" t="s">
        <v>818</v>
      </c>
    </row>
    <row r="70" spans="1:18" s="1292" customFormat="1" ht="13.5" thickBot="1">
      <c r="A70" s="900"/>
      <c r="B70" s="901"/>
      <c r="C70" s="302"/>
      <c r="D70" s="912"/>
      <c r="E70" s="896" t="s">
        <v>766</v>
      </c>
      <c r="F70" s="991"/>
      <c r="O70" s="1334" t="s">
        <v>412</v>
      </c>
      <c r="P70" s="1371" t="s">
        <v>873</v>
      </c>
      <c r="Q70" s="1327">
        <f ca="1">C13</f>
        <v>36824</v>
      </c>
      <c r="R70" s="1327" t="s">
        <v>818</v>
      </c>
    </row>
    <row r="71" spans="1:18" s="1292" customFormat="1" ht="13.5" thickBot="1">
      <c r="A71" s="917" t="s">
        <v>396</v>
      </c>
      <c r="B71" s="918" t="s">
        <v>776</v>
      </c>
      <c r="C71" s="327">
        <f ca="1">ROUND(C68*10000/F71,0)</f>
        <v>-706</v>
      </c>
      <c r="D71" s="919" t="s">
        <v>777</v>
      </c>
      <c r="E71" s="920" t="s">
        <v>778</v>
      </c>
      <c r="F71" s="330">
        <f ca="1">F43</f>
        <v>55858.959999999977</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2578</v>
      </c>
      <c r="D75" s="1292"/>
      <c r="E75" s="1292"/>
      <c r="F75" s="1292"/>
      <c r="K75" s="1309"/>
      <c r="L75" s="1292"/>
      <c r="O75" s="1325" t="s">
        <v>409</v>
      </c>
      <c r="P75" s="1326" t="s">
        <v>838</v>
      </c>
      <c r="Q75" s="1327">
        <f ca="1">Q65+Q66</f>
        <v>109569</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0.54200000000000004</v>
      </c>
    </row>
    <row r="80" spans="1:18" ht="13">
      <c r="B80" s="331" t="s">
        <v>800</v>
      </c>
      <c r="C80" s="266">
        <f ca="1">ROUND(C75/C39,3)</f>
        <v>0.45800000000000002</v>
      </c>
    </row>
    <row r="81" spans="2:3" ht="13.5">
      <c r="B81" s="262" t="s">
        <v>801</v>
      </c>
      <c r="C81" s="230"/>
    </row>
    <row r="82" spans="2:3" ht="13">
      <c r="B82" s="265" t="s">
        <v>802</v>
      </c>
      <c r="C82" s="267">
        <f ca="1">1-C83</f>
        <v>0.66399999999999992</v>
      </c>
    </row>
    <row r="83" spans="2:3" ht="13">
      <c r="B83" s="265" t="s">
        <v>803</v>
      </c>
      <c r="C83" s="266">
        <f ca="1">ROUND(C13/C40,3)</f>
        <v>0.33600000000000002</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t="e">
        <f ca="1">ROUND(D2/10000,4)</f>
        <v>#DIV/0!</v>
      </c>
      <c r="C2" s="1289" t="s">
        <v>879</v>
      </c>
      <c r="D2" s="1375" t="e">
        <f ca="1">C40+J29+L46</f>
        <v>#DIV/0!</v>
      </c>
      <c r="E2" s="1295" t="s">
        <v>880</v>
      </c>
      <c r="F2" s="1296"/>
      <c r="G2" s="2476"/>
      <c r="H2" s="2466"/>
      <c r="I2" s="2466"/>
      <c r="J2" s="2466"/>
      <c r="K2" s="2467"/>
      <c r="L2" s="2466"/>
      <c r="M2" s="2466"/>
    </row>
    <row r="3" spans="1:37" ht="18" customHeight="1" thickBot="1">
      <c r="A3" s="1297" t="s">
        <v>881</v>
      </c>
      <c r="B3" s="1298">
        <f ca="1">IF(ISERROR(D2/F43),0,ROUND(D2/F43,0))</f>
        <v>0</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85" t="s">
        <v>694</v>
      </c>
      <c r="C6" s="1011">
        <f ca="1">ROUND(F6*F8*F7*(1-F9),0)</f>
        <v>0</v>
      </c>
      <c r="D6" s="147" t="s">
        <v>2106</v>
      </c>
      <c r="E6" s="294" t="s">
        <v>696</v>
      </c>
      <c r="F6" s="295">
        <f ca="1">INDIRECT("'数据-取费表'!u"&amp;$G$1)</f>
        <v>0</v>
      </c>
      <c r="G6" s="1292"/>
      <c r="H6" s="1006" t="s">
        <v>398</v>
      </c>
      <c r="I6" s="3485" t="s">
        <v>694</v>
      </c>
      <c r="J6" s="293">
        <f ca="1">ROUND(M6*M8*M7*(1-M9),0)</f>
        <v>0</v>
      </c>
      <c r="K6" s="1284" t="s">
        <v>2107</v>
      </c>
      <c r="L6" s="294" t="s">
        <v>696</v>
      </c>
      <c r="M6" s="295">
        <f ca="1">INDIRECT("'数据-取费表'!z"&amp;$G$1)</f>
        <v>0</v>
      </c>
    </row>
    <row r="7" spans="1:37" ht="18" customHeight="1">
      <c r="A7" s="1010"/>
      <c r="B7" s="3486"/>
      <c r="C7" s="1012"/>
      <c r="D7" s="299"/>
      <c r="E7" s="1013" t="s">
        <v>697</v>
      </c>
      <c r="F7" s="295">
        <f ca="1">IF(INDIRECT("'数据-取费表'!ah"&amp;$G$1)="",INDIRECT("'数据-取费表'!k"&amp;$G$1),INDIRECT("'数据-取费表'!ah"&amp;$G$1))</f>
        <v>0</v>
      </c>
      <c r="G7" s="1292"/>
      <c r="H7" s="296"/>
      <c r="I7" s="3486"/>
      <c r="J7" s="298"/>
      <c r="K7" s="299"/>
      <c r="L7" s="294" t="s">
        <v>697</v>
      </c>
      <c r="M7" s="295">
        <f ca="1">F7</f>
        <v>0</v>
      </c>
    </row>
    <row r="8" spans="1:37" ht="18" customHeight="1">
      <c r="A8" s="296"/>
      <c r="B8" s="3486"/>
      <c r="C8" s="298"/>
      <c r="D8" s="299"/>
      <c r="E8" s="294" t="s">
        <v>698</v>
      </c>
      <c r="F8" s="295">
        <f ca="1">INDIRECT("'数据-取费表'!ai"&amp;$G$1)</f>
        <v>0</v>
      </c>
      <c r="G8" s="1292"/>
      <c r="H8" s="296"/>
      <c r="I8" s="3486"/>
      <c r="J8" s="298"/>
      <c r="K8" s="299"/>
      <c r="L8" s="294" t="s">
        <v>698</v>
      </c>
      <c r="M8" s="295">
        <f ca="1">INDIRECT("'数据-取费表'!ai"&amp;$G$1)</f>
        <v>0</v>
      </c>
    </row>
    <row r="9" spans="1:37" ht="18" customHeight="1">
      <c r="A9" s="296"/>
      <c r="B9" s="3487"/>
      <c r="C9" s="298"/>
      <c r="D9" s="299"/>
      <c r="E9" s="294" t="s">
        <v>699</v>
      </c>
      <c r="F9" s="304">
        <f ca="1">INDIRECT("'数据-取费表'!w"&amp;$G$1)</f>
        <v>0</v>
      </c>
      <c r="G9" s="1292"/>
      <c r="H9" s="296"/>
      <c r="I9" s="348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3330</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7" t="s">
        <v>2302</v>
      </c>
      <c r="I31" s="1305"/>
      <c r="J31" s="1306"/>
      <c r="K31" s="121"/>
      <c r="L31" s="2469"/>
      <c r="M31" s="2470"/>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3330</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0</v>
      </c>
      <c r="D34" s="316" t="s">
        <v>731</v>
      </c>
      <c r="E34" s="294" t="s">
        <v>732</v>
      </c>
      <c r="F34" s="317">
        <f>'数据-取费表'!B52</f>
        <v>3</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ROUND(C13*F37,0)</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ROUND(C5*F38,0)</f>
        <v>0</v>
      </c>
      <c r="D38" s="1029" t="s">
        <v>748</v>
      </c>
      <c r="E38" s="1027" t="s">
        <v>744</v>
      </c>
      <c r="F38" s="1023">
        <f ca="1">INDIRECT("'数据-取费表'!Am"&amp;$G$1)</f>
        <v>0</v>
      </c>
      <c r="G38" s="1292"/>
      <c r="H38" s="2471"/>
      <c r="I38" s="1305"/>
      <c r="J38" s="1306"/>
      <c r="K38" s="2469"/>
      <c r="L38" s="2471"/>
      <c r="M38" s="2471"/>
    </row>
    <row r="39" spans="1:18" ht="24.65"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3346</v>
      </c>
      <c r="B45" s="1307"/>
      <c r="C45" s="1376" t="e">
        <f ca="1">ROUND((C68-C40)/10000,4)</f>
        <v>#DIV/0!</v>
      </c>
      <c r="D45" s="3128" t="s">
        <v>3347</v>
      </c>
      <c r="E45" s="1307"/>
      <c r="F45" s="1307"/>
      <c r="O45" s="1310" t="s">
        <v>808</v>
      </c>
      <c r="P45" s="1366"/>
      <c r="Q45" s="1366"/>
      <c r="R45" s="1366"/>
    </row>
    <row r="46" spans="1:18" s="1292" customFormat="1" ht="14"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83" t="s">
        <v>837</v>
      </c>
      <c r="L53" s="3484"/>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3330</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453125" style="2591" customWidth="1"/>
    <col min="2" max="2" width="8.90625" style="2591"/>
    <col min="3" max="5" width="12.90625" style="2591" customWidth="1"/>
    <col min="6" max="6" width="47.453125" style="2591" customWidth="1"/>
    <col min="7" max="7" width="13" style="2585" customWidth="1"/>
    <col min="8" max="8" width="8.90625" style="2585"/>
    <col min="9" max="9" width="8.90625" style="2586"/>
    <col min="10" max="10" width="5.7265625" style="2745" customWidth="1"/>
    <col min="11" max="11" width="11.7265625" style="2745" customWidth="1"/>
    <col min="12" max="13" width="10.7265625" style="2745" customWidth="1"/>
    <col min="14" max="14" width="10" style="2745" customWidth="1"/>
    <col min="15" max="16" width="10.453125" style="2745" bestFit="1" customWidth="1"/>
    <col min="17" max="17" width="10" style="2745" customWidth="1"/>
    <col min="18" max="18" width="10.08984375" style="2745" customWidth="1"/>
    <col min="19" max="19" width="10" style="2745" customWidth="1"/>
    <col min="20" max="20" width="26.08984375" style="2745" customWidth="1"/>
    <col min="21" max="21" width="8.90625" style="2745"/>
    <col min="22" max="22" width="8.90625" style="2586"/>
    <col min="23" max="256" width="8.90625" style="2591"/>
    <col min="257" max="257" width="9.453125" style="2591" customWidth="1"/>
    <col min="258" max="258" width="8.90625" style="2591"/>
    <col min="259" max="261" width="12.90625" style="2591" customWidth="1"/>
    <col min="262" max="262" width="47.453125" style="2591" customWidth="1"/>
    <col min="263" max="263" width="13" style="2591" customWidth="1"/>
    <col min="264" max="265" width="8.90625" style="2591"/>
    <col min="266" max="266" width="5.7265625" style="2591" customWidth="1"/>
    <col min="267" max="267" width="11.7265625" style="2591" customWidth="1"/>
    <col min="268" max="269" width="10.7265625" style="2591" customWidth="1"/>
    <col min="270" max="270" width="10" style="2591" customWidth="1"/>
    <col min="271" max="272" width="10.453125" style="2591" bestFit="1" customWidth="1"/>
    <col min="273" max="273" width="10" style="2591" customWidth="1"/>
    <col min="274" max="274" width="10.08984375" style="2591" customWidth="1"/>
    <col min="275" max="275" width="10" style="2591" customWidth="1"/>
    <col min="276" max="276" width="26.08984375" style="2591" customWidth="1"/>
    <col min="277" max="512" width="8.90625" style="2591"/>
    <col min="513" max="513" width="9.453125" style="2591" customWidth="1"/>
    <col min="514" max="514" width="8.90625" style="2591"/>
    <col min="515" max="517" width="12.90625" style="2591" customWidth="1"/>
    <col min="518" max="518" width="47.453125" style="2591" customWidth="1"/>
    <col min="519" max="519" width="13" style="2591" customWidth="1"/>
    <col min="520" max="521" width="8.90625" style="2591"/>
    <col min="522" max="522" width="5.7265625" style="2591" customWidth="1"/>
    <col min="523" max="523" width="11.7265625" style="2591" customWidth="1"/>
    <col min="524" max="525" width="10.7265625" style="2591" customWidth="1"/>
    <col min="526" max="526" width="10" style="2591" customWidth="1"/>
    <col min="527" max="528" width="10.453125" style="2591" bestFit="1" customWidth="1"/>
    <col min="529" max="529" width="10" style="2591" customWidth="1"/>
    <col min="530" max="530" width="10.08984375" style="2591" customWidth="1"/>
    <col min="531" max="531" width="10" style="2591" customWidth="1"/>
    <col min="532" max="532" width="26.08984375" style="2591" customWidth="1"/>
    <col min="533" max="768" width="8.90625" style="2591"/>
    <col min="769" max="769" width="9.453125" style="2591" customWidth="1"/>
    <col min="770" max="770" width="8.90625" style="2591"/>
    <col min="771" max="773" width="12.90625" style="2591" customWidth="1"/>
    <col min="774" max="774" width="47.453125" style="2591" customWidth="1"/>
    <col min="775" max="775" width="13" style="2591" customWidth="1"/>
    <col min="776" max="777" width="8.90625" style="2591"/>
    <col min="778" max="778" width="5.7265625" style="2591" customWidth="1"/>
    <col min="779" max="779" width="11.7265625" style="2591" customWidth="1"/>
    <col min="780" max="781" width="10.7265625" style="2591" customWidth="1"/>
    <col min="782" max="782" width="10" style="2591" customWidth="1"/>
    <col min="783" max="784" width="10.453125" style="2591" bestFit="1" customWidth="1"/>
    <col min="785" max="785" width="10" style="2591" customWidth="1"/>
    <col min="786" max="786" width="10.08984375" style="2591" customWidth="1"/>
    <col min="787" max="787" width="10" style="2591" customWidth="1"/>
    <col min="788" max="788" width="26.08984375" style="2591" customWidth="1"/>
    <col min="789" max="1024" width="8.90625" style="2591"/>
    <col min="1025" max="1025" width="9.453125" style="2591" customWidth="1"/>
    <col min="1026" max="1026" width="8.90625" style="2591"/>
    <col min="1027" max="1029" width="12.90625" style="2591" customWidth="1"/>
    <col min="1030" max="1030" width="47.453125" style="2591" customWidth="1"/>
    <col min="1031" max="1031" width="13" style="2591" customWidth="1"/>
    <col min="1032" max="1033" width="8.90625" style="2591"/>
    <col min="1034" max="1034" width="5.7265625" style="2591" customWidth="1"/>
    <col min="1035" max="1035" width="11.7265625" style="2591" customWidth="1"/>
    <col min="1036" max="1037" width="10.7265625" style="2591" customWidth="1"/>
    <col min="1038" max="1038" width="10" style="2591" customWidth="1"/>
    <col min="1039" max="1040" width="10.453125" style="2591" bestFit="1" customWidth="1"/>
    <col min="1041" max="1041" width="10" style="2591" customWidth="1"/>
    <col min="1042" max="1042" width="10.08984375" style="2591" customWidth="1"/>
    <col min="1043" max="1043" width="10" style="2591" customWidth="1"/>
    <col min="1044" max="1044" width="26.08984375" style="2591" customWidth="1"/>
    <col min="1045" max="1280" width="8.90625" style="2591"/>
    <col min="1281" max="1281" width="9.453125" style="2591" customWidth="1"/>
    <col min="1282" max="1282" width="8.90625" style="2591"/>
    <col min="1283" max="1285" width="12.90625" style="2591" customWidth="1"/>
    <col min="1286" max="1286" width="47.453125" style="2591" customWidth="1"/>
    <col min="1287" max="1287" width="13" style="2591" customWidth="1"/>
    <col min="1288" max="1289" width="8.90625" style="2591"/>
    <col min="1290" max="1290" width="5.7265625" style="2591" customWidth="1"/>
    <col min="1291" max="1291" width="11.7265625" style="2591" customWidth="1"/>
    <col min="1292" max="1293" width="10.7265625" style="2591" customWidth="1"/>
    <col min="1294" max="1294" width="10" style="2591" customWidth="1"/>
    <col min="1295" max="1296" width="10.453125" style="2591" bestFit="1" customWidth="1"/>
    <col min="1297" max="1297" width="10" style="2591" customWidth="1"/>
    <col min="1298" max="1298" width="10.08984375" style="2591" customWidth="1"/>
    <col min="1299" max="1299" width="10" style="2591" customWidth="1"/>
    <col min="1300" max="1300" width="26.08984375" style="2591" customWidth="1"/>
    <col min="1301" max="1536" width="8.90625" style="2591"/>
    <col min="1537" max="1537" width="9.453125" style="2591" customWidth="1"/>
    <col min="1538" max="1538" width="8.90625" style="2591"/>
    <col min="1539" max="1541" width="12.90625" style="2591" customWidth="1"/>
    <col min="1542" max="1542" width="47.453125" style="2591" customWidth="1"/>
    <col min="1543" max="1543" width="13" style="2591" customWidth="1"/>
    <col min="1544" max="1545" width="8.90625" style="2591"/>
    <col min="1546" max="1546" width="5.7265625" style="2591" customWidth="1"/>
    <col min="1547" max="1547" width="11.7265625" style="2591" customWidth="1"/>
    <col min="1548" max="1549" width="10.7265625" style="2591" customWidth="1"/>
    <col min="1550" max="1550" width="10" style="2591" customWidth="1"/>
    <col min="1551" max="1552" width="10.453125" style="2591" bestFit="1" customWidth="1"/>
    <col min="1553" max="1553" width="10" style="2591" customWidth="1"/>
    <col min="1554" max="1554" width="10.08984375" style="2591" customWidth="1"/>
    <col min="1555" max="1555" width="10" style="2591" customWidth="1"/>
    <col min="1556" max="1556" width="26.08984375" style="2591" customWidth="1"/>
    <col min="1557" max="1792" width="8.90625" style="2591"/>
    <col min="1793" max="1793" width="9.453125" style="2591" customWidth="1"/>
    <col min="1794" max="1794" width="8.90625" style="2591"/>
    <col min="1795" max="1797" width="12.90625" style="2591" customWidth="1"/>
    <col min="1798" max="1798" width="47.453125" style="2591" customWidth="1"/>
    <col min="1799" max="1799" width="13" style="2591" customWidth="1"/>
    <col min="1800" max="1801" width="8.90625" style="2591"/>
    <col min="1802" max="1802" width="5.7265625" style="2591" customWidth="1"/>
    <col min="1803" max="1803" width="11.7265625" style="2591" customWidth="1"/>
    <col min="1804" max="1805" width="10.7265625" style="2591" customWidth="1"/>
    <col min="1806" max="1806" width="10" style="2591" customWidth="1"/>
    <col min="1807" max="1808" width="10.453125" style="2591" bestFit="1" customWidth="1"/>
    <col min="1809" max="1809" width="10" style="2591" customWidth="1"/>
    <col min="1810" max="1810" width="10.08984375" style="2591" customWidth="1"/>
    <col min="1811" max="1811" width="10" style="2591" customWidth="1"/>
    <col min="1812" max="1812" width="26.08984375" style="2591" customWidth="1"/>
    <col min="1813" max="2048" width="8.90625" style="2591"/>
    <col min="2049" max="2049" width="9.453125" style="2591" customWidth="1"/>
    <col min="2050" max="2050" width="8.90625" style="2591"/>
    <col min="2051" max="2053" width="12.90625" style="2591" customWidth="1"/>
    <col min="2054" max="2054" width="47.453125" style="2591" customWidth="1"/>
    <col min="2055" max="2055" width="13" style="2591" customWidth="1"/>
    <col min="2056" max="2057" width="8.90625" style="2591"/>
    <col min="2058" max="2058" width="5.7265625" style="2591" customWidth="1"/>
    <col min="2059" max="2059" width="11.7265625" style="2591" customWidth="1"/>
    <col min="2060" max="2061" width="10.7265625" style="2591" customWidth="1"/>
    <col min="2062" max="2062" width="10" style="2591" customWidth="1"/>
    <col min="2063" max="2064" width="10.453125" style="2591" bestFit="1" customWidth="1"/>
    <col min="2065" max="2065" width="10" style="2591" customWidth="1"/>
    <col min="2066" max="2066" width="10.08984375" style="2591" customWidth="1"/>
    <col min="2067" max="2067" width="10" style="2591" customWidth="1"/>
    <col min="2068" max="2068" width="26.08984375" style="2591" customWidth="1"/>
    <col min="2069" max="2304" width="8.90625" style="2591"/>
    <col min="2305" max="2305" width="9.453125" style="2591" customWidth="1"/>
    <col min="2306" max="2306" width="8.90625" style="2591"/>
    <col min="2307" max="2309" width="12.90625" style="2591" customWidth="1"/>
    <col min="2310" max="2310" width="47.453125" style="2591" customWidth="1"/>
    <col min="2311" max="2311" width="13" style="2591" customWidth="1"/>
    <col min="2312" max="2313" width="8.90625" style="2591"/>
    <col min="2314" max="2314" width="5.7265625" style="2591" customWidth="1"/>
    <col min="2315" max="2315" width="11.7265625" style="2591" customWidth="1"/>
    <col min="2316" max="2317" width="10.7265625" style="2591" customWidth="1"/>
    <col min="2318" max="2318" width="10" style="2591" customWidth="1"/>
    <col min="2319" max="2320" width="10.453125" style="2591" bestFit="1" customWidth="1"/>
    <col min="2321" max="2321" width="10" style="2591" customWidth="1"/>
    <col min="2322" max="2322" width="10.08984375" style="2591" customWidth="1"/>
    <col min="2323" max="2323" width="10" style="2591" customWidth="1"/>
    <col min="2324" max="2324" width="26.08984375" style="2591" customWidth="1"/>
    <col min="2325" max="2560" width="8.90625" style="2591"/>
    <col min="2561" max="2561" width="9.453125" style="2591" customWidth="1"/>
    <col min="2562" max="2562" width="8.90625" style="2591"/>
    <col min="2563" max="2565" width="12.90625" style="2591" customWidth="1"/>
    <col min="2566" max="2566" width="47.453125" style="2591" customWidth="1"/>
    <col min="2567" max="2567" width="13" style="2591" customWidth="1"/>
    <col min="2568" max="2569" width="8.90625" style="2591"/>
    <col min="2570" max="2570" width="5.7265625" style="2591" customWidth="1"/>
    <col min="2571" max="2571" width="11.7265625" style="2591" customWidth="1"/>
    <col min="2572" max="2573" width="10.7265625" style="2591" customWidth="1"/>
    <col min="2574" max="2574" width="10" style="2591" customWidth="1"/>
    <col min="2575" max="2576" width="10.453125" style="2591" bestFit="1" customWidth="1"/>
    <col min="2577" max="2577" width="10" style="2591" customWidth="1"/>
    <col min="2578" max="2578" width="10.08984375" style="2591" customWidth="1"/>
    <col min="2579" max="2579" width="10" style="2591" customWidth="1"/>
    <col min="2580" max="2580" width="26.08984375" style="2591" customWidth="1"/>
    <col min="2581" max="2816" width="8.90625" style="2591"/>
    <col min="2817" max="2817" width="9.453125" style="2591" customWidth="1"/>
    <col min="2818" max="2818" width="8.90625" style="2591"/>
    <col min="2819" max="2821" width="12.90625" style="2591" customWidth="1"/>
    <col min="2822" max="2822" width="47.453125" style="2591" customWidth="1"/>
    <col min="2823" max="2823" width="13" style="2591" customWidth="1"/>
    <col min="2824" max="2825" width="8.90625" style="2591"/>
    <col min="2826" max="2826" width="5.7265625" style="2591" customWidth="1"/>
    <col min="2827" max="2827" width="11.7265625" style="2591" customWidth="1"/>
    <col min="2828" max="2829" width="10.7265625" style="2591" customWidth="1"/>
    <col min="2830" max="2830" width="10" style="2591" customWidth="1"/>
    <col min="2831" max="2832" width="10.453125" style="2591" bestFit="1" customWidth="1"/>
    <col min="2833" max="2833" width="10" style="2591" customWidth="1"/>
    <col min="2834" max="2834" width="10.08984375" style="2591" customWidth="1"/>
    <col min="2835" max="2835" width="10" style="2591" customWidth="1"/>
    <col min="2836" max="2836" width="26.08984375" style="2591" customWidth="1"/>
    <col min="2837" max="3072" width="8.90625" style="2591"/>
    <col min="3073" max="3073" width="9.453125" style="2591" customWidth="1"/>
    <col min="3074" max="3074" width="8.90625" style="2591"/>
    <col min="3075" max="3077" width="12.90625" style="2591" customWidth="1"/>
    <col min="3078" max="3078" width="47.453125" style="2591" customWidth="1"/>
    <col min="3079" max="3079" width="13" style="2591" customWidth="1"/>
    <col min="3080" max="3081" width="8.90625" style="2591"/>
    <col min="3082" max="3082" width="5.7265625" style="2591" customWidth="1"/>
    <col min="3083" max="3083" width="11.7265625" style="2591" customWidth="1"/>
    <col min="3084" max="3085" width="10.7265625" style="2591" customWidth="1"/>
    <col min="3086" max="3086" width="10" style="2591" customWidth="1"/>
    <col min="3087" max="3088" width="10.453125" style="2591" bestFit="1" customWidth="1"/>
    <col min="3089" max="3089" width="10" style="2591" customWidth="1"/>
    <col min="3090" max="3090" width="10.08984375" style="2591" customWidth="1"/>
    <col min="3091" max="3091" width="10" style="2591" customWidth="1"/>
    <col min="3092" max="3092" width="26.08984375" style="2591" customWidth="1"/>
    <col min="3093" max="3328" width="8.90625" style="2591"/>
    <col min="3329" max="3329" width="9.453125" style="2591" customWidth="1"/>
    <col min="3330" max="3330" width="8.90625" style="2591"/>
    <col min="3331" max="3333" width="12.90625" style="2591" customWidth="1"/>
    <col min="3334" max="3334" width="47.453125" style="2591" customWidth="1"/>
    <col min="3335" max="3335" width="13" style="2591" customWidth="1"/>
    <col min="3336" max="3337" width="8.90625" style="2591"/>
    <col min="3338" max="3338" width="5.7265625" style="2591" customWidth="1"/>
    <col min="3339" max="3339" width="11.7265625" style="2591" customWidth="1"/>
    <col min="3340" max="3341" width="10.7265625" style="2591" customWidth="1"/>
    <col min="3342" max="3342" width="10" style="2591" customWidth="1"/>
    <col min="3343" max="3344" width="10.453125" style="2591" bestFit="1" customWidth="1"/>
    <col min="3345" max="3345" width="10" style="2591" customWidth="1"/>
    <col min="3346" max="3346" width="10.08984375" style="2591" customWidth="1"/>
    <col min="3347" max="3347" width="10" style="2591" customWidth="1"/>
    <col min="3348" max="3348" width="26.08984375" style="2591" customWidth="1"/>
    <col min="3349" max="3584" width="8.90625" style="2591"/>
    <col min="3585" max="3585" width="9.453125" style="2591" customWidth="1"/>
    <col min="3586" max="3586" width="8.90625" style="2591"/>
    <col min="3587" max="3589" width="12.90625" style="2591" customWidth="1"/>
    <col min="3590" max="3590" width="47.453125" style="2591" customWidth="1"/>
    <col min="3591" max="3591" width="13" style="2591" customWidth="1"/>
    <col min="3592" max="3593" width="8.90625" style="2591"/>
    <col min="3594" max="3594" width="5.7265625" style="2591" customWidth="1"/>
    <col min="3595" max="3595" width="11.7265625" style="2591" customWidth="1"/>
    <col min="3596" max="3597" width="10.7265625" style="2591" customWidth="1"/>
    <col min="3598" max="3598" width="10" style="2591" customWidth="1"/>
    <col min="3599" max="3600" width="10.453125" style="2591" bestFit="1" customWidth="1"/>
    <col min="3601" max="3601" width="10" style="2591" customWidth="1"/>
    <col min="3602" max="3602" width="10.08984375" style="2591" customWidth="1"/>
    <col min="3603" max="3603" width="10" style="2591" customWidth="1"/>
    <col min="3604" max="3604" width="26.08984375" style="2591" customWidth="1"/>
    <col min="3605" max="3840" width="8.90625" style="2591"/>
    <col min="3841" max="3841" width="9.453125" style="2591" customWidth="1"/>
    <col min="3842" max="3842" width="8.90625" style="2591"/>
    <col min="3843" max="3845" width="12.90625" style="2591" customWidth="1"/>
    <col min="3846" max="3846" width="47.453125" style="2591" customWidth="1"/>
    <col min="3847" max="3847" width="13" style="2591" customWidth="1"/>
    <col min="3848" max="3849" width="8.90625" style="2591"/>
    <col min="3850" max="3850" width="5.7265625" style="2591" customWidth="1"/>
    <col min="3851" max="3851" width="11.7265625" style="2591" customWidth="1"/>
    <col min="3852" max="3853" width="10.7265625" style="2591" customWidth="1"/>
    <col min="3854" max="3854" width="10" style="2591" customWidth="1"/>
    <col min="3855" max="3856" width="10.453125" style="2591" bestFit="1" customWidth="1"/>
    <col min="3857" max="3857" width="10" style="2591" customWidth="1"/>
    <col min="3858" max="3858" width="10.08984375" style="2591" customWidth="1"/>
    <col min="3859" max="3859" width="10" style="2591" customWidth="1"/>
    <col min="3860" max="3860" width="26.08984375" style="2591" customWidth="1"/>
    <col min="3861" max="4096" width="8.90625" style="2591"/>
    <col min="4097" max="4097" width="9.453125" style="2591" customWidth="1"/>
    <col min="4098" max="4098" width="8.90625" style="2591"/>
    <col min="4099" max="4101" width="12.90625" style="2591" customWidth="1"/>
    <col min="4102" max="4102" width="47.453125" style="2591" customWidth="1"/>
    <col min="4103" max="4103" width="13" style="2591" customWidth="1"/>
    <col min="4104" max="4105" width="8.90625" style="2591"/>
    <col min="4106" max="4106" width="5.7265625" style="2591" customWidth="1"/>
    <col min="4107" max="4107" width="11.7265625" style="2591" customWidth="1"/>
    <col min="4108" max="4109" width="10.7265625" style="2591" customWidth="1"/>
    <col min="4110" max="4110" width="10" style="2591" customWidth="1"/>
    <col min="4111" max="4112" width="10.453125" style="2591" bestFit="1" customWidth="1"/>
    <col min="4113" max="4113" width="10" style="2591" customWidth="1"/>
    <col min="4114" max="4114" width="10.08984375" style="2591" customWidth="1"/>
    <col min="4115" max="4115" width="10" style="2591" customWidth="1"/>
    <col min="4116" max="4116" width="26.08984375" style="2591" customWidth="1"/>
    <col min="4117" max="4352" width="8.90625" style="2591"/>
    <col min="4353" max="4353" width="9.453125" style="2591" customWidth="1"/>
    <col min="4354" max="4354" width="8.90625" style="2591"/>
    <col min="4355" max="4357" width="12.90625" style="2591" customWidth="1"/>
    <col min="4358" max="4358" width="47.453125" style="2591" customWidth="1"/>
    <col min="4359" max="4359" width="13" style="2591" customWidth="1"/>
    <col min="4360" max="4361" width="8.90625" style="2591"/>
    <col min="4362" max="4362" width="5.7265625" style="2591" customWidth="1"/>
    <col min="4363" max="4363" width="11.7265625" style="2591" customWidth="1"/>
    <col min="4364" max="4365" width="10.7265625" style="2591" customWidth="1"/>
    <col min="4366" max="4366" width="10" style="2591" customWidth="1"/>
    <col min="4367" max="4368" width="10.453125" style="2591" bestFit="1" customWidth="1"/>
    <col min="4369" max="4369" width="10" style="2591" customWidth="1"/>
    <col min="4370" max="4370" width="10.08984375" style="2591" customWidth="1"/>
    <col min="4371" max="4371" width="10" style="2591" customWidth="1"/>
    <col min="4372" max="4372" width="26.08984375" style="2591" customWidth="1"/>
    <col min="4373" max="4608" width="8.90625" style="2591"/>
    <col min="4609" max="4609" width="9.453125" style="2591" customWidth="1"/>
    <col min="4610" max="4610" width="8.90625" style="2591"/>
    <col min="4611" max="4613" width="12.90625" style="2591" customWidth="1"/>
    <col min="4614" max="4614" width="47.453125" style="2591" customWidth="1"/>
    <col min="4615" max="4615" width="13" style="2591" customWidth="1"/>
    <col min="4616" max="4617" width="8.90625" style="2591"/>
    <col min="4618" max="4618" width="5.7265625" style="2591" customWidth="1"/>
    <col min="4619" max="4619" width="11.7265625" style="2591" customWidth="1"/>
    <col min="4620" max="4621" width="10.7265625" style="2591" customWidth="1"/>
    <col min="4622" max="4622" width="10" style="2591" customWidth="1"/>
    <col min="4623" max="4624" width="10.453125" style="2591" bestFit="1" customWidth="1"/>
    <col min="4625" max="4625" width="10" style="2591" customWidth="1"/>
    <col min="4626" max="4626" width="10.08984375" style="2591" customWidth="1"/>
    <col min="4627" max="4627" width="10" style="2591" customWidth="1"/>
    <col min="4628" max="4628" width="26.08984375" style="2591" customWidth="1"/>
    <col min="4629" max="4864" width="8.90625" style="2591"/>
    <col min="4865" max="4865" width="9.453125" style="2591" customWidth="1"/>
    <col min="4866" max="4866" width="8.90625" style="2591"/>
    <col min="4867" max="4869" width="12.90625" style="2591" customWidth="1"/>
    <col min="4870" max="4870" width="47.453125" style="2591" customWidth="1"/>
    <col min="4871" max="4871" width="13" style="2591" customWidth="1"/>
    <col min="4872" max="4873" width="8.90625" style="2591"/>
    <col min="4874" max="4874" width="5.7265625" style="2591" customWidth="1"/>
    <col min="4875" max="4875" width="11.7265625" style="2591" customWidth="1"/>
    <col min="4876" max="4877" width="10.7265625" style="2591" customWidth="1"/>
    <col min="4878" max="4878" width="10" style="2591" customWidth="1"/>
    <col min="4879" max="4880" width="10.453125" style="2591" bestFit="1" customWidth="1"/>
    <col min="4881" max="4881" width="10" style="2591" customWidth="1"/>
    <col min="4882" max="4882" width="10.08984375" style="2591" customWidth="1"/>
    <col min="4883" max="4883" width="10" style="2591" customWidth="1"/>
    <col min="4884" max="4884" width="26.08984375" style="2591" customWidth="1"/>
    <col min="4885" max="5120" width="8.90625" style="2591"/>
    <col min="5121" max="5121" width="9.453125" style="2591" customWidth="1"/>
    <col min="5122" max="5122" width="8.90625" style="2591"/>
    <col min="5123" max="5125" width="12.90625" style="2591" customWidth="1"/>
    <col min="5126" max="5126" width="47.453125" style="2591" customWidth="1"/>
    <col min="5127" max="5127" width="13" style="2591" customWidth="1"/>
    <col min="5128" max="5129" width="8.90625" style="2591"/>
    <col min="5130" max="5130" width="5.7265625" style="2591" customWidth="1"/>
    <col min="5131" max="5131" width="11.7265625" style="2591" customWidth="1"/>
    <col min="5132" max="5133" width="10.7265625" style="2591" customWidth="1"/>
    <col min="5134" max="5134" width="10" style="2591" customWidth="1"/>
    <col min="5135" max="5136" width="10.453125" style="2591" bestFit="1" customWidth="1"/>
    <col min="5137" max="5137" width="10" style="2591" customWidth="1"/>
    <col min="5138" max="5138" width="10.08984375" style="2591" customWidth="1"/>
    <col min="5139" max="5139" width="10" style="2591" customWidth="1"/>
    <col min="5140" max="5140" width="26.08984375" style="2591" customWidth="1"/>
    <col min="5141" max="5376" width="8.90625" style="2591"/>
    <col min="5377" max="5377" width="9.453125" style="2591" customWidth="1"/>
    <col min="5378" max="5378" width="8.90625" style="2591"/>
    <col min="5379" max="5381" width="12.90625" style="2591" customWidth="1"/>
    <col min="5382" max="5382" width="47.453125" style="2591" customWidth="1"/>
    <col min="5383" max="5383" width="13" style="2591" customWidth="1"/>
    <col min="5384" max="5385" width="8.90625" style="2591"/>
    <col min="5386" max="5386" width="5.7265625" style="2591" customWidth="1"/>
    <col min="5387" max="5387" width="11.7265625" style="2591" customWidth="1"/>
    <col min="5388" max="5389" width="10.7265625" style="2591" customWidth="1"/>
    <col min="5390" max="5390" width="10" style="2591" customWidth="1"/>
    <col min="5391" max="5392" width="10.453125" style="2591" bestFit="1" customWidth="1"/>
    <col min="5393" max="5393" width="10" style="2591" customWidth="1"/>
    <col min="5394" max="5394" width="10.08984375" style="2591" customWidth="1"/>
    <col min="5395" max="5395" width="10" style="2591" customWidth="1"/>
    <col min="5396" max="5396" width="26.08984375" style="2591" customWidth="1"/>
    <col min="5397" max="5632" width="8.90625" style="2591"/>
    <col min="5633" max="5633" width="9.453125" style="2591" customWidth="1"/>
    <col min="5634" max="5634" width="8.90625" style="2591"/>
    <col min="5635" max="5637" width="12.90625" style="2591" customWidth="1"/>
    <col min="5638" max="5638" width="47.453125" style="2591" customWidth="1"/>
    <col min="5639" max="5639" width="13" style="2591" customWidth="1"/>
    <col min="5640" max="5641" width="8.90625" style="2591"/>
    <col min="5642" max="5642" width="5.7265625" style="2591" customWidth="1"/>
    <col min="5643" max="5643" width="11.7265625" style="2591" customWidth="1"/>
    <col min="5644" max="5645" width="10.7265625" style="2591" customWidth="1"/>
    <col min="5646" max="5646" width="10" style="2591" customWidth="1"/>
    <col min="5647" max="5648" width="10.453125" style="2591" bestFit="1" customWidth="1"/>
    <col min="5649" max="5649" width="10" style="2591" customWidth="1"/>
    <col min="5650" max="5650" width="10.08984375" style="2591" customWidth="1"/>
    <col min="5651" max="5651" width="10" style="2591" customWidth="1"/>
    <col min="5652" max="5652" width="26.08984375" style="2591" customWidth="1"/>
    <col min="5653" max="5888" width="8.90625" style="2591"/>
    <col min="5889" max="5889" width="9.453125" style="2591" customWidth="1"/>
    <col min="5890" max="5890" width="8.90625" style="2591"/>
    <col min="5891" max="5893" width="12.90625" style="2591" customWidth="1"/>
    <col min="5894" max="5894" width="47.453125" style="2591" customWidth="1"/>
    <col min="5895" max="5895" width="13" style="2591" customWidth="1"/>
    <col min="5896" max="5897" width="8.90625" style="2591"/>
    <col min="5898" max="5898" width="5.7265625" style="2591" customWidth="1"/>
    <col min="5899" max="5899" width="11.7265625" style="2591" customWidth="1"/>
    <col min="5900" max="5901" width="10.7265625" style="2591" customWidth="1"/>
    <col min="5902" max="5902" width="10" style="2591" customWidth="1"/>
    <col min="5903" max="5904" width="10.453125" style="2591" bestFit="1" customWidth="1"/>
    <col min="5905" max="5905" width="10" style="2591" customWidth="1"/>
    <col min="5906" max="5906" width="10.08984375" style="2591" customWidth="1"/>
    <col min="5907" max="5907" width="10" style="2591" customWidth="1"/>
    <col min="5908" max="5908" width="26.08984375" style="2591" customWidth="1"/>
    <col min="5909" max="6144" width="8.90625" style="2591"/>
    <col min="6145" max="6145" width="9.453125" style="2591" customWidth="1"/>
    <col min="6146" max="6146" width="8.90625" style="2591"/>
    <col min="6147" max="6149" width="12.90625" style="2591" customWidth="1"/>
    <col min="6150" max="6150" width="47.453125" style="2591" customWidth="1"/>
    <col min="6151" max="6151" width="13" style="2591" customWidth="1"/>
    <col min="6152" max="6153" width="8.90625" style="2591"/>
    <col min="6154" max="6154" width="5.7265625" style="2591" customWidth="1"/>
    <col min="6155" max="6155" width="11.7265625" style="2591" customWidth="1"/>
    <col min="6156" max="6157" width="10.7265625" style="2591" customWidth="1"/>
    <col min="6158" max="6158" width="10" style="2591" customWidth="1"/>
    <col min="6159" max="6160" width="10.453125" style="2591" bestFit="1" customWidth="1"/>
    <col min="6161" max="6161" width="10" style="2591" customWidth="1"/>
    <col min="6162" max="6162" width="10.08984375" style="2591" customWidth="1"/>
    <col min="6163" max="6163" width="10" style="2591" customWidth="1"/>
    <col min="6164" max="6164" width="26.08984375" style="2591" customWidth="1"/>
    <col min="6165" max="6400" width="8.90625" style="2591"/>
    <col min="6401" max="6401" width="9.453125" style="2591" customWidth="1"/>
    <col min="6402" max="6402" width="8.90625" style="2591"/>
    <col min="6403" max="6405" width="12.90625" style="2591" customWidth="1"/>
    <col min="6406" max="6406" width="47.453125" style="2591" customWidth="1"/>
    <col min="6407" max="6407" width="13" style="2591" customWidth="1"/>
    <col min="6408" max="6409" width="8.90625" style="2591"/>
    <col min="6410" max="6410" width="5.7265625" style="2591" customWidth="1"/>
    <col min="6411" max="6411" width="11.7265625" style="2591" customWidth="1"/>
    <col min="6412" max="6413" width="10.7265625" style="2591" customWidth="1"/>
    <col min="6414" max="6414" width="10" style="2591" customWidth="1"/>
    <col min="6415" max="6416" width="10.453125" style="2591" bestFit="1" customWidth="1"/>
    <col min="6417" max="6417" width="10" style="2591" customWidth="1"/>
    <col min="6418" max="6418" width="10.08984375" style="2591" customWidth="1"/>
    <col min="6419" max="6419" width="10" style="2591" customWidth="1"/>
    <col min="6420" max="6420" width="26.08984375" style="2591" customWidth="1"/>
    <col min="6421" max="6656" width="8.90625" style="2591"/>
    <col min="6657" max="6657" width="9.453125" style="2591" customWidth="1"/>
    <col min="6658" max="6658" width="8.90625" style="2591"/>
    <col min="6659" max="6661" width="12.90625" style="2591" customWidth="1"/>
    <col min="6662" max="6662" width="47.453125" style="2591" customWidth="1"/>
    <col min="6663" max="6663" width="13" style="2591" customWidth="1"/>
    <col min="6664" max="6665" width="8.90625" style="2591"/>
    <col min="6666" max="6666" width="5.7265625" style="2591" customWidth="1"/>
    <col min="6667" max="6667" width="11.7265625" style="2591" customWidth="1"/>
    <col min="6668" max="6669" width="10.7265625" style="2591" customWidth="1"/>
    <col min="6670" max="6670" width="10" style="2591" customWidth="1"/>
    <col min="6671" max="6672" width="10.453125" style="2591" bestFit="1" customWidth="1"/>
    <col min="6673" max="6673" width="10" style="2591" customWidth="1"/>
    <col min="6674" max="6674" width="10.08984375" style="2591" customWidth="1"/>
    <col min="6675" max="6675" width="10" style="2591" customWidth="1"/>
    <col min="6676" max="6676" width="26.08984375" style="2591" customWidth="1"/>
    <col min="6677" max="6912" width="8.90625" style="2591"/>
    <col min="6913" max="6913" width="9.453125" style="2591" customWidth="1"/>
    <col min="6914" max="6914" width="8.90625" style="2591"/>
    <col min="6915" max="6917" width="12.90625" style="2591" customWidth="1"/>
    <col min="6918" max="6918" width="47.453125" style="2591" customWidth="1"/>
    <col min="6919" max="6919" width="13" style="2591" customWidth="1"/>
    <col min="6920" max="6921" width="8.90625" style="2591"/>
    <col min="6922" max="6922" width="5.7265625" style="2591" customWidth="1"/>
    <col min="6923" max="6923" width="11.7265625" style="2591" customWidth="1"/>
    <col min="6924" max="6925" width="10.7265625" style="2591" customWidth="1"/>
    <col min="6926" max="6926" width="10" style="2591" customWidth="1"/>
    <col min="6927" max="6928" width="10.453125" style="2591" bestFit="1" customWidth="1"/>
    <col min="6929" max="6929" width="10" style="2591" customWidth="1"/>
    <col min="6930" max="6930" width="10.08984375" style="2591" customWidth="1"/>
    <col min="6931" max="6931" width="10" style="2591" customWidth="1"/>
    <col min="6932" max="6932" width="26.08984375" style="2591" customWidth="1"/>
    <col min="6933" max="7168" width="8.90625" style="2591"/>
    <col min="7169" max="7169" width="9.453125" style="2591" customWidth="1"/>
    <col min="7170" max="7170" width="8.90625" style="2591"/>
    <col min="7171" max="7173" width="12.90625" style="2591" customWidth="1"/>
    <col min="7174" max="7174" width="47.453125" style="2591" customWidth="1"/>
    <col min="7175" max="7175" width="13" style="2591" customWidth="1"/>
    <col min="7176" max="7177" width="8.90625" style="2591"/>
    <col min="7178" max="7178" width="5.7265625" style="2591" customWidth="1"/>
    <col min="7179" max="7179" width="11.7265625" style="2591" customWidth="1"/>
    <col min="7180" max="7181" width="10.7265625" style="2591" customWidth="1"/>
    <col min="7182" max="7182" width="10" style="2591" customWidth="1"/>
    <col min="7183" max="7184" width="10.453125" style="2591" bestFit="1" customWidth="1"/>
    <col min="7185" max="7185" width="10" style="2591" customWidth="1"/>
    <col min="7186" max="7186" width="10.08984375" style="2591" customWidth="1"/>
    <col min="7187" max="7187" width="10" style="2591" customWidth="1"/>
    <col min="7188" max="7188" width="26.08984375" style="2591" customWidth="1"/>
    <col min="7189" max="7424" width="8.90625" style="2591"/>
    <col min="7425" max="7425" width="9.453125" style="2591" customWidth="1"/>
    <col min="7426" max="7426" width="8.90625" style="2591"/>
    <col min="7427" max="7429" width="12.90625" style="2591" customWidth="1"/>
    <col min="7430" max="7430" width="47.453125" style="2591" customWidth="1"/>
    <col min="7431" max="7431" width="13" style="2591" customWidth="1"/>
    <col min="7432" max="7433" width="8.90625" style="2591"/>
    <col min="7434" max="7434" width="5.7265625" style="2591" customWidth="1"/>
    <col min="7435" max="7435" width="11.7265625" style="2591" customWidth="1"/>
    <col min="7436" max="7437" width="10.7265625" style="2591" customWidth="1"/>
    <col min="7438" max="7438" width="10" style="2591" customWidth="1"/>
    <col min="7439" max="7440" width="10.453125" style="2591" bestFit="1" customWidth="1"/>
    <col min="7441" max="7441" width="10" style="2591" customWidth="1"/>
    <col min="7442" max="7442" width="10.08984375" style="2591" customWidth="1"/>
    <col min="7443" max="7443" width="10" style="2591" customWidth="1"/>
    <col min="7444" max="7444" width="26.08984375" style="2591" customWidth="1"/>
    <col min="7445" max="7680" width="8.90625" style="2591"/>
    <col min="7681" max="7681" width="9.453125" style="2591" customWidth="1"/>
    <col min="7682" max="7682" width="8.90625" style="2591"/>
    <col min="7683" max="7685" width="12.90625" style="2591" customWidth="1"/>
    <col min="7686" max="7686" width="47.453125" style="2591" customWidth="1"/>
    <col min="7687" max="7687" width="13" style="2591" customWidth="1"/>
    <col min="7688" max="7689" width="8.90625" style="2591"/>
    <col min="7690" max="7690" width="5.7265625" style="2591" customWidth="1"/>
    <col min="7691" max="7691" width="11.7265625" style="2591" customWidth="1"/>
    <col min="7692" max="7693" width="10.7265625" style="2591" customWidth="1"/>
    <col min="7694" max="7694" width="10" style="2591" customWidth="1"/>
    <col min="7695" max="7696" width="10.453125" style="2591" bestFit="1" customWidth="1"/>
    <col min="7697" max="7697" width="10" style="2591" customWidth="1"/>
    <col min="7698" max="7698" width="10.08984375" style="2591" customWidth="1"/>
    <col min="7699" max="7699" width="10" style="2591" customWidth="1"/>
    <col min="7700" max="7700" width="26.08984375" style="2591" customWidth="1"/>
    <col min="7701" max="7936" width="8.90625" style="2591"/>
    <col min="7937" max="7937" width="9.453125" style="2591" customWidth="1"/>
    <col min="7938" max="7938" width="8.90625" style="2591"/>
    <col min="7939" max="7941" width="12.90625" style="2591" customWidth="1"/>
    <col min="7942" max="7942" width="47.453125" style="2591" customWidth="1"/>
    <col min="7943" max="7943" width="13" style="2591" customWidth="1"/>
    <col min="7944" max="7945" width="8.90625" style="2591"/>
    <col min="7946" max="7946" width="5.7265625" style="2591" customWidth="1"/>
    <col min="7947" max="7947" width="11.7265625" style="2591" customWidth="1"/>
    <col min="7948" max="7949" width="10.7265625" style="2591" customWidth="1"/>
    <col min="7950" max="7950" width="10" style="2591" customWidth="1"/>
    <col min="7951" max="7952" width="10.453125" style="2591" bestFit="1" customWidth="1"/>
    <col min="7953" max="7953" width="10" style="2591" customWidth="1"/>
    <col min="7954" max="7954" width="10.08984375" style="2591" customWidth="1"/>
    <col min="7955" max="7955" width="10" style="2591" customWidth="1"/>
    <col min="7956" max="7956" width="26.08984375" style="2591" customWidth="1"/>
    <col min="7957" max="8192" width="8.90625" style="2591"/>
    <col min="8193" max="8193" width="9.453125" style="2591" customWidth="1"/>
    <col min="8194" max="8194" width="8.90625" style="2591"/>
    <col min="8195" max="8197" width="12.90625" style="2591" customWidth="1"/>
    <col min="8198" max="8198" width="47.453125" style="2591" customWidth="1"/>
    <col min="8199" max="8199" width="13" style="2591" customWidth="1"/>
    <col min="8200" max="8201" width="8.90625" style="2591"/>
    <col min="8202" max="8202" width="5.7265625" style="2591" customWidth="1"/>
    <col min="8203" max="8203" width="11.7265625" style="2591" customWidth="1"/>
    <col min="8204" max="8205" width="10.7265625" style="2591" customWidth="1"/>
    <col min="8206" max="8206" width="10" style="2591" customWidth="1"/>
    <col min="8207" max="8208" width="10.453125" style="2591" bestFit="1" customWidth="1"/>
    <col min="8209" max="8209" width="10" style="2591" customWidth="1"/>
    <col min="8210" max="8210" width="10.08984375" style="2591" customWidth="1"/>
    <col min="8211" max="8211" width="10" style="2591" customWidth="1"/>
    <col min="8212" max="8212" width="26.08984375" style="2591" customWidth="1"/>
    <col min="8213" max="8448" width="8.90625" style="2591"/>
    <col min="8449" max="8449" width="9.453125" style="2591" customWidth="1"/>
    <col min="8450" max="8450" width="8.90625" style="2591"/>
    <col min="8451" max="8453" width="12.90625" style="2591" customWidth="1"/>
    <col min="8454" max="8454" width="47.453125" style="2591" customWidth="1"/>
    <col min="8455" max="8455" width="13" style="2591" customWidth="1"/>
    <col min="8456" max="8457" width="8.90625" style="2591"/>
    <col min="8458" max="8458" width="5.7265625" style="2591" customWidth="1"/>
    <col min="8459" max="8459" width="11.7265625" style="2591" customWidth="1"/>
    <col min="8460" max="8461" width="10.7265625" style="2591" customWidth="1"/>
    <col min="8462" max="8462" width="10" style="2591" customWidth="1"/>
    <col min="8463" max="8464" width="10.453125" style="2591" bestFit="1" customWidth="1"/>
    <col min="8465" max="8465" width="10" style="2591" customWidth="1"/>
    <col min="8466" max="8466" width="10.08984375" style="2591" customWidth="1"/>
    <col min="8467" max="8467" width="10" style="2591" customWidth="1"/>
    <col min="8468" max="8468" width="26.08984375" style="2591" customWidth="1"/>
    <col min="8469" max="8704" width="8.90625" style="2591"/>
    <col min="8705" max="8705" width="9.453125" style="2591" customWidth="1"/>
    <col min="8706" max="8706" width="8.90625" style="2591"/>
    <col min="8707" max="8709" width="12.90625" style="2591" customWidth="1"/>
    <col min="8710" max="8710" width="47.453125" style="2591" customWidth="1"/>
    <col min="8711" max="8711" width="13" style="2591" customWidth="1"/>
    <col min="8712" max="8713" width="8.90625" style="2591"/>
    <col min="8714" max="8714" width="5.7265625" style="2591" customWidth="1"/>
    <col min="8715" max="8715" width="11.7265625" style="2591" customWidth="1"/>
    <col min="8716" max="8717" width="10.7265625" style="2591" customWidth="1"/>
    <col min="8718" max="8718" width="10" style="2591" customWidth="1"/>
    <col min="8719" max="8720" width="10.453125" style="2591" bestFit="1" customWidth="1"/>
    <col min="8721" max="8721" width="10" style="2591" customWidth="1"/>
    <col min="8722" max="8722" width="10.08984375" style="2591" customWidth="1"/>
    <col min="8723" max="8723" width="10" style="2591" customWidth="1"/>
    <col min="8724" max="8724" width="26.08984375" style="2591" customWidth="1"/>
    <col min="8725" max="8960" width="8.90625" style="2591"/>
    <col min="8961" max="8961" width="9.453125" style="2591" customWidth="1"/>
    <col min="8962" max="8962" width="8.90625" style="2591"/>
    <col min="8963" max="8965" width="12.90625" style="2591" customWidth="1"/>
    <col min="8966" max="8966" width="47.453125" style="2591" customWidth="1"/>
    <col min="8967" max="8967" width="13" style="2591" customWidth="1"/>
    <col min="8968" max="8969" width="8.90625" style="2591"/>
    <col min="8970" max="8970" width="5.7265625" style="2591" customWidth="1"/>
    <col min="8971" max="8971" width="11.7265625" style="2591" customWidth="1"/>
    <col min="8972" max="8973" width="10.7265625" style="2591" customWidth="1"/>
    <col min="8974" max="8974" width="10" style="2591" customWidth="1"/>
    <col min="8975" max="8976" width="10.453125" style="2591" bestFit="1" customWidth="1"/>
    <col min="8977" max="8977" width="10" style="2591" customWidth="1"/>
    <col min="8978" max="8978" width="10.08984375" style="2591" customWidth="1"/>
    <col min="8979" max="8979" width="10" style="2591" customWidth="1"/>
    <col min="8980" max="8980" width="26.08984375" style="2591" customWidth="1"/>
    <col min="8981" max="9216" width="8.90625" style="2591"/>
    <col min="9217" max="9217" width="9.453125" style="2591" customWidth="1"/>
    <col min="9218" max="9218" width="8.90625" style="2591"/>
    <col min="9219" max="9221" width="12.90625" style="2591" customWidth="1"/>
    <col min="9222" max="9222" width="47.453125" style="2591" customWidth="1"/>
    <col min="9223" max="9223" width="13" style="2591" customWidth="1"/>
    <col min="9224" max="9225" width="8.90625" style="2591"/>
    <col min="9226" max="9226" width="5.7265625" style="2591" customWidth="1"/>
    <col min="9227" max="9227" width="11.7265625" style="2591" customWidth="1"/>
    <col min="9228" max="9229" width="10.7265625" style="2591" customWidth="1"/>
    <col min="9230" max="9230" width="10" style="2591" customWidth="1"/>
    <col min="9231" max="9232" width="10.453125" style="2591" bestFit="1" customWidth="1"/>
    <col min="9233" max="9233" width="10" style="2591" customWidth="1"/>
    <col min="9234" max="9234" width="10.08984375" style="2591" customWidth="1"/>
    <col min="9235" max="9235" width="10" style="2591" customWidth="1"/>
    <col min="9236" max="9236" width="26.08984375" style="2591" customWidth="1"/>
    <col min="9237" max="9472" width="8.90625" style="2591"/>
    <col min="9473" max="9473" width="9.453125" style="2591" customWidth="1"/>
    <col min="9474" max="9474" width="8.90625" style="2591"/>
    <col min="9475" max="9477" width="12.90625" style="2591" customWidth="1"/>
    <col min="9478" max="9478" width="47.453125" style="2591" customWidth="1"/>
    <col min="9479" max="9479" width="13" style="2591" customWidth="1"/>
    <col min="9480" max="9481" width="8.90625" style="2591"/>
    <col min="9482" max="9482" width="5.7265625" style="2591" customWidth="1"/>
    <col min="9483" max="9483" width="11.7265625" style="2591" customWidth="1"/>
    <col min="9484" max="9485" width="10.7265625" style="2591" customWidth="1"/>
    <col min="9486" max="9486" width="10" style="2591" customWidth="1"/>
    <col min="9487" max="9488" width="10.453125" style="2591" bestFit="1" customWidth="1"/>
    <col min="9489" max="9489" width="10" style="2591" customWidth="1"/>
    <col min="9490" max="9490" width="10.08984375" style="2591" customWidth="1"/>
    <col min="9491" max="9491" width="10" style="2591" customWidth="1"/>
    <col min="9492" max="9492" width="26.08984375" style="2591" customWidth="1"/>
    <col min="9493" max="9728" width="8.90625" style="2591"/>
    <col min="9729" max="9729" width="9.453125" style="2591" customWidth="1"/>
    <col min="9730" max="9730" width="8.90625" style="2591"/>
    <col min="9731" max="9733" width="12.90625" style="2591" customWidth="1"/>
    <col min="9734" max="9734" width="47.453125" style="2591" customWidth="1"/>
    <col min="9735" max="9735" width="13" style="2591" customWidth="1"/>
    <col min="9736" max="9737" width="8.90625" style="2591"/>
    <col min="9738" max="9738" width="5.7265625" style="2591" customWidth="1"/>
    <col min="9739" max="9739" width="11.7265625" style="2591" customWidth="1"/>
    <col min="9740" max="9741" width="10.7265625" style="2591" customWidth="1"/>
    <col min="9742" max="9742" width="10" style="2591" customWidth="1"/>
    <col min="9743" max="9744" width="10.453125" style="2591" bestFit="1" customWidth="1"/>
    <col min="9745" max="9745" width="10" style="2591" customWidth="1"/>
    <col min="9746" max="9746" width="10.08984375" style="2591" customWidth="1"/>
    <col min="9747" max="9747" width="10" style="2591" customWidth="1"/>
    <col min="9748" max="9748" width="26.08984375" style="2591" customWidth="1"/>
    <col min="9749" max="9984" width="8.90625" style="2591"/>
    <col min="9985" max="9985" width="9.453125" style="2591" customWidth="1"/>
    <col min="9986" max="9986" width="8.90625" style="2591"/>
    <col min="9987" max="9989" width="12.90625" style="2591" customWidth="1"/>
    <col min="9990" max="9990" width="47.453125" style="2591" customWidth="1"/>
    <col min="9991" max="9991" width="13" style="2591" customWidth="1"/>
    <col min="9992" max="9993" width="8.90625" style="2591"/>
    <col min="9994" max="9994" width="5.7265625" style="2591" customWidth="1"/>
    <col min="9995" max="9995" width="11.7265625" style="2591" customWidth="1"/>
    <col min="9996" max="9997" width="10.7265625" style="2591" customWidth="1"/>
    <col min="9998" max="9998" width="10" style="2591" customWidth="1"/>
    <col min="9999" max="10000" width="10.453125" style="2591" bestFit="1" customWidth="1"/>
    <col min="10001" max="10001" width="10" style="2591" customWidth="1"/>
    <col min="10002" max="10002" width="10.08984375" style="2591" customWidth="1"/>
    <col min="10003" max="10003" width="10" style="2591" customWidth="1"/>
    <col min="10004" max="10004" width="26.08984375" style="2591" customWidth="1"/>
    <col min="10005" max="10240" width="8.90625" style="2591"/>
    <col min="10241" max="10241" width="9.453125" style="2591" customWidth="1"/>
    <col min="10242" max="10242" width="8.90625" style="2591"/>
    <col min="10243" max="10245" width="12.90625" style="2591" customWidth="1"/>
    <col min="10246" max="10246" width="47.453125" style="2591" customWidth="1"/>
    <col min="10247" max="10247" width="13" style="2591" customWidth="1"/>
    <col min="10248" max="10249" width="8.90625" style="2591"/>
    <col min="10250" max="10250" width="5.7265625" style="2591" customWidth="1"/>
    <col min="10251" max="10251" width="11.7265625" style="2591" customWidth="1"/>
    <col min="10252" max="10253" width="10.7265625" style="2591" customWidth="1"/>
    <col min="10254" max="10254" width="10" style="2591" customWidth="1"/>
    <col min="10255" max="10256" width="10.453125" style="2591" bestFit="1" customWidth="1"/>
    <col min="10257" max="10257" width="10" style="2591" customWidth="1"/>
    <col min="10258" max="10258" width="10.08984375" style="2591" customWidth="1"/>
    <col min="10259" max="10259" width="10" style="2591" customWidth="1"/>
    <col min="10260" max="10260" width="26.08984375" style="2591" customWidth="1"/>
    <col min="10261" max="10496" width="8.90625" style="2591"/>
    <col min="10497" max="10497" width="9.453125" style="2591" customWidth="1"/>
    <col min="10498" max="10498" width="8.90625" style="2591"/>
    <col min="10499" max="10501" width="12.90625" style="2591" customWidth="1"/>
    <col min="10502" max="10502" width="47.453125" style="2591" customWidth="1"/>
    <col min="10503" max="10503" width="13" style="2591" customWidth="1"/>
    <col min="10504" max="10505" width="8.90625" style="2591"/>
    <col min="10506" max="10506" width="5.7265625" style="2591" customWidth="1"/>
    <col min="10507" max="10507" width="11.7265625" style="2591" customWidth="1"/>
    <col min="10508" max="10509" width="10.7265625" style="2591" customWidth="1"/>
    <col min="10510" max="10510" width="10" style="2591" customWidth="1"/>
    <col min="10511" max="10512" width="10.453125" style="2591" bestFit="1" customWidth="1"/>
    <col min="10513" max="10513" width="10" style="2591" customWidth="1"/>
    <col min="10514" max="10514" width="10.08984375" style="2591" customWidth="1"/>
    <col min="10515" max="10515" width="10" style="2591" customWidth="1"/>
    <col min="10516" max="10516" width="26.08984375" style="2591" customWidth="1"/>
    <col min="10517" max="10752" width="8.90625" style="2591"/>
    <col min="10753" max="10753" width="9.453125" style="2591" customWidth="1"/>
    <col min="10754" max="10754" width="8.90625" style="2591"/>
    <col min="10755" max="10757" width="12.90625" style="2591" customWidth="1"/>
    <col min="10758" max="10758" width="47.453125" style="2591" customWidth="1"/>
    <col min="10759" max="10759" width="13" style="2591" customWidth="1"/>
    <col min="10760" max="10761" width="8.90625" style="2591"/>
    <col min="10762" max="10762" width="5.7265625" style="2591" customWidth="1"/>
    <col min="10763" max="10763" width="11.7265625" style="2591" customWidth="1"/>
    <col min="10764" max="10765" width="10.7265625" style="2591" customWidth="1"/>
    <col min="10766" max="10766" width="10" style="2591" customWidth="1"/>
    <col min="10767" max="10768" width="10.453125" style="2591" bestFit="1" customWidth="1"/>
    <col min="10769" max="10769" width="10" style="2591" customWidth="1"/>
    <col min="10770" max="10770" width="10.08984375" style="2591" customWidth="1"/>
    <col min="10771" max="10771" width="10" style="2591" customWidth="1"/>
    <col min="10772" max="10772" width="26.08984375" style="2591" customWidth="1"/>
    <col min="10773" max="11008" width="8.90625" style="2591"/>
    <col min="11009" max="11009" width="9.453125" style="2591" customWidth="1"/>
    <col min="11010" max="11010" width="8.90625" style="2591"/>
    <col min="11011" max="11013" width="12.90625" style="2591" customWidth="1"/>
    <col min="11014" max="11014" width="47.453125" style="2591" customWidth="1"/>
    <col min="11015" max="11015" width="13" style="2591" customWidth="1"/>
    <col min="11016" max="11017" width="8.90625" style="2591"/>
    <col min="11018" max="11018" width="5.7265625" style="2591" customWidth="1"/>
    <col min="11019" max="11019" width="11.7265625" style="2591" customWidth="1"/>
    <col min="11020" max="11021" width="10.7265625" style="2591" customWidth="1"/>
    <col min="11022" max="11022" width="10" style="2591" customWidth="1"/>
    <col min="11023" max="11024" width="10.453125" style="2591" bestFit="1" customWidth="1"/>
    <col min="11025" max="11025" width="10" style="2591" customWidth="1"/>
    <col min="11026" max="11026" width="10.08984375" style="2591" customWidth="1"/>
    <col min="11027" max="11027" width="10" style="2591" customWidth="1"/>
    <col min="11028" max="11028" width="26.08984375" style="2591" customWidth="1"/>
    <col min="11029" max="11264" width="8.90625" style="2591"/>
    <col min="11265" max="11265" width="9.453125" style="2591" customWidth="1"/>
    <col min="11266" max="11266" width="8.90625" style="2591"/>
    <col min="11267" max="11269" width="12.90625" style="2591" customWidth="1"/>
    <col min="11270" max="11270" width="47.453125" style="2591" customWidth="1"/>
    <col min="11271" max="11271" width="13" style="2591" customWidth="1"/>
    <col min="11272" max="11273" width="8.90625" style="2591"/>
    <col min="11274" max="11274" width="5.7265625" style="2591" customWidth="1"/>
    <col min="11275" max="11275" width="11.7265625" style="2591" customWidth="1"/>
    <col min="11276" max="11277" width="10.7265625" style="2591" customWidth="1"/>
    <col min="11278" max="11278" width="10" style="2591" customWidth="1"/>
    <col min="11279" max="11280" width="10.453125" style="2591" bestFit="1" customWidth="1"/>
    <col min="11281" max="11281" width="10" style="2591" customWidth="1"/>
    <col min="11282" max="11282" width="10.08984375" style="2591" customWidth="1"/>
    <col min="11283" max="11283" width="10" style="2591" customWidth="1"/>
    <col min="11284" max="11284" width="26.08984375" style="2591" customWidth="1"/>
    <col min="11285" max="11520" width="8.90625" style="2591"/>
    <col min="11521" max="11521" width="9.453125" style="2591" customWidth="1"/>
    <col min="11522" max="11522" width="8.90625" style="2591"/>
    <col min="11523" max="11525" width="12.90625" style="2591" customWidth="1"/>
    <col min="11526" max="11526" width="47.453125" style="2591" customWidth="1"/>
    <col min="11527" max="11527" width="13" style="2591" customWidth="1"/>
    <col min="11528" max="11529" width="8.90625" style="2591"/>
    <col min="11530" max="11530" width="5.7265625" style="2591" customWidth="1"/>
    <col min="11531" max="11531" width="11.7265625" style="2591" customWidth="1"/>
    <col min="11532" max="11533" width="10.7265625" style="2591" customWidth="1"/>
    <col min="11534" max="11534" width="10" style="2591" customWidth="1"/>
    <col min="11535" max="11536" width="10.453125" style="2591" bestFit="1" customWidth="1"/>
    <col min="11537" max="11537" width="10" style="2591" customWidth="1"/>
    <col min="11538" max="11538" width="10.08984375" style="2591" customWidth="1"/>
    <col min="11539" max="11539" width="10" style="2591" customWidth="1"/>
    <col min="11540" max="11540" width="26.08984375" style="2591" customWidth="1"/>
    <col min="11541" max="11776" width="8.90625" style="2591"/>
    <col min="11777" max="11777" width="9.453125" style="2591" customWidth="1"/>
    <col min="11778" max="11778" width="8.90625" style="2591"/>
    <col min="11779" max="11781" width="12.90625" style="2591" customWidth="1"/>
    <col min="11782" max="11782" width="47.453125" style="2591" customWidth="1"/>
    <col min="11783" max="11783" width="13" style="2591" customWidth="1"/>
    <col min="11784" max="11785" width="8.90625" style="2591"/>
    <col min="11786" max="11786" width="5.7265625" style="2591" customWidth="1"/>
    <col min="11787" max="11787" width="11.7265625" style="2591" customWidth="1"/>
    <col min="11788" max="11789" width="10.7265625" style="2591" customWidth="1"/>
    <col min="11790" max="11790" width="10" style="2591" customWidth="1"/>
    <col min="11791" max="11792" width="10.453125" style="2591" bestFit="1" customWidth="1"/>
    <col min="11793" max="11793" width="10" style="2591" customWidth="1"/>
    <col min="11794" max="11794" width="10.08984375" style="2591" customWidth="1"/>
    <col min="11795" max="11795" width="10" style="2591" customWidth="1"/>
    <col min="11796" max="11796" width="26.08984375" style="2591" customWidth="1"/>
    <col min="11797" max="12032" width="8.90625" style="2591"/>
    <col min="12033" max="12033" width="9.453125" style="2591" customWidth="1"/>
    <col min="12034" max="12034" width="8.90625" style="2591"/>
    <col min="12035" max="12037" width="12.90625" style="2591" customWidth="1"/>
    <col min="12038" max="12038" width="47.453125" style="2591" customWidth="1"/>
    <col min="12039" max="12039" width="13" style="2591" customWidth="1"/>
    <col min="12040" max="12041" width="8.90625" style="2591"/>
    <col min="12042" max="12042" width="5.7265625" style="2591" customWidth="1"/>
    <col min="12043" max="12043" width="11.7265625" style="2591" customWidth="1"/>
    <col min="12044" max="12045" width="10.7265625" style="2591" customWidth="1"/>
    <col min="12046" max="12046" width="10" style="2591" customWidth="1"/>
    <col min="12047" max="12048" width="10.453125" style="2591" bestFit="1" customWidth="1"/>
    <col min="12049" max="12049" width="10" style="2591" customWidth="1"/>
    <col min="12050" max="12050" width="10.08984375" style="2591" customWidth="1"/>
    <col min="12051" max="12051" width="10" style="2591" customWidth="1"/>
    <col min="12052" max="12052" width="26.08984375" style="2591" customWidth="1"/>
    <col min="12053" max="12288" width="8.90625" style="2591"/>
    <col min="12289" max="12289" width="9.453125" style="2591" customWidth="1"/>
    <col min="12290" max="12290" width="8.90625" style="2591"/>
    <col min="12291" max="12293" width="12.90625" style="2591" customWidth="1"/>
    <col min="12294" max="12294" width="47.453125" style="2591" customWidth="1"/>
    <col min="12295" max="12295" width="13" style="2591" customWidth="1"/>
    <col min="12296" max="12297" width="8.90625" style="2591"/>
    <col min="12298" max="12298" width="5.7265625" style="2591" customWidth="1"/>
    <col min="12299" max="12299" width="11.7265625" style="2591" customWidth="1"/>
    <col min="12300" max="12301" width="10.7265625" style="2591" customWidth="1"/>
    <col min="12302" max="12302" width="10" style="2591" customWidth="1"/>
    <col min="12303" max="12304" width="10.453125" style="2591" bestFit="1" customWidth="1"/>
    <col min="12305" max="12305" width="10" style="2591" customWidth="1"/>
    <col min="12306" max="12306" width="10.08984375" style="2591" customWidth="1"/>
    <col min="12307" max="12307" width="10" style="2591" customWidth="1"/>
    <col min="12308" max="12308" width="26.08984375" style="2591" customWidth="1"/>
    <col min="12309" max="12544" width="8.90625" style="2591"/>
    <col min="12545" max="12545" width="9.453125" style="2591" customWidth="1"/>
    <col min="12546" max="12546" width="8.90625" style="2591"/>
    <col min="12547" max="12549" width="12.90625" style="2591" customWidth="1"/>
    <col min="12550" max="12550" width="47.453125" style="2591" customWidth="1"/>
    <col min="12551" max="12551" width="13" style="2591" customWidth="1"/>
    <col min="12552" max="12553" width="8.90625" style="2591"/>
    <col min="12554" max="12554" width="5.7265625" style="2591" customWidth="1"/>
    <col min="12555" max="12555" width="11.7265625" style="2591" customWidth="1"/>
    <col min="12556" max="12557" width="10.7265625" style="2591" customWidth="1"/>
    <col min="12558" max="12558" width="10" style="2591" customWidth="1"/>
    <col min="12559" max="12560" width="10.453125" style="2591" bestFit="1" customWidth="1"/>
    <col min="12561" max="12561" width="10" style="2591" customWidth="1"/>
    <col min="12562" max="12562" width="10.08984375" style="2591" customWidth="1"/>
    <col min="12563" max="12563" width="10" style="2591" customWidth="1"/>
    <col min="12564" max="12564" width="26.08984375" style="2591" customWidth="1"/>
    <col min="12565" max="12800" width="8.90625" style="2591"/>
    <col min="12801" max="12801" width="9.453125" style="2591" customWidth="1"/>
    <col min="12802" max="12802" width="8.90625" style="2591"/>
    <col min="12803" max="12805" width="12.90625" style="2591" customWidth="1"/>
    <col min="12806" max="12806" width="47.453125" style="2591" customWidth="1"/>
    <col min="12807" max="12807" width="13" style="2591" customWidth="1"/>
    <col min="12808" max="12809" width="8.90625" style="2591"/>
    <col min="12810" max="12810" width="5.7265625" style="2591" customWidth="1"/>
    <col min="12811" max="12811" width="11.7265625" style="2591" customWidth="1"/>
    <col min="12812" max="12813" width="10.7265625" style="2591" customWidth="1"/>
    <col min="12814" max="12814" width="10" style="2591" customWidth="1"/>
    <col min="12815" max="12816" width="10.453125" style="2591" bestFit="1" customWidth="1"/>
    <col min="12817" max="12817" width="10" style="2591" customWidth="1"/>
    <col min="12818" max="12818" width="10.08984375" style="2591" customWidth="1"/>
    <col min="12819" max="12819" width="10" style="2591" customWidth="1"/>
    <col min="12820" max="12820" width="26.08984375" style="2591" customWidth="1"/>
    <col min="12821" max="13056" width="8.90625" style="2591"/>
    <col min="13057" max="13057" width="9.453125" style="2591" customWidth="1"/>
    <col min="13058" max="13058" width="8.90625" style="2591"/>
    <col min="13059" max="13061" width="12.90625" style="2591" customWidth="1"/>
    <col min="13062" max="13062" width="47.453125" style="2591" customWidth="1"/>
    <col min="13063" max="13063" width="13" style="2591" customWidth="1"/>
    <col min="13064" max="13065" width="8.90625" style="2591"/>
    <col min="13066" max="13066" width="5.7265625" style="2591" customWidth="1"/>
    <col min="13067" max="13067" width="11.7265625" style="2591" customWidth="1"/>
    <col min="13068" max="13069" width="10.7265625" style="2591" customWidth="1"/>
    <col min="13070" max="13070" width="10" style="2591" customWidth="1"/>
    <col min="13071" max="13072" width="10.453125" style="2591" bestFit="1" customWidth="1"/>
    <col min="13073" max="13073" width="10" style="2591" customWidth="1"/>
    <col min="13074" max="13074" width="10.08984375" style="2591" customWidth="1"/>
    <col min="13075" max="13075" width="10" style="2591" customWidth="1"/>
    <col min="13076" max="13076" width="26.08984375" style="2591" customWidth="1"/>
    <col min="13077" max="13312" width="8.90625" style="2591"/>
    <col min="13313" max="13313" width="9.453125" style="2591" customWidth="1"/>
    <col min="13314" max="13314" width="8.90625" style="2591"/>
    <col min="13315" max="13317" width="12.90625" style="2591" customWidth="1"/>
    <col min="13318" max="13318" width="47.453125" style="2591" customWidth="1"/>
    <col min="13319" max="13319" width="13" style="2591" customWidth="1"/>
    <col min="13320" max="13321" width="8.90625" style="2591"/>
    <col min="13322" max="13322" width="5.7265625" style="2591" customWidth="1"/>
    <col min="13323" max="13323" width="11.7265625" style="2591" customWidth="1"/>
    <col min="13324" max="13325" width="10.7265625" style="2591" customWidth="1"/>
    <col min="13326" max="13326" width="10" style="2591" customWidth="1"/>
    <col min="13327" max="13328" width="10.453125" style="2591" bestFit="1" customWidth="1"/>
    <col min="13329" max="13329" width="10" style="2591" customWidth="1"/>
    <col min="13330" max="13330" width="10.08984375" style="2591" customWidth="1"/>
    <col min="13331" max="13331" width="10" style="2591" customWidth="1"/>
    <col min="13332" max="13332" width="26.08984375" style="2591" customWidth="1"/>
    <col min="13333" max="13568" width="8.90625" style="2591"/>
    <col min="13569" max="13569" width="9.453125" style="2591" customWidth="1"/>
    <col min="13570" max="13570" width="8.90625" style="2591"/>
    <col min="13571" max="13573" width="12.90625" style="2591" customWidth="1"/>
    <col min="13574" max="13574" width="47.453125" style="2591" customWidth="1"/>
    <col min="13575" max="13575" width="13" style="2591" customWidth="1"/>
    <col min="13576" max="13577" width="8.90625" style="2591"/>
    <col min="13578" max="13578" width="5.7265625" style="2591" customWidth="1"/>
    <col min="13579" max="13579" width="11.7265625" style="2591" customWidth="1"/>
    <col min="13580" max="13581" width="10.7265625" style="2591" customWidth="1"/>
    <col min="13582" max="13582" width="10" style="2591" customWidth="1"/>
    <col min="13583" max="13584" width="10.453125" style="2591" bestFit="1" customWidth="1"/>
    <col min="13585" max="13585" width="10" style="2591" customWidth="1"/>
    <col min="13586" max="13586" width="10.08984375" style="2591" customWidth="1"/>
    <col min="13587" max="13587" width="10" style="2591" customWidth="1"/>
    <col min="13588" max="13588" width="26.08984375" style="2591" customWidth="1"/>
    <col min="13589" max="13824" width="8.90625" style="2591"/>
    <col min="13825" max="13825" width="9.453125" style="2591" customWidth="1"/>
    <col min="13826" max="13826" width="8.90625" style="2591"/>
    <col min="13827" max="13829" width="12.90625" style="2591" customWidth="1"/>
    <col min="13830" max="13830" width="47.453125" style="2591" customWidth="1"/>
    <col min="13831" max="13831" width="13" style="2591" customWidth="1"/>
    <col min="13832" max="13833" width="8.90625" style="2591"/>
    <col min="13834" max="13834" width="5.7265625" style="2591" customWidth="1"/>
    <col min="13835" max="13835" width="11.7265625" style="2591" customWidth="1"/>
    <col min="13836" max="13837" width="10.7265625" style="2591" customWidth="1"/>
    <col min="13838" max="13838" width="10" style="2591" customWidth="1"/>
    <col min="13839" max="13840" width="10.453125" style="2591" bestFit="1" customWidth="1"/>
    <col min="13841" max="13841" width="10" style="2591" customWidth="1"/>
    <col min="13842" max="13842" width="10.08984375" style="2591" customWidth="1"/>
    <col min="13843" max="13843" width="10" style="2591" customWidth="1"/>
    <col min="13844" max="13844" width="26.08984375" style="2591" customWidth="1"/>
    <col min="13845" max="14080" width="8.90625" style="2591"/>
    <col min="14081" max="14081" width="9.453125" style="2591" customWidth="1"/>
    <col min="14082" max="14082" width="8.90625" style="2591"/>
    <col min="14083" max="14085" width="12.90625" style="2591" customWidth="1"/>
    <col min="14086" max="14086" width="47.453125" style="2591" customWidth="1"/>
    <col min="14087" max="14087" width="13" style="2591" customWidth="1"/>
    <col min="14088" max="14089" width="8.90625" style="2591"/>
    <col min="14090" max="14090" width="5.7265625" style="2591" customWidth="1"/>
    <col min="14091" max="14091" width="11.7265625" style="2591" customWidth="1"/>
    <col min="14092" max="14093" width="10.7265625" style="2591" customWidth="1"/>
    <col min="14094" max="14094" width="10" style="2591" customWidth="1"/>
    <col min="14095" max="14096" width="10.453125" style="2591" bestFit="1" customWidth="1"/>
    <col min="14097" max="14097" width="10" style="2591" customWidth="1"/>
    <col min="14098" max="14098" width="10.08984375" style="2591" customWidth="1"/>
    <col min="14099" max="14099" width="10" style="2591" customWidth="1"/>
    <col min="14100" max="14100" width="26.08984375" style="2591" customWidth="1"/>
    <col min="14101" max="14336" width="8.90625" style="2591"/>
    <col min="14337" max="14337" width="9.453125" style="2591" customWidth="1"/>
    <col min="14338" max="14338" width="8.90625" style="2591"/>
    <col min="14339" max="14341" width="12.90625" style="2591" customWidth="1"/>
    <col min="14342" max="14342" width="47.453125" style="2591" customWidth="1"/>
    <col min="14343" max="14343" width="13" style="2591" customWidth="1"/>
    <col min="14344" max="14345" width="8.90625" style="2591"/>
    <col min="14346" max="14346" width="5.7265625" style="2591" customWidth="1"/>
    <col min="14347" max="14347" width="11.7265625" style="2591" customWidth="1"/>
    <col min="14348" max="14349" width="10.7265625" style="2591" customWidth="1"/>
    <col min="14350" max="14350" width="10" style="2591" customWidth="1"/>
    <col min="14351" max="14352" width="10.453125" style="2591" bestFit="1" customWidth="1"/>
    <col min="14353" max="14353" width="10" style="2591" customWidth="1"/>
    <col min="14354" max="14354" width="10.08984375" style="2591" customWidth="1"/>
    <col min="14355" max="14355" width="10" style="2591" customWidth="1"/>
    <col min="14356" max="14356" width="26.08984375" style="2591" customWidth="1"/>
    <col min="14357" max="14592" width="8.90625" style="2591"/>
    <col min="14593" max="14593" width="9.453125" style="2591" customWidth="1"/>
    <col min="14594" max="14594" width="8.90625" style="2591"/>
    <col min="14595" max="14597" width="12.90625" style="2591" customWidth="1"/>
    <col min="14598" max="14598" width="47.453125" style="2591" customWidth="1"/>
    <col min="14599" max="14599" width="13" style="2591" customWidth="1"/>
    <col min="14600" max="14601" width="8.90625" style="2591"/>
    <col min="14602" max="14602" width="5.7265625" style="2591" customWidth="1"/>
    <col min="14603" max="14603" width="11.7265625" style="2591" customWidth="1"/>
    <col min="14604" max="14605" width="10.7265625" style="2591" customWidth="1"/>
    <col min="14606" max="14606" width="10" style="2591" customWidth="1"/>
    <col min="14607" max="14608" width="10.453125" style="2591" bestFit="1" customWidth="1"/>
    <col min="14609" max="14609" width="10" style="2591" customWidth="1"/>
    <col min="14610" max="14610" width="10.08984375" style="2591" customWidth="1"/>
    <col min="14611" max="14611" width="10" style="2591" customWidth="1"/>
    <col min="14612" max="14612" width="26.08984375" style="2591" customWidth="1"/>
    <col min="14613" max="14848" width="8.90625" style="2591"/>
    <col min="14849" max="14849" width="9.453125" style="2591" customWidth="1"/>
    <col min="14850" max="14850" width="8.90625" style="2591"/>
    <col min="14851" max="14853" width="12.90625" style="2591" customWidth="1"/>
    <col min="14854" max="14854" width="47.453125" style="2591" customWidth="1"/>
    <col min="14855" max="14855" width="13" style="2591" customWidth="1"/>
    <col min="14856" max="14857" width="8.90625" style="2591"/>
    <col min="14858" max="14858" width="5.7265625" style="2591" customWidth="1"/>
    <col min="14859" max="14859" width="11.7265625" style="2591" customWidth="1"/>
    <col min="14860" max="14861" width="10.7265625" style="2591" customWidth="1"/>
    <col min="14862" max="14862" width="10" style="2591" customWidth="1"/>
    <col min="14863" max="14864" width="10.453125" style="2591" bestFit="1" customWidth="1"/>
    <col min="14865" max="14865" width="10" style="2591" customWidth="1"/>
    <col min="14866" max="14866" width="10.08984375" style="2591" customWidth="1"/>
    <col min="14867" max="14867" width="10" style="2591" customWidth="1"/>
    <col min="14868" max="14868" width="26.08984375" style="2591" customWidth="1"/>
    <col min="14869" max="15104" width="8.90625" style="2591"/>
    <col min="15105" max="15105" width="9.453125" style="2591" customWidth="1"/>
    <col min="15106" max="15106" width="8.90625" style="2591"/>
    <col min="15107" max="15109" width="12.90625" style="2591" customWidth="1"/>
    <col min="15110" max="15110" width="47.453125" style="2591" customWidth="1"/>
    <col min="15111" max="15111" width="13" style="2591" customWidth="1"/>
    <col min="15112" max="15113" width="8.90625" style="2591"/>
    <col min="15114" max="15114" width="5.7265625" style="2591" customWidth="1"/>
    <col min="15115" max="15115" width="11.7265625" style="2591" customWidth="1"/>
    <col min="15116" max="15117" width="10.7265625" style="2591" customWidth="1"/>
    <col min="15118" max="15118" width="10" style="2591" customWidth="1"/>
    <col min="15119" max="15120" width="10.453125" style="2591" bestFit="1" customWidth="1"/>
    <col min="15121" max="15121" width="10" style="2591" customWidth="1"/>
    <col min="15122" max="15122" width="10.08984375" style="2591" customWidth="1"/>
    <col min="15123" max="15123" width="10" style="2591" customWidth="1"/>
    <col min="15124" max="15124" width="26.08984375" style="2591" customWidth="1"/>
    <col min="15125" max="15360" width="8.90625" style="2591"/>
    <col min="15361" max="15361" width="9.453125" style="2591" customWidth="1"/>
    <col min="15362" max="15362" width="8.90625" style="2591"/>
    <col min="15363" max="15365" width="12.90625" style="2591" customWidth="1"/>
    <col min="15366" max="15366" width="47.453125" style="2591" customWidth="1"/>
    <col min="15367" max="15367" width="13" style="2591" customWidth="1"/>
    <col min="15368" max="15369" width="8.90625" style="2591"/>
    <col min="15370" max="15370" width="5.7265625" style="2591" customWidth="1"/>
    <col min="15371" max="15371" width="11.7265625" style="2591" customWidth="1"/>
    <col min="15372" max="15373" width="10.7265625" style="2591" customWidth="1"/>
    <col min="15374" max="15374" width="10" style="2591" customWidth="1"/>
    <col min="15375" max="15376" width="10.453125" style="2591" bestFit="1" customWidth="1"/>
    <col min="15377" max="15377" width="10" style="2591" customWidth="1"/>
    <col min="15378" max="15378" width="10.08984375" style="2591" customWidth="1"/>
    <col min="15379" max="15379" width="10" style="2591" customWidth="1"/>
    <col min="15380" max="15380" width="26.08984375" style="2591" customWidth="1"/>
    <col min="15381" max="15616" width="8.90625" style="2591"/>
    <col min="15617" max="15617" width="9.453125" style="2591" customWidth="1"/>
    <col min="15618" max="15618" width="8.90625" style="2591"/>
    <col min="15619" max="15621" width="12.90625" style="2591" customWidth="1"/>
    <col min="15622" max="15622" width="47.453125" style="2591" customWidth="1"/>
    <col min="15623" max="15623" width="13" style="2591" customWidth="1"/>
    <col min="15624" max="15625" width="8.90625" style="2591"/>
    <col min="15626" max="15626" width="5.7265625" style="2591" customWidth="1"/>
    <col min="15627" max="15627" width="11.7265625" style="2591" customWidth="1"/>
    <col min="15628" max="15629" width="10.7265625" style="2591" customWidth="1"/>
    <col min="15630" max="15630" width="10" style="2591" customWidth="1"/>
    <col min="15631" max="15632" width="10.453125" style="2591" bestFit="1" customWidth="1"/>
    <col min="15633" max="15633" width="10" style="2591" customWidth="1"/>
    <col min="15634" max="15634" width="10.08984375" style="2591" customWidth="1"/>
    <col min="15635" max="15635" width="10" style="2591" customWidth="1"/>
    <col min="15636" max="15636" width="26.08984375" style="2591" customWidth="1"/>
    <col min="15637" max="15872" width="8.90625" style="2591"/>
    <col min="15873" max="15873" width="9.453125" style="2591" customWidth="1"/>
    <col min="15874" max="15874" width="8.90625" style="2591"/>
    <col min="15875" max="15877" width="12.90625" style="2591" customWidth="1"/>
    <col min="15878" max="15878" width="47.453125" style="2591" customWidth="1"/>
    <col min="15879" max="15879" width="13" style="2591" customWidth="1"/>
    <col min="15880" max="15881" width="8.90625" style="2591"/>
    <col min="15882" max="15882" width="5.7265625" style="2591" customWidth="1"/>
    <col min="15883" max="15883" width="11.7265625" style="2591" customWidth="1"/>
    <col min="15884" max="15885" width="10.7265625" style="2591" customWidth="1"/>
    <col min="15886" max="15886" width="10" style="2591" customWidth="1"/>
    <col min="15887" max="15888" width="10.453125" style="2591" bestFit="1" customWidth="1"/>
    <col min="15889" max="15889" width="10" style="2591" customWidth="1"/>
    <col min="15890" max="15890" width="10.08984375" style="2591" customWidth="1"/>
    <col min="15891" max="15891" width="10" style="2591" customWidth="1"/>
    <col min="15892" max="15892" width="26.08984375" style="2591" customWidth="1"/>
    <col min="15893" max="16128" width="8.90625" style="2591"/>
    <col min="16129" max="16129" width="9.453125" style="2591" customWidth="1"/>
    <col min="16130" max="16130" width="8.90625" style="2591"/>
    <col min="16131" max="16133" width="12.90625" style="2591" customWidth="1"/>
    <col min="16134" max="16134" width="47.453125" style="2591" customWidth="1"/>
    <col min="16135" max="16135" width="13" style="2591" customWidth="1"/>
    <col min="16136" max="16137" width="8.90625" style="2591"/>
    <col min="16138" max="16138" width="5.7265625" style="2591" customWidth="1"/>
    <col min="16139" max="16139" width="11.7265625" style="2591" customWidth="1"/>
    <col min="16140" max="16141" width="10.7265625" style="2591" customWidth="1"/>
    <col min="16142" max="16142" width="10" style="2591" customWidth="1"/>
    <col min="16143" max="16144" width="10.453125" style="2591" bestFit="1" customWidth="1"/>
    <col min="16145" max="16145" width="10" style="2591" customWidth="1"/>
    <col min="16146" max="16146" width="10.08984375" style="2591" customWidth="1"/>
    <col min="16147" max="16147" width="10" style="2591" customWidth="1"/>
    <col min="16148" max="16148" width="26.08984375" style="2591" customWidth="1"/>
    <col min="16149" max="16384" width="8.90625" style="2591"/>
  </cols>
  <sheetData>
    <row r="1" spans="1:22" ht="21" customHeight="1">
      <c r="A1" s="2580" t="s">
        <v>2431</v>
      </c>
      <c r="B1" s="2581"/>
      <c r="C1" s="2593"/>
      <c r="D1" s="2593"/>
      <c r="E1" s="2582"/>
      <c r="F1" s="2583"/>
      <c r="G1" s="2584"/>
      <c r="J1" s="2587" t="s">
        <v>2310</v>
      </c>
      <c r="K1" s="2588"/>
      <c r="L1" s="2588"/>
      <c r="M1" s="2588"/>
      <c r="N1" s="2588"/>
      <c r="O1" s="2588"/>
      <c r="P1" s="2588"/>
      <c r="Q1" s="2588"/>
      <c r="R1" s="2589"/>
      <c r="S1" s="2590"/>
      <c r="T1" s="2590"/>
      <c r="U1" s="2590"/>
    </row>
    <row r="2" spans="1:22" s="2602" customFormat="1" ht="13.15" customHeight="1">
      <c r="A2" s="1293" t="s">
        <v>2311</v>
      </c>
      <c r="B2" s="2592" t="e">
        <f>IF(D2="——",C40,C40+E2)</f>
        <v>#DIV/0!</v>
      </c>
      <c r="C2" s="2593" t="s">
        <v>2312</v>
      </c>
      <c r="D2" s="3136" t="s">
        <v>3353</v>
      </c>
      <c r="E2" s="3137"/>
      <c r="F2" s="2595"/>
      <c r="G2" s="2596"/>
      <c r="H2" s="2597"/>
      <c r="I2" s="2598"/>
      <c r="J2" s="3488" t="s">
        <v>2313</v>
      </c>
      <c r="K2" s="3489"/>
      <c r="L2" s="2599" t="s">
        <v>2314</v>
      </c>
      <c r="M2" s="2599" t="s">
        <v>2315</v>
      </c>
      <c r="N2" s="2599" t="s">
        <v>2316</v>
      </c>
      <c r="O2" s="2599" t="s">
        <v>2317</v>
      </c>
      <c r="P2" s="2599" t="s">
        <v>2318</v>
      </c>
      <c r="Q2" s="2600" t="s">
        <v>2319</v>
      </c>
      <c r="R2" s="2601" t="s">
        <v>2320</v>
      </c>
      <c r="S2" s="2590"/>
      <c r="T2" s="2590"/>
      <c r="U2" s="2590"/>
      <c r="V2" s="2598"/>
    </row>
    <row r="3" spans="1:22" s="2602" customFormat="1" ht="13.15" customHeight="1">
      <c r="A3" s="2603" t="s">
        <v>2321</v>
      </c>
      <c r="B3" s="2604" t="e">
        <f>ROUND(B2*10000/B4,0)</f>
        <v>#DIV/0!</v>
      </c>
      <c r="C3" s="2593" t="s">
        <v>2322</v>
      </c>
      <c r="D3" s="2593"/>
      <c r="E3" s="2594"/>
      <c r="F3" s="2595"/>
      <c r="G3" s="2596"/>
      <c r="H3" s="2597"/>
      <c r="I3" s="2598"/>
      <c r="J3" s="3490" t="s">
        <v>2323</v>
      </c>
      <c r="K3" s="3491"/>
      <c r="L3" s="2605"/>
      <c r="M3" s="2605"/>
      <c r="N3" s="2605"/>
      <c r="O3" s="2605"/>
      <c r="P3" s="2605"/>
      <c r="Q3" s="2606"/>
      <c r="R3" s="2607">
        <f>SUM(L3:Q3)</f>
        <v>0</v>
      </c>
      <c r="S3" s="2590"/>
      <c r="T3" s="2590"/>
      <c r="U3" s="2590"/>
      <c r="V3" s="2598"/>
    </row>
    <row r="4" spans="1:22" s="2602" customFormat="1" ht="13.15" customHeight="1">
      <c r="A4" s="2608" t="s">
        <v>2324</v>
      </c>
      <c r="B4" s="2609"/>
      <c r="C4" s="2593"/>
      <c r="D4" s="2593"/>
      <c r="E4" s="2594"/>
      <c r="F4" s="2595"/>
      <c r="G4" s="2596"/>
      <c r="H4" s="2597"/>
      <c r="I4" s="2598"/>
      <c r="J4" s="3490" t="s">
        <v>2325</v>
      </c>
      <c r="K4" s="3491"/>
      <c r="L4" s="2610"/>
      <c r="M4" s="2610"/>
      <c r="N4" s="2610"/>
      <c r="O4" s="2610"/>
      <c r="P4" s="2610"/>
      <c r="Q4" s="2611"/>
      <c r="R4" s="2612">
        <f>SUM(L4:Q4)</f>
        <v>0</v>
      </c>
      <c r="S4" s="2590"/>
      <c r="T4" s="2590"/>
      <c r="U4" s="2590"/>
      <c r="V4" s="2598"/>
    </row>
    <row r="5" spans="1:22" s="2602" customFormat="1" ht="13.15" customHeight="1" thickBot="1">
      <c r="A5" s="2613" t="s">
        <v>2326</v>
      </c>
      <c r="B5" s="2614"/>
      <c r="C5" s="2593"/>
      <c r="D5" s="2615"/>
      <c r="E5" s="2595"/>
      <c r="F5" s="2595"/>
      <c r="G5" s="2596"/>
      <c r="H5" s="2597"/>
      <c r="I5" s="2598"/>
      <c r="J5" s="2616" t="s">
        <v>2327</v>
      </c>
      <c r="K5" s="2617"/>
      <c r="L5" s="2617"/>
      <c r="M5" s="2618"/>
      <c r="N5" s="2618"/>
      <c r="O5" s="2618"/>
      <c r="P5" s="2618"/>
      <c r="Q5" s="2618"/>
      <c r="R5" s="2601">
        <f>SUM(R14,R19,R24,R25,R27,R28)</f>
        <v>0</v>
      </c>
      <c r="S5" s="2590"/>
      <c r="T5" s="2590" t="s">
        <v>2328</v>
      </c>
      <c r="U5" s="2590" t="e">
        <f>ROUND(R5*10000/365/R3,1)</f>
        <v>#DIV/0!</v>
      </c>
      <c r="V5" s="2598"/>
    </row>
    <row r="6" spans="1:22" s="2602" customFormat="1" ht="13.15" customHeight="1" thickBot="1">
      <c r="A6" s="3492" t="s">
        <v>2329</v>
      </c>
      <c r="B6" s="3493"/>
      <c r="C6" s="3494"/>
      <c r="D6" s="2619"/>
      <c r="E6" s="2620"/>
      <c r="F6" s="2621"/>
      <c r="G6" s="2622"/>
      <c r="H6" s="2597"/>
      <c r="I6" s="2598"/>
      <c r="J6" s="3495">
        <v>1</v>
      </c>
      <c r="K6" s="3496" t="s">
        <v>2330</v>
      </c>
      <c r="L6" s="2623" t="s">
        <v>2331</v>
      </c>
      <c r="M6" s="2624" t="s">
        <v>2332</v>
      </c>
      <c r="N6" s="2624" t="s">
        <v>2333</v>
      </c>
      <c r="O6" s="2624" t="s">
        <v>2334</v>
      </c>
      <c r="P6" s="2624" t="s">
        <v>2335</v>
      </c>
      <c r="Q6" s="2624" t="s">
        <v>2336</v>
      </c>
      <c r="R6" s="2607" t="s">
        <v>2337</v>
      </c>
      <c r="S6" s="2590"/>
      <c r="T6" s="2590" t="s">
        <v>2338</v>
      </c>
      <c r="U6" s="2590"/>
      <c r="V6" s="2598"/>
    </row>
    <row r="7" spans="1:22" s="2602" customFormat="1" ht="13.15" customHeight="1">
      <c r="A7" s="2625" t="s">
        <v>2339</v>
      </c>
      <c r="B7" s="2626"/>
      <c r="C7" s="2627"/>
      <c r="D7" s="2628">
        <f>SUM(D9,D10,D11,D17,0)</f>
        <v>0</v>
      </c>
      <c r="E7" s="2629" t="e">
        <f>E9+E10+E11+E17</f>
        <v>#DIV/0!</v>
      </c>
      <c r="F7" s="2630"/>
      <c r="G7" s="2631"/>
      <c r="H7" s="2597"/>
      <c r="I7" s="2598"/>
      <c r="J7" s="3495"/>
      <c r="K7" s="3497"/>
      <c r="L7" s="2632" t="s">
        <v>2340</v>
      </c>
      <c r="M7" s="2633"/>
      <c r="N7" s="2609"/>
      <c r="O7" s="2634"/>
      <c r="P7" s="2634"/>
      <c r="Q7" s="2635">
        <v>365</v>
      </c>
      <c r="R7" s="2636">
        <f>ROUND(M7*N7*O7*P7*Q7/10000,0)</f>
        <v>0</v>
      </c>
      <c r="S7" s="2590"/>
      <c r="T7" s="2590" t="s">
        <v>2341</v>
      </c>
      <c r="U7" s="2590"/>
      <c r="V7" s="2598"/>
    </row>
    <row r="8" spans="1:22" s="2602" customFormat="1" ht="13.15" customHeight="1">
      <c r="A8" s="2637" t="s">
        <v>2342</v>
      </c>
      <c r="B8" s="3499" t="s">
        <v>2343</v>
      </c>
      <c r="C8" s="3500"/>
      <c r="D8" s="2638" t="s">
        <v>2344</v>
      </c>
      <c r="E8" s="2639" t="s">
        <v>2345</v>
      </c>
      <c r="F8" s="2640" t="s">
        <v>2346</v>
      </c>
      <c r="G8" s="2641"/>
      <c r="H8" s="2597"/>
      <c r="I8" s="2598"/>
      <c r="J8" s="3495"/>
      <c r="K8" s="3497"/>
      <c r="L8" s="2632" t="s">
        <v>2347</v>
      </c>
      <c r="M8" s="2633"/>
      <c r="N8" s="2609"/>
      <c r="O8" s="2634"/>
      <c r="P8" s="2634"/>
      <c r="Q8" s="2635">
        <v>365</v>
      </c>
      <c r="R8" s="2636">
        <f t="shared" ref="R8:R13" si="0">ROUND(M8*N8*O8*P8*Q8/10000,0)</f>
        <v>0</v>
      </c>
      <c r="S8" s="2590"/>
      <c r="T8" s="2590" t="s">
        <v>2348</v>
      </c>
      <c r="U8" s="2590"/>
      <c r="V8" s="2598"/>
    </row>
    <row r="9" spans="1:22" s="2602" customFormat="1" ht="13.15" customHeight="1">
      <c r="A9" s="2637">
        <v>1</v>
      </c>
      <c r="B9" s="3499" t="s">
        <v>2349</v>
      </c>
      <c r="C9" s="3500"/>
      <c r="D9" s="2638">
        <f>ROUND(D6*E9,0)</f>
        <v>0</v>
      </c>
      <c r="E9" s="2642"/>
      <c r="F9" s="2643" t="s">
        <v>2350</v>
      </c>
      <c r="G9" s="2622"/>
      <c r="H9" s="2597"/>
      <c r="I9" s="2598"/>
      <c r="J9" s="3495"/>
      <c r="K9" s="3497"/>
      <c r="L9" s="2632" t="s">
        <v>2351</v>
      </c>
      <c r="M9" s="2633"/>
      <c r="N9" s="2609"/>
      <c r="O9" s="2634"/>
      <c r="P9" s="2634"/>
      <c r="Q9" s="2635">
        <v>365</v>
      </c>
      <c r="R9" s="2636">
        <f t="shared" si="0"/>
        <v>0</v>
      </c>
      <c r="S9" s="2590"/>
      <c r="T9" s="2590"/>
      <c r="U9" s="2590"/>
      <c r="V9" s="2598"/>
    </row>
    <row r="10" spans="1:22" s="2602" customFormat="1" ht="13.15" customHeight="1">
      <c r="A10" s="2637">
        <v>2</v>
      </c>
      <c r="B10" s="3499" t="s">
        <v>2352</v>
      </c>
      <c r="C10" s="3500"/>
      <c r="D10" s="2638">
        <f>ROUND(D6*E10,0)</f>
        <v>0</v>
      </c>
      <c r="E10" s="2642"/>
      <c r="F10" s="2643" t="s">
        <v>2353</v>
      </c>
      <c r="G10" s="2622"/>
      <c r="H10" s="2597"/>
      <c r="I10" s="2598"/>
      <c r="J10" s="3495"/>
      <c r="K10" s="3497"/>
      <c r="L10" s="2632" t="s">
        <v>2354</v>
      </c>
      <c r="M10" s="2633"/>
      <c r="N10" s="2609"/>
      <c r="O10" s="2634"/>
      <c r="P10" s="2634"/>
      <c r="Q10" s="2635">
        <v>365</v>
      </c>
      <c r="R10" s="2636">
        <f t="shared" si="0"/>
        <v>0</v>
      </c>
      <c r="S10" s="2590"/>
      <c r="T10" s="2590"/>
      <c r="U10" s="2590"/>
      <c r="V10" s="2598"/>
    </row>
    <row r="11" spans="1:22" s="2602" customFormat="1" ht="13.15" customHeight="1">
      <c r="A11" s="2637">
        <v>3</v>
      </c>
      <c r="B11" s="3499" t="s">
        <v>2355</v>
      </c>
      <c r="C11" s="3500"/>
      <c r="D11" s="2638">
        <f>D12+D14+D15+D16</f>
        <v>0</v>
      </c>
      <c r="E11" s="2644" t="e">
        <f>D11/D6</f>
        <v>#DIV/0!</v>
      </c>
      <c r="F11" s="2640"/>
      <c r="G11" s="2641"/>
      <c r="H11" s="2597"/>
      <c r="I11" s="2598"/>
      <c r="J11" s="3495"/>
      <c r="K11" s="3497"/>
      <c r="L11" s="2632" t="s">
        <v>2356</v>
      </c>
      <c r="M11" s="2633"/>
      <c r="N11" s="2609"/>
      <c r="O11" s="2634"/>
      <c r="P11" s="2634"/>
      <c r="Q11" s="2635">
        <v>365</v>
      </c>
      <c r="R11" s="2636">
        <f t="shared" si="0"/>
        <v>0</v>
      </c>
      <c r="S11" s="2590"/>
      <c r="T11" s="2590"/>
      <c r="U11" s="2590"/>
      <c r="V11" s="2598"/>
    </row>
    <row r="12" spans="1:22" s="2602" customFormat="1" ht="13.15" customHeight="1">
      <c r="A12" s="2645" t="s">
        <v>2357</v>
      </c>
      <c r="B12" s="3501" t="s">
        <v>2358</v>
      </c>
      <c r="C12" s="3502"/>
      <c r="D12" s="2646">
        <f>ROUND(D13*1.2%*(1-30%),0)</f>
        <v>0</v>
      </c>
      <c r="E12" s="2647">
        <v>1.2E-2</v>
      </c>
      <c r="F12" s="2640" t="s">
        <v>2359</v>
      </c>
      <c r="G12" s="2641"/>
      <c r="H12" s="2597"/>
      <c r="I12" s="2598"/>
      <c r="J12" s="3495"/>
      <c r="K12" s="3497"/>
      <c r="L12" s="2632" t="s">
        <v>2360</v>
      </c>
      <c r="M12" s="2633"/>
      <c r="N12" s="2609"/>
      <c r="O12" s="2634"/>
      <c r="P12" s="2634"/>
      <c r="Q12" s="2635">
        <v>365</v>
      </c>
      <c r="R12" s="2636">
        <f t="shared" si="0"/>
        <v>0</v>
      </c>
      <c r="S12" s="2590"/>
      <c r="T12" s="2590"/>
      <c r="U12" s="2590"/>
      <c r="V12" s="2598"/>
    </row>
    <row r="13" spans="1:22" s="2602" customFormat="1" ht="13.15" customHeight="1">
      <c r="A13" s="2645"/>
      <c r="B13" s="2648"/>
      <c r="C13" s="2649" t="s">
        <v>2361</v>
      </c>
      <c r="D13" s="2650"/>
      <c r="E13" s="2651"/>
      <c r="F13" s="2640"/>
      <c r="G13" s="2641"/>
      <c r="H13" s="2597"/>
      <c r="I13" s="2598"/>
      <c r="J13" s="3495"/>
      <c r="K13" s="3497"/>
      <c r="L13" s="2632" t="s">
        <v>2362</v>
      </c>
      <c r="M13" s="2633"/>
      <c r="N13" s="2609"/>
      <c r="O13" s="2634"/>
      <c r="P13" s="2634"/>
      <c r="Q13" s="2635">
        <v>365</v>
      </c>
      <c r="R13" s="2636">
        <f t="shared" si="0"/>
        <v>0</v>
      </c>
      <c r="S13" s="2590"/>
      <c r="T13" s="2590"/>
      <c r="U13" s="2590"/>
      <c r="V13" s="2598"/>
    </row>
    <row r="14" spans="1:22" s="2602" customFormat="1" ht="13.15" customHeight="1">
      <c r="A14" s="2645" t="s">
        <v>2363</v>
      </c>
      <c r="B14" s="3501" t="s">
        <v>2364</v>
      </c>
      <c r="C14" s="3502"/>
      <c r="D14" s="2646">
        <f>ROUND(E14*B5/10000,0)</f>
        <v>0</v>
      </c>
      <c r="E14" s="2635"/>
      <c r="F14" s="2640" t="s">
        <v>2365</v>
      </c>
      <c r="G14" s="2641"/>
      <c r="H14" s="2597"/>
      <c r="I14" s="2598"/>
      <c r="J14" s="3495"/>
      <c r="K14" s="3498"/>
      <c r="L14" s="2652" t="s">
        <v>2366</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2367</v>
      </c>
      <c r="B15" s="3501" t="s">
        <v>2368</v>
      </c>
      <c r="C15" s="3502"/>
      <c r="D15" s="2646">
        <f>ROUND(D6*E15,0)</f>
        <v>0</v>
      </c>
      <c r="E15" s="2647">
        <v>5.5E-2</v>
      </c>
      <c r="F15" s="2640" t="s">
        <v>2369</v>
      </c>
      <c r="G15" s="2622"/>
      <c r="H15" s="2597"/>
      <c r="I15" s="2598"/>
      <c r="J15" s="3495">
        <v>2</v>
      </c>
      <c r="K15" s="3496" t="s">
        <v>2370</v>
      </c>
      <c r="L15" s="2632" t="s">
        <v>2371</v>
      </c>
      <c r="M15" s="2633" t="s">
        <v>2372</v>
      </c>
      <c r="N15" s="2633" t="s">
        <v>2373</v>
      </c>
      <c r="O15" s="2634" t="s">
        <v>2374</v>
      </c>
      <c r="P15" s="2634" t="s">
        <v>2336</v>
      </c>
      <c r="Q15" s="2609" t="s">
        <v>2375</v>
      </c>
      <c r="R15" s="2656" t="s">
        <v>2337</v>
      </c>
      <c r="S15" s="2590"/>
      <c r="T15" s="2590"/>
      <c r="U15" s="2590"/>
      <c r="V15" s="2598"/>
    </row>
    <row r="16" spans="1:22" s="2602" customFormat="1" ht="13.15" customHeight="1">
      <c r="A16" s="2645" t="s">
        <v>2376</v>
      </c>
      <c r="B16" s="3501" t="s">
        <v>2377</v>
      </c>
      <c r="C16" s="3502"/>
      <c r="D16" s="2657">
        <f>D6*E16</f>
        <v>0</v>
      </c>
      <c r="E16" s="2658"/>
      <c r="F16" s="2643" t="s">
        <v>2378</v>
      </c>
      <c r="G16" s="2622"/>
      <c r="H16" s="2597"/>
      <c r="I16" s="2598"/>
      <c r="J16" s="3495"/>
      <c r="K16" s="3497"/>
      <c r="L16" s="2632" t="s">
        <v>2379</v>
      </c>
      <c r="M16" s="2633"/>
      <c r="N16" s="2633"/>
      <c r="O16" s="2634"/>
      <c r="P16" s="2635">
        <v>365</v>
      </c>
      <c r="Q16" s="2609"/>
      <c r="R16" s="2656">
        <f>ROUND(M16*N16*O16*P16/10000,0)</f>
        <v>0</v>
      </c>
      <c r="S16" s="2590"/>
      <c r="T16" s="2590"/>
      <c r="U16" s="2590"/>
      <c r="V16" s="2598"/>
    </row>
    <row r="17" spans="1:22" s="2602" customFormat="1" ht="13.15" customHeight="1" thickBot="1">
      <c r="A17" s="2659">
        <v>4</v>
      </c>
      <c r="B17" s="3503" t="s">
        <v>2380</v>
      </c>
      <c r="C17" s="3504"/>
      <c r="D17" s="2660">
        <f>ROUND(D6*E17,0)</f>
        <v>0</v>
      </c>
      <c r="E17" s="2661"/>
      <c r="F17" s="2662" t="s">
        <v>2381</v>
      </c>
      <c r="G17" s="2622"/>
      <c r="H17" s="2597"/>
      <c r="I17" s="2598"/>
      <c r="J17" s="3495"/>
      <c r="K17" s="3497"/>
      <c r="L17" s="2632" t="s">
        <v>2382</v>
      </c>
      <c r="M17" s="2633"/>
      <c r="N17" s="2633"/>
      <c r="O17" s="2634"/>
      <c r="P17" s="2635">
        <v>365</v>
      </c>
      <c r="Q17" s="2609"/>
      <c r="R17" s="2656">
        <f>ROUND(M17*N17*O17*P17/10000,0)</f>
        <v>0</v>
      </c>
      <c r="S17" s="2590"/>
      <c r="T17" s="2590"/>
      <c r="U17" s="2590"/>
      <c r="V17" s="2598"/>
    </row>
    <row r="18" spans="1:22" s="2602" customFormat="1" ht="13.15" customHeight="1" thickBot="1">
      <c r="A18" s="2625" t="s">
        <v>2383</v>
      </c>
      <c r="B18" s="2626"/>
      <c r="C18" s="2626"/>
      <c r="D18" s="2663">
        <f>ROUND(D6*E18,0)</f>
        <v>0</v>
      </c>
      <c r="E18" s="2664"/>
      <c r="F18" s="2665" t="s">
        <v>2384</v>
      </c>
      <c r="G18" s="2622"/>
      <c r="H18" s="2597"/>
      <c r="I18" s="2598"/>
      <c r="J18" s="3495"/>
      <c r="K18" s="3497"/>
      <c r="L18" s="2632" t="s">
        <v>2385</v>
      </c>
      <c r="M18" s="2633"/>
      <c r="N18" s="2633"/>
      <c r="O18" s="2634"/>
      <c r="P18" s="2635">
        <v>365</v>
      </c>
      <c r="Q18" s="2609"/>
      <c r="R18" s="2656">
        <f>ROUND(M18*N18*O18*P18/10000,0)</f>
        <v>0</v>
      </c>
      <c r="S18" s="2590"/>
      <c r="T18" s="2590"/>
      <c r="U18" s="2590"/>
      <c r="V18" s="2598"/>
    </row>
    <row r="19" spans="1:22" s="2602" customFormat="1" ht="13.15" customHeight="1" thickBot="1">
      <c r="A19" s="2666" t="s">
        <v>2386</v>
      </c>
      <c r="B19" s="2620"/>
      <c r="C19" s="2620"/>
      <c r="D19" s="2620"/>
      <c r="E19" s="2620"/>
      <c r="F19" s="2621"/>
      <c r="G19" s="2641"/>
      <c r="H19" s="2597"/>
      <c r="I19" s="2598"/>
      <c r="J19" s="3495"/>
      <c r="K19" s="3498"/>
      <c r="L19" s="2652" t="s">
        <v>2366</v>
      </c>
      <c r="M19" s="2653"/>
      <c r="N19" s="2653">
        <f>SUM(N16:N18)</f>
        <v>0</v>
      </c>
      <c r="O19" s="2654"/>
      <c r="P19" s="2667" t="s">
        <v>2430</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95">
        <v>3</v>
      </c>
      <c r="K20" s="3496" t="s">
        <v>2387</v>
      </c>
      <c r="L20" s="2632" t="s">
        <v>2388</v>
      </c>
      <c r="M20" s="2633" t="s">
        <v>2389</v>
      </c>
      <c r="N20" s="2670" t="s">
        <v>2390</v>
      </c>
      <c r="O20" s="2634" t="s">
        <v>2391</v>
      </c>
      <c r="P20" s="2635" t="s">
        <v>2392</v>
      </c>
      <c r="Q20" s="2609" t="s">
        <v>2393</v>
      </c>
      <c r="R20" s="2656" t="s">
        <v>2394</v>
      </c>
      <c r="S20" s="2590"/>
      <c r="T20" s="2590"/>
      <c r="U20" s="2590"/>
      <c r="V20" s="2598"/>
    </row>
    <row r="21" spans="1:22" s="2602" customFormat="1" ht="13.15" customHeight="1">
      <c r="A21" s="2625"/>
      <c r="B21" s="2626"/>
      <c r="C21" s="2671" t="s">
        <v>2395</v>
      </c>
      <c r="D21" s="2672" t="s">
        <v>2396</v>
      </c>
      <c r="E21" s="2673" t="s">
        <v>2397</v>
      </c>
      <c r="F21" s="2669"/>
      <c r="G21" s="2641"/>
      <c r="H21" s="2597"/>
      <c r="I21" s="2598"/>
      <c r="J21" s="3495"/>
      <c r="K21" s="3497"/>
      <c r="L21" s="2632" t="s">
        <v>2398</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2399</v>
      </c>
      <c r="D22" s="2676" t="s">
        <v>2400</v>
      </c>
      <c r="E22" s="2677" t="s">
        <v>2401</v>
      </c>
      <c r="F22" s="2669"/>
      <c r="G22" s="2590"/>
      <c r="H22" s="2597"/>
      <c r="I22" s="2598"/>
      <c r="J22" s="3495"/>
      <c r="K22" s="3497"/>
      <c r="L22" s="2632" t="s">
        <v>2402</v>
      </c>
      <c r="M22" s="2633"/>
      <c r="N22" s="2633"/>
      <c r="O22" s="2634"/>
      <c r="P22" s="2635">
        <v>365</v>
      </c>
      <c r="Q22" s="2609"/>
      <c r="R22" s="2674">
        <f>ROUND(M22*N22*O22*P22/10000,0)</f>
        <v>0</v>
      </c>
      <c r="S22" s="2590"/>
      <c r="T22" s="2590"/>
      <c r="U22" s="2590"/>
      <c r="V22" s="2598"/>
    </row>
    <row r="23" spans="1:22" s="2602" customFormat="1" ht="13.15" customHeight="1">
      <c r="A23" s="2678">
        <v>1</v>
      </c>
      <c r="B23" s="2679" t="s">
        <v>2403</v>
      </c>
      <c r="C23" s="2680">
        <f>D6</f>
        <v>0</v>
      </c>
      <c r="D23" s="2681">
        <f>C23*(1+D24)</f>
        <v>0</v>
      </c>
      <c r="E23" s="2682">
        <f>D23*(1+E24)</f>
        <v>0</v>
      </c>
      <c r="F23" s="2683"/>
      <c r="G23" s="2684"/>
      <c r="H23" s="2597"/>
      <c r="I23" s="2598"/>
      <c r="J23" s="3495"/>
      <c r="K23" s="3497"/>
      <c r="L23" s="2632" t="s">
        <v>2404</v>
      </c>
      <c r="M23" s="2633"/>
      <c r="N23" s="2633"/>
      <c r="O23" s="2634"/>
      <c r="P23" s="2635">
        <v>365</v>
      </c>
      <c r="Q23" s="2609"/>
      <c r="R23" s="2674">
        <f>ROUND(M23*N23*O23*P23/10000,0)</f>
        <v>0</v>
      </c>
      <c r="S23" s="2590"/>
      <c r="T23" s="2590"/>
      <c r="U23" s="2590"/>
      <c r="V23" s="2598"/>
    </row>
    <row r="24" spans="1:22" s="2602" customFormat="1" ht="13.15" customHeight="1">
      <c r="A24" s="2685"/>
      <c r="B24" s="2686" t="s">
        <v>2405</v>
      </c>
      <c r="C24" s="2687"/>
      <c r="D24" s="2688"/>
      <c r="E24" s="2689"/>
      <c r="F24" s="2690"/>
      <c r="G24" s="2684"/>
      <c r="H24" s="2597"/>
      <c r="I24" s="2598"/>
      <c r="J24" s="3495"/>
      <c r="K24" s="3498"/>
      <c r="L24" s="2652" t="s">
        <v>2366</v>
      </c>
      <c r="M24" s="2653">
        <f>SUM(M21:M23)</f>
        <v>0</v>
      </c>
      <c r="N24" s="2653"/>
      <c r="O24" s="2654"/>
      <c r="P24" s="2667" t="s">
        <v>2430</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2406</v>
      </c>
      <c r="L25" s="2693"/>
      <c r="M25" s="2693"/>
      <c r="N25" s="2693"/>
      <c r="O25" s="2693"/>
      <c r="P25" s="2694"/>
      <c r="Q25" s="2695">
        <v>0</v>
      </c>
      <c r="R25" s="2668">
        <f>ROUND(R14*Q25,0)</f>
        <v>0</v>
      </c>
      <c r="S25" s="2590"/>
      <c r="T25" s="2590"/>
      <c r="U25" s="2590"/>
      <c r="V25" s="2696"/>
    </row>
    <row r="26" spans="1:22" s="2697" customFormat="1" ht="13.15" customHeight="1">
      <c r="A26" s="2678">
        <v>2</v>
      </c>
      <c r="B26" s="2679" t="s">
        <v>2407</v>
      </c>
      <c r="C26" s="2680">
        <f>D7</f>
        <v>0</v>
      </c>
      <c r="D26" s="2681">
        <f>D23*D27</f>
        <v>0</v>
      </c>
      <c r="E26" s="2682">
        <f>E23*E27</f>
        <v>0</v>
      </c>
      <c r="F26" s="2683"/>
      <c r="G26" s="2684"/>
      <c r="H26" s="2597"/>
      <c r="I26" s="2598"/>
      <c r="J26" s="3505">
        <v>5</v>
      </c>
      <c r="K26" s="2698" t="s">
        <v>2408</v>
      </c>
      <c r="L26" s="2699"/>
      <c r="M26" s="2700"/>
      <c r="N26" s="2701" t="s">
        <v>2409</v>
      </c>
      <c r="O26" s="2701" t="s">
        <v>2410</v>
      </c>
      <c r="P26" s="2702" t="s">
        <v>2411</v>
      </c>
      <c r="Q26" s="2702" t="s">
        <v>2412</v>
      </c>
      <c r="R26" s="2607" t="s">
        <v>2337</v>
      </c>
      <c r="S26" s="2641"/>
      <c r="T26" s="2641"/>
      <c r="U26" s="2641"/>
      <c r="V26" s="2696"/>
    </row>
    <row r="27" spans="1:22" s="2602" customFormat="1" ht="13.15" customHeight="1">
      <c r="A27" s="2685"/>
      <c r="B27" s="2686" t="s">
        <v>2413</v>
      </c>
      <c r="C27" s="2703" t="e">
        <f>E7</f>
        <v>#DIV/0!</v>
      </c>
      <c r="D27" s="2688"/>
      <c r="E27" s="2689"/>
      <c r="F27" s="2690"/>
      <c r="G27" s="2684"/>
      <c r="H27" s="2704"/>
      <c r="I27" s="2696"/>
      <c r="J27" s="3506"/>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2414</v>
      </c>
      <c r="F28" s="2690"/>
      <c r="G28" s="2590"/>
      <c r="H28" s="2704"/>
      <c r="I28" s="2696"/>
      <c r="J28" s="2710">
        <v>6</v>
      </c>
      <c r="K28" s="2711" t="s">
        <v>2415</v>
      </c>
      <c r="L28" s="2712" t="s">
        <v>2416</v>
      </c>
      <c r="M28" s="2713"/>
      <c r="N28" s="2712" t="s">
        <v>2417</v>
      </c>
      <c r="O28" s="2714"/>
      <c r="P28" s="2712" t="s">
        <v>2418</v>
      </c>
      <c r="Q28" s="2715">
        <v>1.4999999999999999E-2</v>
      </c>
      <c r="R28" s="2716"/>
      <c r="S28" s="2590"/>
      <c r="T28" s="2590"/>
      <c r="U28" s="2590"/>
      <c r="V28" s="2696"/>
    </row>
    <row r="29" spans="1:22" s="2697" customFormat="1" ht="13.15" customHeight="1">
      <c r="A29" s="2678">
        <v>3</v>
      </c>
      <c r="B29" s="2679" t="s">
        <v>2419</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2413</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2420</v>
      </c>
      <c r="K31" s="2588"/>
      <c r="L31" s="2588"/>
      <c r="M31" s="2588"/>
      <c r="N31" s="2588"/>
      <c r="O31" s="2588"/>
      <c r="P31" s="2588"/>
      <c r="Q31" s="2588"/>
      <c r="R31" s="2589"/>
      <c r="S31" s="2590"/>
      <c r="T31" s="2590"/>
      <c r="U31" s="2590"/>
      <c r="V31" s="2696"/>
    </row>
    <row r="32" spans="1:22" s="2697" customFormat="1" ht="13.15" customHeight="1">
      <c r="A32" s="2678">
        <v>4</v>
      </c>
      <c r="B32" s="2679" t="s">
        <v>2421</v>
      </c>
      <c r="C32" s="2680">
        <f>C23-C26-C29</f>
        <v>0</v>
      </c>
      <c r="D32" s="2681">
        <f>D23-D26-D29</f>
        <v>0</v>
      </c>
      <c r="E32" s="2682">
        <f>E23-E26-E29</f>
        <v>0</v>
      </c>
      <c r="F32" s="2683"/>
      <c r="G32" s="2590"/>
      <c r="H32" s="2597"/>
      <c r="I32" s="2598"/>
      <c r="J32" s="3488" t="s">
        <v>2313</v>
      </c>
      <c r="K32" s="3489"/>
      <c r="L32" s="2599" t="s">
        <v>2314</v>
      </c>
      <c r="M32" s="2599" t="s">
        <v>2315</v>
      </c>
      <c r="N32" s="2599" t="s">
        <v>2316</v>
      </c>
      <c r="O32" s="2599" t="s">
        <v>2317</v>
      </c>
      <c r="P32" s="2599" t="s">
        <v>2318</v>
      </c>
      <c r="Q32" s="2600" t="s">
        <v>2319</v>
      </c>
      <c r="R32" s="2719" t="s">
        <v>2320</v>
      </c>
      <c r="S32" s="2590"/>
      <c r="T32" s="2590"/>
      <c r="U32" s="2590"/>
      <c r="V32" s="2696"/>
    </row>
    <row r="33" spans="1:23" s="2602" customFormat="1" ht="13.15" customHeight="1">
      <c r="A33" s="2678"/>
      <c r="B33" s="2679"/>
      <c r="C33" s="2680"/>
      <c r="D33" s="2720"/>
      <c r="E33" s="2721"/>
      <c r="F33" s="2683"/>
      <c r="G33" s="2590"/>
      <c r="H33" s="2704"/>
      <c r="I33" s="2696"/>
      <c r="J33" s="3490" t="s">
        <v>2323</v>
      </c>
      <c r="K33" s="3491"/>
      <c r="L33" s="2605"/>
      <c r="M33" s="2605"/>
      <c r="N33" s="2605"/>
      <c r="O33" s="2605"/>
      <c r="P33" s="2605"/>
      <c r="Q33" s="2606"/>
      <c r="R33" s="2722">
        <f>SUM(L33:Q33)</f>
        <v>0</v>
      </c>
      <c r="S33" s="2590"/>
      <c r="T33" s="2590"/>
      <c r="U33" s="2590"/>
      <c r="V33" s="2598"/>
    </row>
    <row r="34" spans="1:23" s="2602" customFormat="1" ht="13.15" customHeight="1">
      <c r="A34" s="2678">
        <v>5</v>
      </c>
      <c r="B34" s="2679" t="s">
        <v>2422</v>
      </c>
      <c r="C34" s="2723"/>
      <c r="D34" s="2724"/>
      <c r="E34" s="2725"/>
      <c r="F34" s="2683"/>
      <c r="G34" s="2590"/>
      <c r="H34" s="2704"/>
      <c r="I34" s="2696"/>
      <c r="J34" s="3490" t="s">
        <v>2325</v>
      </c>
      <c r="K34" s="3491"/>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2423</v>
      </c>
      <c r="C35" s="2727"/>
      <c r="D35" s="2728"/>
      <c r="E35" s="2729"/>
      <c r="F35" s="2683"/>
      <c r="G35" s="2730"/>
      <c r="H35" s="2597"/>
      <c r="I35" s="2696"/>
      <c r="J35" s="2616" t="s">
        <v>2327</v>
      </c>
      <c r="K35" s="2617"/>
      <c r="L35" s="2617"/>
      <c r="M35" s="2618"/>
      <c r="N35" s="2618"/>
      <c r="O35" s="2618"/>
      <c r="P35" s="2618"/>
      <c r="Q35" s="2618"/>
      <c r="R35" s="2731">
        <f>R40+R41+R43</f>
        <v>0</v>
      </c>
      <c r="S35" s="2590"/>
      <c r="T35" s="2590" t="s">
        <v>2328</v>
      </c>
      <c r="U35" s="2590"/>
      <c r="V35" s="2598"/>
    </row>
    <row r="36" spans="1:23" s="2602" customFormat="1" ht="13.15" customHeight="1" thickBot="1">
      <c r="A36" s="2678">
        <v>7</v>
      </c>
      <c r="B36" s="2732" t="s">
        <v>2424</v>
      </c>
      <c r="C36" s="2733"/>
      <c r="D36" s="2734"/>
      <c r="E36" s="2735"/>
      <c r="F36" s="2736">
        <f>C36+D36+E36</f>
        <v>0</v>
      </c>
      <c r="G36" s="2590"/>
      <c r="H36" s="2597"/>
      <c r="I36" s="2598"/>
      <c r="J36" s="3495">
        <v>1</v>
      </c>
      <c r="K36" s="3496" t="s">
        <v>2425</v>
      </c>
      <c r="L36" s="2623"/>
      <c r="M36" s="2624"/>
      <c r="N36" s="2624"/>
      <c r="O36" s="2624"/>
      <c r="P36" s="2624"/>
      <c r="Q36" s="2624"/>
      <c r="R36" s="2607" t="s">
        <v>2337</v>
      </c>
      <c r="S36" s="2590"/>
      <c r="T36" s="2590" t="s">
        <v>2338</v>
      </c>
      <c r="U36" s="2590"/>
      <c r="V36" s="2598"/>
    </row>
    <row r="37" spans="1:23" s="2602" customFormat="1" ht="13.15" customHeight="1">
      <c r="A37" s="2678"/>
      <c r="B37" s="2679"/>
      <c r="C37" s="2679"/>
      <c r="D37" s="2679"/>
      <c r="E37" s="2679"/>
      <c r="F37" s="2683"/>
      <c r="G37" s="2590"/>
      <c r="H37" s="2597"/>
      <c r="I37" s="2598"/>
      <c r="J37" s="3495"/>
      <c r="K37" s="3497"/>
      <c r="L37" s="2632"/>
      <c r="M37" s="2633"/>
      <c r="N37" s="2609"/>
      <c r="O37" s="2634"/>
      <c r="P37" s="2634"/>
      <c r="Q37" s="2635"/>
      <c r="R37" s="2636"/>
      <c r="S37" s="2590"/>
      <c r="T37" s="2590" t="s">
        <v>2341</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95"/>
      <c r="K38" s="3497"/>
      <c r="L38" s="2632"/>
      <c r="M38" s="2633"/>
      <c r="N38" s="2609"/>
      <c r="O38" s="2634"/>
      <c r="P38" s="2634"/>
      <c r="Q38" s="2635"/>
      <c r="R38" s="2636"/>
      <c r="S38" s="2590"/>
      <c r="T38" s="2590" t="s">
        <v>2348</v>
      </c>
      <c r="U38" s="2590"/>
      <c r="V38" s="2598"/>
    </row>
    <row r="39" spans="1:23" s="2602" customFormat="1" ht="13.15" customHeight="1">
      <c r="A39" s="2678">
        <v>9</v>
      </c>
      <c r="B39" s="2679" t="s">
        <v>2426</v>
      </c>
      <c r="C39" s="2646" t="e">
        <f>C38</f>
        <v>#DIV/0!</v>
      </c>
      <c r="D39" s="2679">
        <f>D38/(1+D34)^C36</f>
        <v>0</v>
      </c>
      <c r="E39" s="2679">
        <f>E38/(1+E34)^(C36+D36)</f>
        <v>0</v>
      </c>
      <c r="F39" s="2683"/>
      <c r="G39" s="2598"/>
      <c r="H39" s="2597"/>
      <c r="I39" s="2598"/>
      <c r="J39" s="3495"/>
      <c r="K39" s="3497"/>
      <c r="L39" s="2632"/>
      <c r="M39" s="2633"/>
      <c r="N39" s="2609"/>
      <c r="O39" s="2634"/>
      <c r="P39" s="2634"/>
      <c r="Q39" s="2635"/>
      <c r="R39" s="2636"/>
      <c r="S39" s="2590"/>
      <c r="T39" s="2590"/>
      <c r="U39" s="2590"/>
      <c r="V39" s="2598"/>
    </row>
    <row r="40" spans="1:23" s="2602" customFormat="1" ht="13.15" customHeight="1">
      <c r="A40" s="2737">
        <v>10</v>
      </c>
      <c r="B40" s="2679" t="s">
        <v>2427</v>
      </c>
      <c r="C40" s="2738" t="e">
        <f>C39+D39+E39</f>
        <v>#DIV/0!</v>
      </c>
      <c r="D40" s="2739"/>
      <c r="E40" s="2739"/>
      <c r="F40" s="2740"/>
      <c r="G40" s="2590"/>
      <c r="H40" s="2597"/>
      <c r="I40" s="2598"/>
      <c r="J40" s="3495"/>
      <c r="K40" s="3498"/>
      <c r="L40" s="2652" t="s">
        <v>2366</v>
      </c>
      <c r="M40" s="2653"/>
      <c r="N40" s="2653"/>
      <c r="O40" s="2654"/>
      <c r="P40" s="2654"/>
      <c r="Q40" s="2655"/>
      <c r="R40" s="2601">
        <f>SUM(R37:R39)</f>
        <v>0</v>
      </c>
      <c r="S40" s="2590"/>
      <c r="T40" s="2590"/>
      <c r="U40" s="2590"/>
      <c r="V40" s="2598"/>
    </row>
    <row r="41" spans="1:23" s="2602" customFormat="1" ht="13.15" customHeight="1" thickBot="1">
      <c r="A41" s="2741">
        <v>11</v>
      </c>
      <c r="B41" s="2742" t="s">
        <v>2428</v>
      </c>
      <c r="C41" s="2742" t="e">
        <f>ROUND(C40*10000/B4,0)</f>
        <v>#DIV/0!</v>
      </c>
      <c r="D41" s="2743"/>
      <c r="E41" s="2743"/>
      <c r="F41" s="2744"/>
      <c r="G41" s="2597"/>
      <c r="H41" s="2597"/>
      <c r="I41" s="2598"/>
      <c r="J41" s="2691">
        <v>2</v>
      </c>
      <c r="K41" s="2692" t="s">
        <v>2406</v>
      </c>
      <c r="L41" s="2693"/>
      <c r="M41" s="2693"/>
      <c r="N41" s="2693"/>
      <c r="O41" s="2693"/>
      <c r="P41" s="2694"/>
      <c r="Q41" s="2695"/>
      <c r="R41" s="2668">
        <f>ROUND(R40*Q41,0)</f>
        <v>0</v>
      </c>
      <c r="S41" s="2590"/>
      <c r="T41" s="2590"/>
      <c r="U41" s="2641"/>
      <c r="V41" s="2598"/>
    </row>
    <row r="42" spans="1:23" s="2602" customFormat="1" ht="13.15" customHeight="1">
      <c r="G42" s="2597"/>
      <c r="H42" s="2597"/>
      <c r="I42" s="2598"/>
      <c r="J42" s="3505">
        <v>3</v>
      </c>
      <c r="K42" s="2698" t="s">
        <v>2408</v>
      </c>
      <c r="L42" s="2699"/>
      <c r="M42" s="2700"/>
      <c r="N42" s="2701" t="s">
        <v>2409</v>
      </c>
      <c r="O42" s="2701" t="s">
        <v>2410</v>
      </c>
      <c r="P42" s="2702" t="s">
        <v>2411</v>
      </c>
      <c r="Q42" s="2702" t="s">
        <v>2412</v>
      </c>
      <c r="R42" s="2607" t="s">
        <v>2337</v>
      </c>
      <c r="S42" s="2641"/>
      <c r="T42" s="2641"/>
      <c r="U42" s="2590"/>
      <c r="V42" s="2598"/>
    </row>
    <row r="43" spans="1:23" ht="13.15" customHeight="1">
      <c r="A43" s="2602"/>
      <c r="B43" s="2602"/>
      <c r="C43" s="2602"/>
      <c r="D43" s="2602"/>
      <c r="E43" s="2602"/>
      <c r="F43" s="2602"/>
      <c r="I43" s="2585"/>
      <c r="J43" s="3506"/>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2415</v>
      </c>
      <c r="L44" s="2747" t="s">
        <v>2416</v>
      </c>
      <c r="M44" s="2713"/>
      <c r="N44" s="2747" t="s">
        <v>2417</v>
      </c>
      <c r="O44" s="2713"/>
      <c r="P44" s="2747" t="s">
        <v>2418</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7"/>
      <c r="G1" s="459"/>
      <c r="H1" s="459"/>
      <c r="I1" s="459"/>
      <c r="J1" s="459"/>
      <c r="K1" s="459"/>
      <c r="L1" s="459"/>
      <c r="M1" s="459"/>
      <c r="N1" s="459"/>
      <c r="O1" s="459"/>
      <c r="P1" s="459"/>
      <c r="Q1" s="459"/>
      <c r="R1" s="459"/>
      <c r="S1" s="459"/>
    </row>
    <row r="2" spans="1:22" ht="15.5">
      <c r="A2" s="1728" t="s">
        <v>1462</v>
      </c>
      <c r="B2" s="811">
        <f ca="1">SUMIF(B6:B13,"&lt;&gt;#ref!",B6:B13)</f>
        <v>111100</v>
      </c>
      <c r="C2" s="1729" t="s">
        <v>1651</v>
      </c>
      <c r="D2" s="1730" t="s">
        <v>1652</v>
      </c>
      <c r="E2" s="2391">
        <f>SUM(E6:E13)</f>
        <v>55858.959999999977</v>
      </c>
      <c r="F2" s="2477"/>
      <c r="G2" s="459"/>
      <c r="H2" s="459"/>
      <c r="I2" s="459"/>
      <c r="J2" s="459"/>
      <c r="K2" s="459"/>
      <c r="L2" s="459"/>
      <c r="M2" s="459"/>
      <c r="N2" s="459"/>
      <c r="O2" s="459"/>
      <c r="P2" s="459"/>
      <c r="Q2" s="459"/>
      <c r="R2" s="459"/>
      <c r="S2" s="459"/>
    </row>
    <row r="3" spans="1:22" ht="15.5">
      <c r="A3" s="1728" t="s">
        <v>686</v>
      </c>
      <c r="B3" s="2385">
        <f ca="1">ROUND(B2*10000/E2,0)</f>
        <v>19889</v>
      </c>
      <c r="C3" s="1729" t="s">
        <v>1659</v>
      </c>
      <c r="D3" s="2477"/>
      <c r="E3" s="2480"/>
      <c r="F3" s="2477"/>
      <c r="G3" s="459"/>
      <c r="H3" s="459"/>
      <c r="I3" s="459"/>
      <c r="J3" s="459"/>
      <c r="K3" s="459"/>
      <c r="L3" s="459"/>
      <c r="M3" s="459"/>
      <c r="N3" s="459"/>
      <c r="O3" s="459"/>
      <c r="P3" s="459"/>
      <c r="Q3" s="459"/>
      <c r="R3" s="459"/>
      <c r="S3" s="459"/>
    </row>
    <row r="4" spans="1:22" ht="15.5">
      <c r="A4" s="2481"/>
      <c r="B4" s="2477"/>
      <c r="C4" s="2477"/>
      <c r="D4" s="2477"/>
      <c r="E4" s="2480"/>
      <c r="F4" s="2477"/>
      <c r="G4" s="459"/>
      <c r="H4" s="459"/>
      <c r="I4" s="459"/>
      <c r="J4" s="459"/>
      <c r="K4" s="459"/>
      <c r="L4" s="459"/>
      <c r="M4" s="459"/>
      <c r="N4" s="459"/>
      <c r="O4" s="459"/>
      <c r="P4" s="459"/>
      <c r="Q4" s="459"/>
      <c r="R4" s="459"/>
      <c r="S4" s="459"/>
    </row>
    <row r="5" spans="1:22">
      <c r="A5" s="2387" t="s">
        <v>1653</v>
      </c>
      <c r="B5" s="3507" t="s">
        <v>1654</v>
      </c>
      <c r="C5" s="3508"/>
      <c r="D5" s="2478"/>
      <c r="E5" s="1731" t="s">
        <v>1655</v>
      </c>
      <c r="F5" s="129" t="s">
        <v>1656</v>
      </c>
      <c r="G5" s="459"/>
      <c r="H5" s="459"/>
      <c r="I5" s="459"/>
      <c r="J5" s="459"/>
      <c r="K5" s="459"/>
      <c r="L5" s="459"/>
      <c r="M5" s="459"/>
      <c r="N5" s="459"/>
      <c r="O5" s="459"/>
      <c r="P5" s="459"/>
      <c r="Q5" s="459"/>
      <c r="R5" s="459"/>
      <c r="S5" s="459"/>
    </row>
    <row r="6" spans="1:22">
      <c r="A6" s="2388" t="str">
        <f>'数据-取费表'!AN6</f>
        <v>收益法</v>
      </c>
      <c r="B6" s="2386">
        <f ca="1">IF(F6="是",'数据-取费表'!AO6,0)</f>
        <v>111100</v>
      </c>
      <c r="C6" s="1729" t="s">
        <v>1651</v>
      </c>
      <c r="D6" s="2477"/>
      <c r="E6" s="2390">
        <f>IF(OR(A6=0,F6="否"),0,'数据-取费表'!K6+'数据-取费表'!S6)</f>
        <v>55858.959999999977</v>
      </c>
      <c r="F6" s="1732"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55858.959999999992</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c r="A4" s="345" t="s">
        <v>1666</v>
      </c>
      <c r="B4" s="346"/>
      <c r="C4" s="3454" t="s">
        <v>1667</v>
      </c>
      <c r="D4" s="3455"/>
      <c r="E4" s="3456" t="s">
        <v>1668</v>
      </c>
      <c r="F4" s="3457"/>
      <c r="G4" s="3454" t="s">
        <v>1669</v>
      </c>
      <c r="H4" s="3455"/>
      <c r="I4" s="3454" t="s">
        <v>1670</v>
      </c>
      <c r="J4" s="3455"/>
      <c r="K4" s="1744" t="s">
        <v>1671</v>
      </c>
      <c r="L4" s="2484"/>
      <c r="M4" s="2485"/>
      <c r="N4" s="2485"/>
      <c r="O4" s="2485"/>
      <c r="P4" s="3512" t="s">
        <v>1672</v>
      </c>
      <c r="Q4" s="3513"/>
      <c r="R4" s="3510" t="s">
        <v>1668</v>
      </c>
      <c r="S4" s="3511"/>
      <c r="T4" s="3510" t="s">
        <v>1669</v>
      </c>
      <c r="U4" s="3511"/>
      <c r="V4" s="3467" t="s">
        <v>1670</v>
      </c>
      <c r="W4" s="3467"/>
      <c r="X4" s="1265"/>
      <c r="Y4" s="3510" t="s">
        <v>1672</v>
      </c>
      <c r="Z4" s="3511"/>
      <c r="AA4" s="3509" t="s">
        <v>1668</v>
      </c>
      <c r="AB4" s="3509" t="s">
        <v>1669</v>
      </c>
      <c r="AC4" s="3509" t="s">
        <v>1670</v>
      </c>
    </row>
    <row r="5" spans="1:29">
      <c r="A5" s="348"/>
      <c r="B5" s="349"/>
      <c r="C5" s="3446" t="s">
        <v>1673</v>
      </c>
      <c r="D5" s="3443"/>
      <c r="E5" s="3440" t="s">
        <v>1674</v>
      </c>
      <c r="F5" s="3441"/>
      <c r="G5" s="3446" t="s">
        <v>1675</v>
      </c>
      <c r="H5" s="3443"/>
      <c r="I5" s="3446" t="s">
        <v>1676</v>
      </c>
      <c r="J5" s="3443"/>
      <c r="K5" s="1745"/>
      <c r="L5" s="2484"/>
      <c r="M5" s="2485"/>
      <c r="N5" s="2485"/>
      <c r="O5" s="2485"/>
      <c r="P5" s="3514"/>
      <c r="Q5" s="3461"/>
      <c r="R5" s="3438"/>
      <c r="S5" s="3439"/>
      <c r="T5" s="3438"/>
      <c r="U5" s="3439"/>
      <c r="V5" s="3467"/>
      <c r="W5" s="3467"/>
      <c r="X5" s="1265"/>
      <c r="Y5" s="3438"/>
      <c r="Z5" s="3439"/>
      <c r="AA5" s="3432"/>
      <c r="AB5" s="3432"/>
      <c r="AC5" s="3432"/>
    </row>
    <row r="6" spans="1:29" ht="15" thickBot="1">
      <c r="A6" s="350"/>
      <c r="B6" s="351"/>
      <c r="C6" s="3449" t="s">
        <v>1677</v>
      </c>
      <c r="D6" s="3445"/>
      <c r="E6" s="3447" t="s">
        <v>1677</v>
      </c>
      <c r="F6" s="3448"/>
      <c r="G6" s="3449" t="s">
        <v>1677</v>
      </c>
      <c r="H6" s="3445"/>
      <c r="I6" s="3449" t="s">
        <v>1677</v>
      </c>
      <c r="J6" s="3445"/>
      <c r="K6" s="1745" t="s">
        <v>1678</v>
      </c>
      <c r="L6" s="2484"/>
      <c r="M6" s="2485"/>
      <c r="N6" s="2485"/>
      <c r="O6" s="2485"/>
      <c r="P6" s="3515"/>
      <c r="Q6" s="3463"/>
      <c r="R6" s="3438"/>
      <c r="S6" s="3439"/>
      <c r="T6" s="3464"/>
      <c r="U6" s="3465"/>
      <c r="V6" s="3467"/>
      <c r="W6" s="3467"/>
      <c r="X6" s="1265"/>
      <c r="Y6" s="3464"/>
      <c r="Z6" s="3465"/>
      <c r="AA6" s="3433"/>
      <c r="AB6" s="3433"/>
      <c r="AC6" s="3433"/>
    </row>
    <row r="7" spans="1:29" s="102" customFormat="1" ht="14.5" thickBot="1">
      <c r="A7" s="352" t="s">
        <v>1679</v>
      </c>
      <c r="B7" s="353"/>
      <c r="C7" s="354">
        <f>'数据-取费表'!B2</f>
        <v>45901</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34" t="s">
        <v>1680</v>
      </c>
      <c r="Q7" s="3469"/>
      <c r="R7" s="664" t="s">
        <v>20</v>
      </c>
      <c r="S7" s="665">
        <f t="shared" ref="S7:S15" si="0">F7</f>
        <v>0</v>
      </c>
      <c r="T7" s="664" t="s">
        <v>20</v>
      </c>
      <c r="U7" s="665">
        <f t="shared" ref="U7:U15" si="1">H7</f>
        <v>0</v>
      </c>
      <c r="V7" s="664" t="s">
        <v>20</v>
      </c>
      <c r="W7" s="665">
        <f t="shared" ref="W7:W15" si="2">J7</f>
        <v>0</v>
      </c>
      <c r="X7" s="666"/>
      <c r="Y7" s="3434" t="s">
        <v>1680</v>
      </c>
      <c r="Z7" s="3435"/>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34" t="s">
        <v>1683</v>
      </c>
      <c r="Q8" s="3435"/>
      <c r="R8" s="664" t="s">
        <v>20</v>
      </c>
      <c r="S8" s="665">
        <f t="shared" si="0"/>
        <v>100</v>
      </c>
      <c r="T8" s="664" t="s">
        <v>20</v>
      </c>
      <c r="U8" s="665">
        <f t="shared" si="1"/>
        <v>100</v>
      </c>
      <c r="V8" s="664" t="s">
        <v>20</v>
      </c>
      <c r="W8" s="665">
        <f t="shared" si="2"/>
        <v>100</v>
      </c>
      <c r="X8" s="666"/>
      <c r="Y8" s="3434" t="s">
        <v>1683</v>
      </c>
      <c r="Z8" s="3435"/>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450" t="s">
        <v>1686</v>
      </c>
      <c r="Q9" s="530" t="str">
        <f t="shared" ref="Q9:Q15" si="6">B9</f>
        <v>用途</v>
      </c>
      <c r="R9" s="664" t="s">
        <v>14</v>
      </c>
      <c r="S9" s="665">
        <f t="shared" si="0"/>
        <v>100</v>
      </c>
      <c r="T9" s="664" t="s">
        <v>14</v>
      </c>
      <c r="U9" s="665">
        <f t="shared" si="1"/>
        <v>100</v>
      </c>
      <c r="V9" s="664" t="s">
        <v>14</v>
      </c>
      <c r="W9" s="665">
        <f t="shared" si="2"/>
        <v>100</v>
      </c>
      <c r="X9" s="666"/>
      <c r="Y9" s="3404" t="s">
        <v>1687</v>
      </c>
      <c r="Z9" s="50" t="str">
        <f t="shared" ref="Z9:Z15" si="7">Q9</f>
        <v>用途</v>
      </c>
      <c r="AA9" s="50">
        <f t="shared" si="3"/>
        <v>1</v>
      </c>
      <c r="AB9" s="50">
        <f t="shared" si="4"/>
        <v>1</v>
      </c>
      <c r="AC9" s="50">
        <f t="shared" si="5"/>
        <v>1</v>
      </c>
    </row>
    <row r="10" spans="1:29" s="366" customFormat="1" ht="2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450"/>
      <c r="Q10" s="530" t="str">
        <f t="shared" si="6"/>
        <v>土地使用年限（年）</v>
      </c>
      <c r="R10" s="664" t="s">
        <v>14</v>
      </c>
      <c r="S10" s="665">
        <f t="shared" si="0"/>
        <v>100</v>
      </c>
      <c r="T10" s="664" t="s">
        <v>14</v>
      </c>
      <c r="U10" s="665">
        <f t="shared" si="1"/>
        <v>100</v>
      </c>
      <c r="V10" s="664" t="s">
        <v>14</v>
      </c>
      <c r="W10" s="665">
        <f t="shared" si="2"/>
        <v>100</v>
      </c>
      <c r="X10" s="666"/>
      <c r="Y10" s="3404"/>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450"/>
      <c r="Q11" s="530" t="str">
        <f t="shared" si="6"/>
        <v>容积率</v>
      </c>
      <c r="R11" s="664" t="s">
        <v>18</v>
      </c>
      <c r="S11" s="665" t="e">
        <f t="shared" si="0"/>
        <v>#N/A</v>
      </c>
      <c r="T11" s="664" t="s">
        <v>18</v>
      </c>
      <c r="U11" s="665" t="e">
        <f t="shared" si="1"/>
        <v>#N/A</v>
      </c>
      <c r="V11" s="664" t="s">
        <v>18</v>
      </c>
      <c r="W11" s="665" t="e">
        <f t="shared" si="2"/>
        <v>#N/A</v>
      </c>
      <c r="X11" s="666"/>
      <c r="Y11" s="3404"/>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450"/>
      <c r="Q12" s="530">
        <f t="shared" si="6"/>
        <v>111</v>
      </c>
      <c r="R12" s="664" t="s">
        <v>18</v>
      </c>
      <c r="S12" s="665">
        <f t="shared" si="0"/>
        <v>100</v>
      </c>
      <c r="T12" s="664" t="s">
        <v>18</v>
      </c>
      <c r="U12" s="665">
        <f t="shared" si="1"/>
        <v>100</v>
      </c>
      <c r="V12" s="664" t="s">
        <v>18</v>
      </c>
      <c r="W12" s="665">
        <f t="shared" si="2"/>
        <v>100</v>
      </c>
      <c r="X12" s="666"/>
      <c r="Y12" s="3404"/>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450"/>
      <c r="Q13" s="530">
        <f t="shared" si="6"/>
        <v>111</v>
      </c>
      <c r="R13" s="664" t="s">
        <v>18</v>
      </c>
      <c r="S13" s="665">
        <f t="shared" si="0"/>
        <v>100</v>
      </c>
      <c r="T13" s="664" t="s">
        <v>18</v>
      </c>
      <c r="U13" s="665">
        <f t="shared" si="1"/>
        <v>100</v>
      </c>
      <c r="V13" s="664" t="s">
        <v>18</v>
      </c>
      <c r="W13" s="665">
        <f t="shared" si="2"/>
        <v>100</v>
      </c>
      <c r="X13" s="666"/>
      <c r="Y13" s="3404"/>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450"/>
      <c r="Q14" s="530">
        <f t="shared" si="6"/>
        <v>111</v>
      </c>
      <c r="R14" s="664" t="s">
        <v>18</v>
      </c>
      <c r="S14" s="665">
        <f t="shared" si="0"/>
        <v>100</v>
      </c>
      <c r="T14" s="664" t="s">
        <v>18</v>
      </c>
      <c r="U14" s="665">
        <f t="shared" si="1"/>
        <v>100</v>
      </c>
      <c r="V14" s="664" t="s">
        <v>18</v>
      </c>
      <c r="W14" s="665">
        <f t="shared" si="2"/>
        <v>100</v>
      </c>
      <c r="X14" s="666"/>
      <c r="Y14" s="3404"/>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70" t="s">
        <v>1691</v>
      </c>
      <c r="Q15" s="1263" t="str">
        <f t="shared" si="6"/>
        <v>居住社区成熟度</v>
      </c>
      <c r="R15" s="667" t="s">
        <v>18</v>
      </c>
      <c r="S15" s="668">
        <f t="shared" si="0"/>
        <v>100</v>
      </c>
      <c r="T15" s="667" t="s">
        <v>18</v>
      </c>
      <c r="U15" s="668">
        <f t="shared" si="1"/>
        <v>100</v>
      </c>
      <c r="V15" s="667" t="s">
        <v>18</v>
      </c>
      <c r="W15" s="668">
        <f t="shared" si="2"/>
        <v>100</v>
      </c>
      <c r="X15" s="1265"/>
      <c r="Y15" s="3472"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0"/>
      <c r="M16" s="2485"/>
      <c r="N16" s="2485"/>
      <c r="O16" s="2485"/>
      <c r="P16" s="3471"/>
      <c r="Q16" s="1263"/>
      <c r="R16" s="667"/>
      <c r="S16" s="668"/>
      <c r="T16" s="667"/>
      <c r="U16" s="668"/>
      <c r="V16" s="667"/>
      <c r="W16" s="668"/>
      <c r="X16" s="1265"/>
      <c r="Y16" s="3473"/>
      <c r="Z16" s="1264"/>
      <c r="AA16" s="1264">
        <v>1</v>
      </c>
      <c r="AB16" s="1264">
        <v>1</v>
      </c>
      <c r="AC16" s="1264">
        <v>1</v>
      </c>
    </row>
    <row r="17" spans="1:29" ht="182">
      <c r="A17" s="367"/>
      <c r="B17" s="390" t="s">
        <v>1259</v>
      </c>
      <c r="C17" s="1754" t="str">
        <f>估价对象房地状况!C6</f>
        <v>估价对象临城市支路——屏翠东路，周边1公里范围内有专112、专15、547等多条公交线路，距地铁15号线望京东站约589米，项目内有停车位，停车便捷度较好，综合评价交通便捷度较好。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71"/>
      <c r="Q17" s="1263" t="str">
        <f>B17</f>
        <v>交通便捷度</v>
      </c>
      <c r="R17" s="667" t="s">
        <v>18</v>
      </c>
      <c r="S17" s="668">
        <f>F17</f>
        <v>100</v>
      </c>
      <c r="T17" s="667" t="s">
        <v>18</v>
      </c>
      <c r="U17" s="668">
        <f>H17</f>
        <v>100</v>
      </c>
      <c r="V17" s="667" t="s">
        <v>18</v>
      </c>
      <c r="W17" s="668">
        <f>J17</f>
        <v>100</v>
      </c>
      <c r="X17" s="1265"/>
      <c r="Y17" s="3473"/>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0"/>
      <c r="M18" s="2485"/>
      <c r="N18" s="2485"/>
      <c r="O18" s="2485"/>
      <c r="P18" s="3471"/>
      <c r="Q18" s="1263"/>
      <c r="R18" s="667"/>
      <c r="S18" s="668"/>
      <c r="T18" s="667"/>
      <c r="U18" s="668"/>
      <c r="V18" s="667"/>
      <c r="W18" s="668"/>
      <c r="X18" s="1265"/>
      <c r="Y18" s="3473"/>
      <c r="Z18" s="1264"/>
      <c r="AA18" s="1264">
        <v>1</v>
      </c>
      <c r="AB18" s="1264">
        <v>1</v>
      </c>
      <c r="AC18" s="1264">
        <v>1</v>
      </c>
    </row>
    <row r="19" spans="1:29" ht="308">
      <c r="A19" s="367"/>
      <c r="B19" s="390" t="s">
        <v>1258</v>
      </c>
      <c r="C19" s="1754" t="str">
        <f>估价对象房地状况!C7</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71"/>
      <c r="Q19" s="1263" t="str">
        <f>B19</f>
        <v>公共配套设施</v>
      </c>
      <c r="R19" s="667" t="s">
        <v>18</v>
      </c>
      <c r="S19" s="668">
        <f>F19</f>
        <v>100</v>
      </c>
      <c r="T19" s="667" t="s">
        <v>18</v>
      </c>
      <c r="U19" s="668">
        <f>H19</f>
        <v>100</v>
      </c>
      <c r="V19" s="667" t="s">
        <v>18</v>
      </c>
      <c r="W19" s="668">
        <f>J19</f>
        <v>100</v>
      </c>
      <c r="X19" s="1265"/>
      <c r="Y19" s="3473"/>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0"/>
      <c r="M20" s="2485"/>
      <c r="N20" s="2485"/>
      <c r="O20" s="2485"/>
      <c r="P20" s="3471"/>
      <c r="Q20" s="1263"/>
      <c r="R20" s="667"/>
      <c r="S20" s="668"/>
      <c r="T20" s="667"/>
      <c r="U20" s="668"/>
      <c r="V20" s="667"/>
      <c r="W20" s="668"/>
      <c r="X20" s="1265"/>
      <c r="Y20" s="3473"/>
      <c r="Z20" s="1264"/>
      <c r="AA20" s="1264">
        <v>1</v>
      </c>
      <c r="AB20" s="1264">
        <v>1</v>
      </c>
      <c r="AC20" s="1264">
        <v>1</v>
      </c>
    </row>
    <row r="21" spans="1:29" ht="15.5">
      <c r="A21" s="367"/>
      <c r="B21" s="586" t="s">
        <v>1260</v>
      </c>
      <c r="C21" s="1754"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71"/>
      <c r="Q21" s="1263" t="str">
        <f>B21</f>
        <v>基础设施水平</v>
      </c>
      <c r="R21" s="667" t="s">
        <v>14</v>
      </c>
      <c r="S21" s="668">
        <f>F21</f>
        <v>100</v>
      </c>
      <c r="T21" s="667" t="s">
        <v>14</v>
      </c>
      <c r="U21" s="668">
        <f>H21</f>
        <v>100</v>
      </c>
      <c r="V21" s="667" t="s">
        <v>14</v>
      </c>
      <c r="W21" s="668">
        <f>J21</f>
        <v>100</v>
      </c>
      <c r="X21" s="1265"/>
      <c r="Y21" s="3473"/>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0"/>
      <c r="M22" s="2485"/>
      <c r="N22" s="2485"/>
      <c r="O22" s="2485"/>
      <c r="P22" s="3471"/>
      <c r="Q22" s="1263"/>
      <c r="R22" s="667"/>
      <c r="S22" s="668"/>
      <c r="T22" s="667"/>
      <c r="U22" s="668"/>
      <c r="V22" s="667"/>
      <c r="W22" s="668"/>
      <c r="X22" s="1265"/>
      <c r="Y22" s="3473"/>
      <c r="Z22" s="1264"/>
      <c r="AA22" s="1264">
        <v>1</v>
      </c>
      <c r="AB22" s="1264">
        <v>1</v>
      </c>
      <c r="AC22" s="1264">
        <v>1</v>
      </c>
    </row>
    <row r="23" spans="1:29" ht="70">
      <c r="A23" s="367"/>
      <c r="B23" s="390" t="s">
        <v>1261</v>
      </c>
      <c r="C23" s="1754" t="str">
        <f>估价对象房地状况!C9</f>
        <v>区域自然环境：大望京公园、善各庄公园；无人文环境；综合评价环境状况较好</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71"/>
      <c r="Q23" s="1263" t="str">
        <f>B23</f>
        <v>自然及人文环境</v>
      </c>
      <c r="R23" s="667" t="s">
        <v>18</v>
      </c>
      <c r="S23" s="668">
        <f>F23</f>
        <v>100</v>
      </c>
      <c r="T23" s="667" t="s">
        <v>18</v>
      </c>
      <c r="U23" s="668">
        <f>H23</f>
        <v>100</v>
      </c>
      <c r="V23" s="667" t="s">
        <v>18</v>
      </c>
      <c r="W23" s="668">
        <f>J23</f>
        <v>100</v>
      </c>
      <c r="X23" s="1265"/>
      <c r="Y23" s="3473"/>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0"/>
      <c r="M24" s="2485"/>
      <c r="N24" s="2485"/>
      <c r="O24" s="2485"/>
      <c r="P24" s="3471"/>
      <c r="Q24" s="1263"/>
      <c r="R24" s="667"/>
      <c r="S24" s="668"/>
      <c r="T24" s="667"/>
      <c r="U24" s="668"/>
      <c r="V24" s="667"/>
      <c r="W24" s="668"/>
      <c r="X24" s="1265"/>
      <c r="Y24" s="3473"/>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7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73"/>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71"/>
      <c r="Q26" s="1263" t="str">
        <f t="shared" si="11"/>
        <v>朝向</v>
      </c>
      <c r="R26" s="667" t="s">
        <v>18</v>
      </c>
      <c r="S26" s="668">
        <f t="shared" si="12"/>
        <v>100</v>
      </c>
      <c r="T26" s="667" t="s">
        <v>18</v>
      </c>
      <c r="U26" s="668">
        <f t="shared" si="13"/>
        <v>100</v>
      </c>
      <c r="V26" s="667" t="s">
        <v>18</v>
      </c>
      <c r="W26" s="668">
        <f t="shared" si="14"/>
        <v>100</v>
      </c>
      <c r="X26" s="1265"/>
      <c r="Y26" s="3473"/>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71"/>
      <c r="Q27" s="530">
        <f t="shared" si="11"/>
        <v>111</v>
      </c>
      <c r="R27" s="664" t="s">
        <v>18</v>
      </c>
      <c r="S27" s="665">
        <f t="shared" si="12"/>
        <v>100</v>
      </c>
      <c r="T27" s="664" t="s">
        <v>18</v>
      </c>
      <c r="U27" s="665">
        <f t="shared" si="13"/>
        <v>100</v>
      </c>
      <c r="V27" s="664" t="s">
        <v>18</v>
      </c>
      <c r="W27" s="665">
        <f t="shared" si="14"/>
        <v>100</v>
      </c>
      <c r="X27" s="666"/>
      <c r="Y27" s="3473"/>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71"/>
      <c r="Q28" s="1263">
        <f t="shared" si="11"/>
        <v>111</v>
      </c>
      <c r="R28" s="667" t="s">
        <v>18</v>
      </c>
      <c r="S28" s="668">
        <f t="shared" si="12"/>
        <v>100</v>
      </c>
      <c r="T28" s="667" t="s">
        <v>18</v>
      </c>
      <c r="U28" s="668">
        <f t="shared" si="13"/>
        <v>100</v>
      </c>
      <c r="V28" s="667" t="s">
        <v>18</v>
      </c>
      <c r="W28" s="668">
        <f t="shared" si="14"/>
        <v>100</v>
      </c>
      <c r="X28" s="1265"/>
      <c r="Y28" s="3473"/>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71"/>
      <c r="Q29" s="1263">
        <f t="shared" si="11"/>
        <v>111</v>
      </c>
      <c r="R29" s="667" t="s">
        <v>18</v>
      </c>
      <c r="S29" s="668">
        <f t="shared" si="12"/>
        <v>100</v>
      </c>
      <c r="T29" s="667" t="s">
        <v>18</v>
      </c>
      <c r="U29" s="668">
        <f t="shared" si="13"/>
        <v>100</v>
      </c>
      <c r="V29" s="667" t="s">
        <v>18</v>
      </c>
      <c r="W29" s="668">
        <f t="shared" si="14"/>
        <v>100</v>
      </c>
      <c r="X29" s="1265"/>
      <c r="Y29" s="3473"/>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71"/>
      <c r="Q30" s="1263">
        <f t="shared" si="11"/>
        <v>111</v>
      </c>
      <c r="R30" s="667" t="s">
        <v>18</v>
      </c>
      <c r="S30" s="668">
        <f t="shared" si="12"/>
        <v>100</v>
      </c>
      <c r="T30" s="667" t="s">
        <v>18</v>
      </c>
      <c r="U30" s="668">
        <f t="shared" si="13"/>
        <v>100</v>
      </c>
      <c r="V30" s="667" t="s">
        <v>18</v>
      </c>
      <c r="W30" s="668">
        <f t="shared" si="14"/>
        <v>100</v>
      </c>
      <c r="X30" s="1265"/>
      <c r="Y30" s="3473"/>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71"/>
      <c r="Q31" s="1263">
        <f t="shared" si="11"/>
        <v>111</v>
      </c>
      <c r="R31" s="667" t="s">
        <v>18</v>
      </c>
      <c r="S31" s="668">
        <f t="shared" si="12"/>
        <v>100</v>
      </c>
      <c r="T31" s="667" t="s">
        <v>18</v>
      </c>
      <c r="U31" s="668">
        <f t="shared" si="13"/>
        <v>100</v>
      </c>
      <c r="V31" s="667" t="s">
        <v>18</v>
      </c>
      <c r="W31" s="668">
        <f t="shared" si="14"/>
        <v>100</v>
      </c>
      <c r="X31" s="1265"/>
      <c r="Y31" s="3473"/>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74" t="s">
        <v>1696</v>
      </c>
      <c r="Q32" s="1263" t="str">
        <f t="shared" si="11"/>
        <v>建筑类型</v>
      </c>
      <c r="R32" s="667" t="s">
        <v>18</v>
      </c>
      <c r="S32" s="668">
        <f t="shared" si="12"/>
        <v>100</v>
      </c>
      <c r="T32" s="667" t="s">
        <v>18</v>
      </c>
      <c r="U32" s="668">
        <f t="shared" si="13"/>
        <v>100</v>
      </c>
      <c r="V32" s="667" t="s">
        <v>18</v>
      </c>
      <c r="W32" s="668">
        <f t="shared" si="14"/>
        <v>100</v>
      </c>
      <c r="X32" s="1265"/>
      <c r="Y32" s="3477"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75"/>
      <c r="Q33" s="531" t="str">
        <f t="shared" si="11"/>
        <v>项目建筑规模</v>
      </c>
      <c r="R33" s="669" t="s">
        <v>18</v>
      </c>
      <c r="S33" s="670" t="e">
        <f t="shared" si="12"/>
        <v>#N/A</v>
      </c>
      <c r="T33" s="669" t="s">
        <v>18</v>
      </c>
      <c r="U33" s="670" t="e">
        <f t="shared" si="13"/>
        <v>#N/A</v>
      </c>
      <c r="V33" s="669" t="s">
        <v>18</v>
      </c>
      <c r="W33" s="670" t="e">
        <f t="shared" si="14"/>
        <v>#N/A</v>
      </c>
      <c r="X33" s="671"/>
      <c r="Y33" s="3477"/>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75"/>
      <c r="Q34" s="1263" t="str">
        <f t="shared" si="11"/>
        <v>建筑结构</v>
      </c>
      <c r="R34" s="667" t="s">
        <v>18</v>
      </c>
      <c r="S34" s="668">
        <f t="shared" si="12"/>
        <v>100</v>
      </c>
      <c r="T34" s="667" t="s">
        <v>18</v>
      </c>
      <c r="U34" s="668">
        <f t="shared" si="13"/>
        <v>100</v>
      </c>
      <c r="V34" s="667" t="s">
        <v>18</v>
      </c>
      <c r="W34" s="668">
        <f t="shared" si="14"/>
        <v>100</v>
      </c>
      <c r="X34" s="1265"/>
      <c r="Y34" s="3477"/>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75"/>
      <c r="Q35" s="1263" t="str">
        <f t="shared" si="11"/>
        <v>建筑品质</v>
      </c>
      <c r="R35" s="667" t="s">
        <v>18</v>
      </c>
      <c r="S35" s="668">
        <f t="shared" si="12"/>
        <v>100</v>
      </c>
      <c r="T35" s="667" t="s">
        <v>18</v>
      </c>
      <c r="U35" s="668">
        <f t="shared" si="13"/>
        <v>100</v>
      </c>
      <c r="V35" s="667" t="s">
        <v>18</v>
      </c>
      <c r="W35" s="668">
        <f t="shared" si="14"/>
        <v>100</v>
      </c>
      <c r="X35" s="1265"/>
      <c r="Y35" s="3477"/>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75"/>
      <c r="Q36" s="1263" t="str">
        <f t="shared" si="11"/>
        <v>公共部分装修</v>
      </c>
      <c r="R36" s="667" t="s">
        <v>18</v>
      </c>
      <c r="S36" s="668">
        <f t="shared" si="12"/>
        <v>100</v>
      </c>
      <c r="T36" s="667" t="s">
        <v>18</v>
      </c>
      <c r="U36" s="668">
        <f t="shared" si="13"/>
        <v>100</v>
      </c>
      <c r="V36" s="667" t="s">
        <v>18</v>
      </c>
      <c r="W36" s="668">
        <f t="shared" si="14"/>
        <v>100</v>
      </c>
      <c r="X36" s="1265"/>
      <c r="Y36" s="3477"/>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75"/>
      <c r="Q37" s="530" t="str">
        <f t="shared" si="11"/>
        <v>成新度</v>
      </c>
      <c r="R37" s="664" t="s">
        <v>18</v>
      </c>
      <c r="S37" s="665" t="e">
        <f t="shared" si="12"/>
        <v>#N/A</v>
      </c>
      <c r="T37" s="664" t="s">
        <v>18</v>
      </c>
      <c r="U37" s="665" t="e">
        <f t="shared" si="13"/>
        <v>#N/A</v>
      </c>
      <c r="V37" s="664" t="s">
        <v>18</v>
      </c>
      <c r="W37" s="665" t="e">
        <f t="shared" si="14"/>
        <v>#N/A</v>
      </c>
      <c r="X37" s="666"/>
      <c r="Y37" s="3477"/>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75" t="s">
        <v>1696</v>
      </c>
      <c r="Q38" s="1263" t="str">
        <f t="shared" si="11"/>
        <v>物业管理</v>
      </c>
      <c r="R38" s="667" t="s">
        <v>18</v>
      </c>
      <c r="S38" s="668">
        <f t="shared" si="12"/>
        <v>100</v>
      </c>
      <c r="T38" s="667" t="s">
        <v>18</v>
      </c>
      <c r="U38" s="668">
        <f t="shared" si="13"/>
        <v>100</v>
      </c>
      <c r="V38" s="667" t="s">
        <v>18</v>
      </c>
      <c r="W38" s="668">
        <f t="shared" si="14"/>
        <v>100</v>
      </c>
      <c r="X38" s="1265"/>
      <c r="Y38" s="3477"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75"/>
      <c r="Q39" s="1263" t="str">
        <f t="shared" si="11"/>
        <v>市政基础设施</v>
      </c>
      <c r="R39" s="667" t="s">
        <v>18</v>
      </c>
      <c r="S39" s="668">
        <f t="shared" si="12"/>
        <v>100</v>
      </c>
      <c r="T39" s="667" t="s">
        <v>18</v>
      </c>
      <c r="U39" s="668">
        <f t="shared" si="13"/>
        <v>100</v>
      </c>
      <c r="V39" s="667" t="s">
        <v>18</v>
      </c>
      <c r="W39" s="668">
        <f t="shared" si="14"/>
        <v>100</v>
      </c>
      <c r="X39" s="1265"/>
      <c r="Y39" s="3477"/>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75"/>
      <c r="Q40" s="1263" t="str">
        <f t="shared" si="11"/>
        <v>房型</v>
      </c>
      <c r="R40" s="667" t="s">
        <v>18</v>
      </c>
      <c r="S40" s="668">
        <f t="shared" si="12"/>
        <v>100</v>
      </c>
      <c r="T40" s="667" t="s">
        <v>18</v>
      </c>
      <c r="U40" s="668">
        <f t="shared" si="13"/>
        <v>100</v>
      </c>
      <c r="V40" s="667" t="s">
        <v>18</v>
      </c>
      <c r="W40" s="668">
        <f t="shared" si="14"/>
        <v>100</v>
      </c>
      <c r="X40" s="1265"/>
      <c r="Y40" s="3477"/>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75"/>
      <c r="Q41" s="531" t="str">
        <f t="shared" si="11"/>
        <v>单套/主力户型建筑面积</v>
      </c>
      <c r="R41" s="669" t="s">
        <v>18</v>
      </c>
      <c r="S41" s="670">
        <f t="shared" si="12"/>
        <v>100</v>
      </c>
      <c r="T41" s="669" t="s">
        <v>18</v>
      </c>
      <c r="U41" s="670">
        <f t="shared" si="13"/>
        <v>100</v>
      </c>
      <c r="V41" s="669" t="s">
        <v>18</v>
      </c>
      <c r="W41" s="670">
        <f t="shared" si="14"/>
        <v>100</v>
      </c>
      <c r="X41" s="671"/>
      <c r="Y41" s="3477"/>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75"/>
      <c r="Q42" s="1263" t="str">
        <f t="shared" si="11"/>
        <v>内部装修</v>
      </c>
      <c r="R42" s="667" t="s">
        <v>18</v>
      </c>
      <c r="S42" s="668">
        <f t="shared" si="12"/>
        <v>100</v>
      </c>
      <c r="T42" s="667" t="s">
        <v>18</v>
      </c>
      <c r="U42" s="668">
        <f t="shared" si="13"/>
        <v>100</v>
      </c>
      <c r="V42" s="667" t="s">
        <v>18</v>
      </c>
      <c r="W42" s="668">
        <f t="shared" si="14"/>
        <v>100</v>
      </c>
      <c r="X42" s="1265"/>
      <c r="Y42" s="3477"/>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75"/>
      <c r="Q43" s="1263" t="str">
        <f t="shared" si="11"/>
        <v>内部装修维护情况</v>
      </c>
      <c r="R43" s="667" t="s">
        <v>18</v>
      </c>
      <c r="S43" s="668">
        <f t="shared" si="12"/>
        <v>100</v>
      </c>
      <c r="T43" s="667" t="s">
        <v>18</v>
      </c>
      <c r="U43" s="668">
        <f t="shared" si="13"/>
        <v>100</v>
      </c>
      <c r="V43" s="667" t="s">
        <v>18</v>
      </c>
      <c r="W43" s="668">
        <f t="shared" si="14"/>
        <v>100</v>
      </c>
      <c r="X43" s="1265"/>
      <c r="Y43" s="3477"/>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75"/>
      <c r="Q44" s="530">
        <f t="shared" si="11"/>
        <v>111</v>
      </c>
      <c r="R44" s="664" t="s">
        <v>18</v>
      </c>
      <c r="S44" s="665">
        <f t="shared" si="12"/>
        <v>100</v>
      </c>
      <c r="T44" s="664" t="s">
        <v>18</v>
      </c>
      <c r="U44" s="665">
        <f t="shared" si="13"/>
        <v>100</v>
      </c>
      <c r="V44" s="664" t="s">
        <v>18</v>
      </c>
      <c r="W44" s="665">
        <f t="shared" si="14"/>
        <v>100</v>
      </c>
      <c r="X44" s="666"/>
      <c r="Y44" s="3477"/>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75"/>
      <c r="Q45" s="1263">
        <f t="shared" si="11"/>
        <v>111</v>
      </c>
      <c r="R45" s="667" t="s">
        <v>18</v>
      </c>
      <c r="S45" s="668">
        <f t="shared" si="12"/>
        <v>100</v>
      </c>
      <c r="T45" s="667" t="s">
        <v>18</v>
      </c>
      <c r="U45" s="668">
        <f t="shared" si="13"/>
        <v>100</v>
      </c>
      <c r="V45" s="667" t="s">
        <v>18</v>
      </c>
      <c r="W45" s="668">
        <f t="shared" si="14"/>
        <v>100</v>
      </c>
      <c r="X45" s="1265"/>
      <c r="Y45" s="3477"/>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76"/>
      <c r="Q46" s="1263">
        <f t="shared" si="11"/>
        <v>111</v>
      </c>
      <c r="R46" s="667" t="s">
        <v>17</v>
      </c>
      <c r="S46" s="668">
        <f t="shared" si="12"/>
        <v>100</v>
      </c>
      <c r="T46" s="667" t="s">
        <v>17</v>
      </c>
      <c r="U46" s="668">
        <f t="shared" si="13"/>
        <v>100</v>
      </c>
      <c r="V46" s="667" t="s">
        <v>17</v>
      </c>
      <c r="W46" s="668">
        <f t="shared" si="14"/>
        <v>100</v>
      </c>
      <c r="X46" s="1265"/>
      <c r="Y46" s="3478"/>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2"/>
      <c r="M47" s="2485"/>
      <c r="N47" s="2485"/>
      <c r="O47" s="2485"/>
      <c r="P47" s="3479" t="str">
        <f>A47</f>
        <v>成交单价（元/平方米）</v>
      </c>
      <c r="Q47" s="3479"/>
      <c r="R47" s="3467">
        <f>E47</f>
        <v>0</v>
      </c>
      <c r="S47" s="3467"/>
      <c r="T47" s="3467">
        <f>G47</f>
        <v>0</v>
      </c>
      <c r="U47" s="3467"/>
      <c r="V47" s="3467">
        <f>I47</f>
        <v>0</v>
      </c>
      <c r="W47" s="3467"/>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2"/>
      <c r="M48" s="2485"/>
      <c r="N48" s="2485"/>
      <c r="O48" s="2485"/>
      <c r="P48" s="3479" t="str">
        <f>A48</f>
        <v>比较价值（元/平方米）</v>
      </c>
      <c r="Q48" s="3479"/>
      <c r="R48" s="3467" t="e">
        <f>IF(F1="售价",ROUND(PRODUCT(R47,AA7:AA46),0),ROUND(PRODUCT(R47,AA7:AA46),1))</f>
        <v>#DIV/0!</v>
      </c>
      <c r="S48" s="3467"/>
      <c r="T48" s="3467" t="e">
        <f>IF(F1="售价",ROUND(PRODUCT(T47,AB7:AB46),0),ROUND(PRODUCT(T47,AB7:AB46),1))</f>
        <v>#DIV/0!</v>
      </c>
      <c r="U48" s="3467"/>
      <c r="V48" s="3467" t="e">
        <f>IF(F1="售价",ROUND(PRODUCT(V47,AC7:AC46),0),ROUND(PRODUCT(V47,AC7:AC46),1))</f>
        <v>#DIV/0!</v>
      </c>
      <c r="W48" s="3467"/>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2"/>
      <c r="M49" s="2485"/>
      <c r="N49" s="2485"/>
      <c r="O49" s="2485"/>
      <c r="P49" s="3516" t="str">
        <f>A49</f>
        <v>估价对象XX用房的比较价值（楼面单价，元/平方米）</v>
      </c>
      <c r="Q49" s="3517"/>
      <c r="R49" s="3518" t="e">
        <f>IF(F1="售价",ROUND(IF(D48="简单平均",AVERAGE(R48:V48),R48*F48+T48*H48+V48*J48),0),ROUND(IF(D48="简单平均",AVERAGE(R48:V48),R48*F48+T48*H48+V48*J48),1))</f>
        <v>#DIV/0!</v>
      </c>
      <c r="S49" s="3518"/>
      <c r="T49" s="3518"/>
      <c r="U49" s="3518"/>
      <c r="V49" s="3518"/>
      <c r="W49" s="3518"/>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2025-9</v>
      </c>
      <c r="D58" s="1104">
        <f>EDATE(C58,-1)</f>
        <v>45870</v>
      </c>
      <c r="E58" s="1104">
        <f>EDATE(D58,-1)</f>
        <v>45839</v>
      </c>
      <c r="F58" s="1104">
        <f t="shared" ref="F58:O58" si="19">EDATE(E58,-1)</f>
        <v>45809</v>
      </c>
      <c r="G58" s="1104">
        <f t="shared" si="19"/>
        <v>45778</v>
      </c>
      <c r="H58" s="1104">
        <f t="shared" si="19"/>
        <v>45748</v>
      </c>
      <c r="I58" s="1104">
        <f t="shared" si="19"/>
        <v>45717</v>
      </c>
      <c r="J58" s="1104">
        <f t="shared" si="19"/>
        <v>45689</v>
      </c>
      <c r="K58" s="1104">
        <f t="shared" si="19"/>
        <v>45658</v>
      </c>
      <c r="L58" s="1104">
        <f t="shared" si="19"/>
        <v>45627</v>
      </c>
      <c r="M58" s="1104">
        <f t="shared" si="19"/>
        <v>45597</v>
      </c>
      <c r="N58" s="1104">
        <f t="shared" si="19"/>
        <v>45566</v>
      </c>
      <c r="O58" s="1104">
        <f t="shared" si="19"/>
        <v>45536</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55858.959999999992</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c r="A4" s="345" t="s">
        <v>1769</v>
      </c>
      <c r="B4" s="346"/>
      <c r="C4" s="3454" t="s">
        <v>1770</v>
      </c>
      <c r="D4" s="3455"/>
      <c r="E4" s="3456" t="s">
        <v>1771</v>
      </c>
      <c r="F4" s="3457"/>
      <c r="G4" s="3454" t="s">
        <v>1772</v>
      </c>
      <c r="H4" s="3455"/>
      <c r="I4" s="3454" t="s">
        <v>1773</v>
      </c>
      <c r="J4" s="3455"/>
      <c r="K4" s="537" t="s">
        <v>1774</v>
      </c>
      <c r="L4" s="2484"/>
      <c r="M4" s="2485"/>
      <c r="N4" s="2485"/>
      <c r="O4" s="2485"/>
      <c r="P4" s="3512" t="s">
        <v>1775</v>
      </c>
      <c r="Q4" s="3513"/>
      <c r="R4" s="3510" t="s">
        <v>1771</v>
      </c>
      <c r="S4" s="3511"/>
      <c r="T4" s="3510" t="s">
        <v>1772</v>
      </c>
      <c r="U4" s="3511"/>
      <c r="V4" s="3467" t="s">
        <v>1773</v>
      </c>
      <c r="W4" s="3467"/>
      <c r="X4" s="1265"/>
      <c r="Y4" s="3510" t="s">
        <v>1775</v>
      </c>
      <c r="Z4" s="3511"/>
      <c r="AA4" s="3509" t="s">
        <v>1771</v>
      </c>
      <c r="AB4" s="3467" t="s">
        <v>1772</v>
      </c>
      <c r="AC4" s="3509" t="s">
        <v>1773</v>
      </c>
    </row>
    <row r="5" spans="1:29">
      <c r="A5" s="348"/>
      <c r="B5" s="349"/>
      <c r="C5" s="3446" t="s">
        <v>1673</v>
      </c>
      <c r="D5" s="3443"/>
      <c r="E5" s="3440" t="s">
        <v>1674</v>
      </c>
      <c r="F5" s="3441"/>
      <c r="G5" s="3446" t="s">
        <v>1675</v>
      </c>
      <c r="H5" s="3443"/>
      <c r="I5" s="3446" t="s">
        <v>1676</v>
      </c>
      <c r="J5" s="3443"/>
      <c r="K5" s="537"/>
      <c r="L5" s="2484"/>
      <c r="M5" s="2485"/>
      <c r="N5" s="2485"/>
      <c r="O5" s="2485"/>
      <c r="P5" s="3514"/>
      <c r="Q5" s="3461"/>
      <c r="R5" s="3438"/>
      <c r="S5" s="3439"/>
      <c r="T5" s="3438"/>
      <c r="U5" s="3439"/>
      <c r="V5" s="3467"/>
      <c r="W5" s="3467"/>
      <c r="X5" s="1265"/>
      <c r="Y5" s="3438"/>
      <c r="Z5" s="3439"/>
      <c r="AA5" s="3432"/>
      <c r="AB5" s="3467"/>
      <c r="AC5" s="3432"/>
    </row>
    <row r="6" spans="1:29" ht="15" thickBot="1">
      <c r="A6" s="350"/>
      <c r="B6" s="351"/>
      <c r="C6" s="3449" t="s">
        <v>1677</v>
      </c>
      <c r="D6" s="3445"/>
      <c r="E6" s="3447" t="s">
        <v>1677</v>
      </c>
      <c r="F6" s="3448"/>
      <c r="G6" s="3449" t="s">
        <v>1677</v>
      </c>
      <c r="H6" s="3445"/>
      <c r="I6" s="3449" t="s">
        <v>1677</v>
      </c>
      <c r="J6" s="3445"/>
      <c r="K6" s="537" t="s">
        <v>1678</v>
      </c>
      <c r="L6" s="2484"/>
      <c r="M6" s="2485"/>
      <c r="N6" s="2485"/>
      <c r="O6" s="2485"/>
      <c r="P6" s="3515"/>
      <c r="Q6" s="3463"/>
      <c r="R6" s="3438"/>
      <c r="S6" s="3439"/>
      <c r="T6" s="3464"/>
      <c r="U6" s="3465"/>
      <c r="V6" s="3467"/>
      <c r="W6" s="3467"/>
      <c r="X6" s="1265"/>
      <c r="Y6" s="3464"/>
      <c r="Z6" s="3465"/>
      <c r="AA6" s="3433"/>
      <c r="AB6" s="3467"/>
      <c r="AC6" s="3433"/>
    </row>
    <row r="7" spans="1:29" s="102" customFormat="1" ht="14.5" thickBot="1">
      <c r="A7" s="352" t="s">
        <v>1679</v>
      </c>
      <c r="B7" s="353"/>
      <c r="C7" s="354">
        <f>'数据-取费表'!B2</f>
        <v>45901</v>
      </c>
      <c r="D7" s="355">
        <v>100</v>
      </c>
      <c r="E7" s="356"/>
      <c r="F7" s="357">
        <f>SUMIF(58:58,YEAR(E7)&amp;"-"&amp;MONTH(E7),59:59)</f>
        <v>0</v>
      </c>
      <c r="G7" s="356"/>
      <c r="H7" s="355">
        <f>SUMIF(58:58,YEAR(G7)&amp;"-"&amp;MONTH(G7),59:59)</f>
        <v>0</v>
      </c>
      <c r="I7" s="356"/>
      <c r="J7" s="355">
        <f>SUMIF(58:58,YEAR(I7)&amp;"-"&amp;MONTH(I7),59:59)</f>
        <v>0</v>
      </c>
      <c r="K7" s="38"/>
      <c r="L7" s="2486"/>
      <c r="M7" s="2438"/>
      <c r="N7" s="2438"/>
      <c r="O7" s="2438"/>
      <c r="P7" s="3434" t="s">
        <v>1680</v>
      </c>
      <c r="Q7" s="3469"/>
      <c r="R7" s="664" t="s">
        <v>14</v>
      </c>
      <c r="S7" s="665">
        <f t="shared" ref="S7:S15" si="0">F7</f>
        <v>0</v>
      </c>
      <c r="T7" s="664" t="s">
        <v>14</v>
      </c>
      <c r="U7" s="665">
        <f t="shared" ref="U7:U15" si="1">H7</f>
        <v>0</v>
      </c>
      <c r="V7" s="664" t="s">
        <v>14</v>
      </c>
      <c r="W7" s="665">
        <f t="shared" ref="W7:W15" si="2">J7</f>
        <v>0</v>
      </c>
      <c r="X7" s="666"/>
      <c r="Y7" s="3434" t="s">
        <v>1680</v>
      </c>
      <c r="Z7" s="3435"/>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434" t="s">
        <v>1683</v>
      </c>
      <c r="Q8" s="3435"/>
      <c r="R8" s="664" t="s">
        <v>14</v>
      </c>
      <c r="S8" s="665">
        <f t="shared" si="0"/>
        <v>100</v>
      </c>
      <c r="T8" s="664" t="s">
        <v>14</v>
      </c>
      <c r="U8" s="665">
        <f t="shared" si="1"/>
        <v>100</v>
      </c>
      <c r="V8" s="664" t="s">
        <v>14</v>
      </c>
      <c r="W8" s="665">
        <f t="shared" si="2"/>
        <v>100</v>
      </c>
      <c r="X8" s="666"/>
      <c r="Y8" s="3434" t="s">
        <v>1683</v>
      </c>
      <c r="Z8" s="3435"/>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450" t="s">
        <v>1686</v>
      </c>
      <c r="Q9" s="530" t="str">
        <f t="shared" ref="Q9:Q15" si="6">B9</f>
        <v>用途</v>
      </c>
      <c r="R9" s="664" t="s">
        <v>14</v>
      </c>
      <c r="S9" s="665">
        <f t="shared" si="0"/>
        <v>100</v>
      </c>
      <c r="T9" s="664" t="s">
        <v>14</v>
      </c>
      <c r="U9" s="665">
        <f t="shared" si="1"/>
        <v>100</v>
      </c>
      <c r="V9" s="664" t="s">
        <v>14</v>
      </c>
      <c r="W9" s="665">
        <f t="shared" si="2"/>
        <v>100</v>
      </c>
      <c r="X9" s="666"/>
      <c r="Y9" s="3404" t="s">
        <v>1687</v>
      </c>
      <c r="Z9" s="50" t="str">
        <f t="shared" ref="Z9:Z15" si="7">Q9</f>
        <v>用途</v>
      </c>
      <c r="AA9" s="50">
        <f t="shared" si="3"/>
        <v>1</v>
      </c>
      <c r="AB9" s="50">
        <f t="shared" si="4"/>
        <v>1</v>
      </c>
      <c r="AC9" s="50">
        <f t="shared" si="5"/>
        <v>1</v>
      </c>
    </row>
    <row r="10" spans="1:29" s="366" customFormat="1" ht="2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50"/>
      <c r="Q10" s="530" t="str">
        <f t="shared" si="6"/>
        <v>土地使用年限（年）</v>
      </c>
      <c r="R10" s="664" t="s">
        <v>14</v>
      </c>
      <c r="S10" s="665">
        <f t="shared" si="0"/>
        <v>100</v>
      </c>
      <c r="T10" s="664" t="s">
        <v>14</v>
      </c>
      <c r="U10" s="665">
        <f t="shared" si="1"/>
        <v>100</v>
      </c>
      <c r="V10" s="664" t="s">
        <v>14</v>
      </c>
      <c r="W10" s="665">
        <f t="shared" si="2"/>
        <v>100</v>
      </c>
      <c r="X10" s="666"/>
      <c r="Y10" s="3404"/>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50"/>
      <c r="Q11" s="530" t="str">
        <f t="shared" si="6"/>
        <v>容积率</v>
      </c>
      <c r="R11" s="664" t="s">
        <v>14</v>
      </c>
      <c r="S11" s="665" t="e">
        <f t="shared" si="0"/>
        <v>#N/A</v>
      </c>
      <c r="T11" s="664" t="s">
        <v>14</v>
      </c>
      <c r="U11" s="665" t="e">
        <f t="shared" si="1"/>
        <v>#N/A</v>
      </c>
      <c r="V11" s="664" t="s">
        <v>14</v>
      </c>
      <c r="W11" s="665" t="e">
        <f t="shared" si="2"/>
        <v>#N/A</v>
      </c>
      <c r="X11" s="666"/>
      <c r="Y11" s="3404"/>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450"/>
      <c r="Q12" s="530">
        <f t="shared" si="6"/>
        <v>111</v>
      </c>
      <c r="R12" s="664" t="s">
        <v>14</v>
      </c>
      <c r="S12" s="665">
        <f t="shared" si="0"/>
        <v>100</v>
      </c>
      <c r="T12" s="664" t="s">
        <v>14</v>
      </c>
      <c r="U12" s="665">
        <f t="shared" si="1"/>
        <v>100</v>
      </c>
      <c r="V12" s="664" t="s">
        <v>14</v>
      </c>
      <c r="W12" s="665">
        <f t="shared" si="2"/>
        <v>100</v>
      </c>
      <c r="X12" s="666"/>
      <c r="Y12" s="3404"/>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50"/>
      <c r="Q13" s="530">
        <f t="shared" si="6"/>
        <v>111</v>
      </c>
      <c r="R13" s="664" t="s">
        <v>14</v>
      </c>
      <c r="S13" s="665">
        <f t="shared" si="0"/>
        <v>100</v>
      </c>
      <c r="T13" s="664" t="s">
        <v>14</v>
      </c>
      <c r="U13" s="665">
        <f t="shared" si="1"/>
        <v>100</v>
      </c>
      <c r="V13" s="664" t="s">
        <v>14</v>
      </c>
      <c r="W13" s="665">
        <f t="shared" si="2"/>
        <v>100</v>
      </c>
      <c r="X13" s="666"/>
      <c r="Y13" s="3404"/>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50"/>
      <c r="Q14" s="530">
        <f t="shared" si="6"/>
        <v>111</v>
      </c>
      <c r="R14" s="664" t="s">
        <v>14</v>
      </c>
      <c r="S14" s="665">
        <f t="shared" si="0"/>
        <v>100</v>
      </c>
      <c r="T14" s="664" t="s">
        <v>14</v>
      </c>
      <c r="U14" s="665">
        <f t="shared" si="1"/>
        <v>100</v>
      </c>
      <c r="V14" s="664" t="s">
        <v>14</v>
      </c>
      <c r="W14" s="665">
        <f t="shared" si="2"/>
        <v>100</v>
      </c>
      <c r="X14" s="666"/>
      <c r="Y14" s="3404"/>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70" t="s">
        <v>1691</v>
      </c>
      <c r="Q15" s="1263" t="str">
        <f t="shared" si="6"/>
        <v>商业繁华度</v>
      </c>
      <c r="R15" s="667" t="s">
        <v>14</v>
      </c>
      <c r="S15" s="668">
        <f t="shared" si="0"/>
        <v>100</v>
      </c>
      <c r="T15" s="667" t="s">
        <v>14</v>
      </c>
      <c r="U15" s="668">
        <f t="shared" si="1"/>
        <v>100</v>
      </c>
      <c r="V15" s="667" t="s">
        <v>14</v>
      </c>
      <c r="W15" s="668">
        <f t="shared" si="2"/>
        <v>100</v>
      </c>
      <c r="X15" s="1265"/>
      <c r="Y15" s="3472"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0"/>
      <c r="M16" s="2485"/>
      <c r="N16" s="2485"/>
      <c r="O16" s="2485"/>
      <c r="P16" s="3471"/>
      <c r="Q16" s="1263"/>
      <c r="R16" s="667"/>
      <c r="S16" s="668"/>
      <c r="T16" s="667"/>
      <c r="U16" s="668"/>
      <c r="V16" s="667"/>
      <c r="W16" s="668"/>
      <c r="X16" s="1265"/>
      <c r="Y16" s="3473"/>
      <c r="Z16" s="1264"/>
      <c r="AA16" s="1264">
        <v>1</v>
      </c>
      <c r="AB16" s="1264">
        <v>1</v>
      </c>
      <c r="AC16" s="1264">
        <v>1</v>
      </c>
    </row>
    <row r="17" spans="1:29" ht="182">
      <c r="A17" s="367"/>
      <c r="B17" s="390" t="s">
        <v>1259</v>
      </c>
      <c r="C17" s="1754" t="str">
        <f>估价对象房地状况!C6</f>
        <v>估价对象临城市支路——屏翠东路，周边1公里范围内有专112、专15、547等多条公交线路，距地铁15号线望京东站约589米，项目内有停车位，停车便捷度较好，综合评价交通便捷度较好。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71"/>
      <c r="Q17" s="1263" t="str">
        <f>B17</f>
        <v>交通便捷度</v>
      </c>
      <c r="R17" s="667" t="s">
        <v>14</v>
      </c>
      <c r="S17" s="668">
        <f>F17</f>
        <v>100</v>
      </c>
      <c r="T17" s="667" t="s">
        <v>14</v>
      </c>
      <c r="U17" s="668">
        <f>H17</f>
        <v>100</v>
      </c>
      <c r="V17" s="667" t="s">
        <v>14</v>
      </c>
      <c r="W17" s="668">
        <f>J17</f>
        <v>100</v>
      </c>
      <c r="X17" s="1265"/>
      <c r="Y17" s="3473"/>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0"/>
      <c r="M18" s="2485"/>
      <c r="N18" s="2485"/>
      <c r="O18" s="2485"/>
      <c r="P18" s="3471"/>
      <c r="Q18" s="1263"/>
      <c r="R18" s="667"/>
      <c r="S18" s="668"/>
      <c r="T18" s="667"/>
      <c r="U18" s="668"/>
      <c r="V18" s="667"/>
      <c r="W18" s="668"/>
      <c r="X18" s="1265"/>
      <c r="Y18" s="3473"/>
      <c r="Z18" s="1264"/>
      <c r="AA18" s="1264">
        <v>1</v>
      </c>
      <c r="AB18" s="1264">
        <v>1</v>
      </c>
      <c r="AC18" s="1264">
        <v>1</v>
      </c>
    </row>
    <row r="19" spans="1:29" ht="322">
      <c r="A19" s="367"/>
      <c r="B19" s="390" t="s">
        <v>1778</v>
      </c>
      <c r="C19" s="1754" t="str">
        <f>估价对象房地状况!C7</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71"/>
      <c r="Q19" s="1263" t="str">
        <f>B19</f>
        <v>公共配套设施</v>
      </c>
      <c r="R19" s="667" t="s">
        <v>14</v>
      </c>
      <c r="S19" s="668">
        <f>F19</f>
        <v>100</v>
      </c>
      <c r="T19" s="667" t="s">
        <v>14</v>
      </c>
      <c r="U19" s="668">
        <f>H19</f>
        <v>100</v>
      </c>
      <c r="V19" s="667" t="s">
        <v>14</v>
      </c>
      <c r="W19" s="668">
        <f>J19</f>
        <v>100</v>
      </c>
      <c r="X19" s="1265"/>
      <c r="Y19" s="3473"/>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0"/>
      <c r="M20" s="2485"/>
      <c r="N20" s="2485"/>
      <c r="O20" s="2485"/>
      <c r="P20" s="3471"/>
      <c r="Q20" s="1263"/>
      <c r="R20" s="667"/>
      <c r="S20" s="668"/>
      <c r="T20" s="667"/>
      <c r="U20" s="668"/>
      <c r="V20" s="667"/>
      <c r="W20" s="668"/>
      <c r="X20" s="1265"/>
      <c r="Y20" s="3473"/>
      <c r="Z20" s="1264"/>
      <c r="AA20" s="1264">
        <v>1</v>
      </c>
      <c r="AB20" s="1264">
        <v>1</v>
      </c>
      <c r="AC20" s="1264">
        <v>1</v>
      </c>
    </row>
    <row r="21" spans="1:29" ht="15.5">
      <c r="A21" s="367"/>
      <c r="B21" s="586" t="s">
        <v>1779</v>
      </c>
      <c r="C21" s="1754"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71"/>
      <c r="Q21" s="1263" t="str">
        <f>B21</f>
        <v>基础设施水平</v>
      </c>
      <c r="R21" s="667" t="s">
        <v>14</v>
      </c>
      <c r="S21" s="668">
        <f>F21</f>
        <v>100</v>
      </c>
      <c r="T21" s="667" t="s">
        <v>14</v>
      </c>
      <c r="U21" s="668">
        <f>H21</f>
        <v>100</v>
      </c>
      <c r="V21" s="667" t="s">
        <v>14</v>
      </c>
      <c r="W21" s="668">
        <f>J21</f>
        <v>100</v>
      </c>
      <c r="X21" s="1265"/>
      <c r="Y21" s="3473"/>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0"/>
      <c r="M22" s="2485"/>
      <c r="N22" s="2485"/>
      <c r="O22" s="2485"/>
      <c r="P22" s="3471"/>
      <c r="Q22" s="1263"/>
      <c r="R22" s="667"/>
      <c r="S22" s="668"/>
      <c r="T22" s="667"/>
      <c r="U22" s="668"/>
      <c r="V22" s="667"/>
      <c r="W22" s="668"/>
      <c r="X22" s="1265"/>
      <c r="Y22" s="3473"/>
      <c r="Z22" s="1264"/>
      <c r="AA22" s="1264">
        <v>1</v>
      </c>
      <c r="AB22" s="1264">
        <v>1</v>
      </c>
      <c r="AC22" s="1264">
        <v>1</v>
      </c>
    </row>
    <row r="23" spans="1:29" ht="70">
      <c r="A23" s="367"/>
      <c r="B23" s="390" t="s">
        <v>1261</v>
      </c>
      <c r="C23" s="1806" t="str">
        <f>估价对象房地状况!C9</f>
        <v>区域自然环境：大望京公园、善各庄公园；无人文环境；综合评价环境状况较好</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71"/>
      <c r="Q23" s="1263" t="str">
        <f>B23</f>
        <v>自然及人文环境</v>
      </c>
      <c r="R23" s="667" t="s">
        <v>14</v>
      </c>
      <c r="S23" s="668">
        <f>F23</f>
        <v>100</v>
      </c>
      <c r="T23" s="667" t="s">
        <v>14</v>
      </c>
      <c r="U23" s="668">
        <f>H23</f>
        <v>100</v>
      </c>
      <c r="V23" s="667" t="s">
        <v>14</v>
      </c>
      <c r="W23" s="668">
        <f>J23</f>
        <v>100</v>
      </c>
      <c r="X23" s="1265"/>
      <c r="Y23" s="3473"/>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0"/>
      <c r="M24" s="2485"/>
      <c r="N24" s="2485"/>
      <c r="O24" s="2485"/>
      <c r="P24" s="3471"/>
      <c r="Q24" s="1263"/>
      <c r="R24" s="667"/>
      <c r="S24" s="668"/>
      <c r="T24" s="667"/>
      <c r="U24" s="668"/>
      <c r="V24" s="667"/>
      <c r="W24" s="668"/>
      <c r="X24" s="1265"/>
      <c r="Y24" s="3473"/>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71"/>
      <c r="Q25" s="1263" t="str">
        <f t="shared" ref="Q25:Q46" si="11">B25</f>
        <v>临街状况</v>
      </c>
      <c r="R25" s="667" t="s">
        <v>14</v>
      </c>
      <c r="S25" s="668">
        <f>F25</f>
        <v>100</v>
      </c>
      <c r="T25" s="667" t="s">
        <v>14</v>
      </c>
      <c r="U25" s="668">
        <f>H25</f>
        <v>100</v>
      </c>
      <c r="V25" s="667" t="s">
        <v>14</v>
      </c>
      <c r="W25" s="668">
        <f>J25</f>
        <v>100</v>
      </c>
      <c r="X25" s="1265"/>
      <c r="Y25" s="3473"/>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71"/>
      <c r="Q26" s="1263" t="str">
        <f t="shared" si="11"/>
        <v>平面位置/可视性</v>
      </c>
      <c r="R26" s="667" t="s">
        <v>14</v>
      </c>
      <c r="S26" s="668">
        <f>F26</f>
        <v>100</v>
      </c>
      <c r="T26" s="667" t="s">
        <v>14</v>
      </c>
      <c r="U26" s="668">
        <f>H26</f>
        <v>100</v>
      </c>
      <c r="V26" s="667" t="s">
        <v>14</v>
      </c>
      <c r="W26" s="668">
        <f>J26</f>
        <v>100</v>
      </c>
      <c r="X26" s="1265"/>
      <c r="Y26" s="3473"/>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71"/>
      <c r="Q27" s="530" t="str">
        <f t="shared" si="11"/>
        <v>人流量</v>
      </c>
      <c r="R27" s="664" t="s">
        <v>14</v>
      </c>
      <c r="S27" s="665">
        <f>F27</f>
        <v>100</v>
      </c>
      <c r="T27" s="664" t="s">
        <v>14</v>
      </c>
      <c r="U27" s="665">
        <f>H27</f>
        <v>100</v>
      </c>
      <c r="V27" s="664" t="s">
        <v>14</v>
      </c>
      <c r="W27" s="665">
        <f>J27</f>
        <v>100</v>
      </c>
      <c r="X27" s="666"/>
      <c r="Y27" s="3473"/>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7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73"/>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71"/>
      <c r="Q29" s="1263">
        <f t="shared" si="11"/>
        <v>111</v>
      </c>
      <c r="R29" s="667" t="s">
        <v>14</v>
      </c>
      <c r="S29" s="668">
        <f t="shared" si="12"/>
        <v>100</v>
      </c>
      <c r="T29" s="667" t="s">
        <v>14</v>
      </c>
      <c r="U29" s="668">
        <f t="shared" si="13"/>
        <v>100</v>
      </c>
      <c r="V29" s="667" t="s">
        <v>14</v>
      </c>
      <c r="W29" s="668">
        <f t="shared" si="14"/>
        <v>100</v>
      </c>
      <c r="X29" s="1265"/>
      <c r="Y29" s="3473"/>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71"/>
      <c r="Q30" s="1263">
        <f t="shared" si="11"/>
        <v>111</v>
      </c>
      <c r="R30" s="667" t="s">
        <v>14</v>
      </c>
      <c r="S30" s="668">
        <f t="shared" si="12"/>
        <v>100</v>
      </c>
      <c r="T30" s="667" t="s">
        <v>14</v>
      </c>
      <c r="U30" s="668">
        <f t="shared" si="13"/>
        <v>100</v>
      </c>
      <c r="V30" s="667" t="s">
        <v>14</v>
      </c>
      <c r="W30" s="668">
        <f t="shared" si="14"/>
        <v>100</v>
      </c>
      <c r="X30" s="1265"/>
      <c r="Y30" s="3473"/>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71"/>
      <c r="Q31" s="1263">
        <f t="shared" si="11"/>
        <v>111</v>
      </c>
      <c r="R31" s="667" t="s">
        <v>14</v>
      </c>
      <c r="S31" s="668">
        <f t="shared" si="12"/>
        <v>100</v>
      </c>
      <c r="T31" s="667" t="s">
        <v>14</v>
      </c>
      <c r="U31" s="668">
        <f t="shared" si="13"/>
        <v>100</v>
      </c>
      <c r="V31" s="667" t="s">
        <v>14</v>
      </c>
      <c r="W31" s="668">
        <f t="shared" si="14"/>
        <v>100</v>
      </c>
      <c r="X31" s="1265"/>
      <c r="Y31" s="3473"/>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74" t="s">
        <v>1696</v>
      </c>
      <c r="Q32" s="1263" t="str">
        <f t="shared" si="11"/>
        <v>商业类型</v>
      </c>
      <c r="R32" s="667" t="s">
        <v>14</v>
      </c>
      <c r="S32" s="668">
        <f t="shared" si="12"/>
        <v>100</v>
      </c>
      <c r="T32" s="667" t="s">
        <v>14</v>
      </c>
      <c r="U32" s="668">
        <f t="shared" si="13"/>
        <v>100</v>
      </c>
      <c r="V32" s="667" t="s">
        <v>14</v>
      </c>
      <c r="W32" s="668">
        <f t="shared" si="14"/>
        <v>100</v>
      </c>
      <c r="X32" s="1265"/>
      <c r="Y32" s="3477"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75"/>
      <c r="Q33" s="531" t="str">
        <f t="shared" si="11"/>
        <v>项目建筑规模</v>
      </c>
      <c r="R33" s="669" t="s">
        <v>14</v>
      </c>
      <c r="S33" s="670" t="e">
        <f t="shared" si="12"/>
        <v>#N/A</v>
      </c>
      <c r="T33" s="669" t="s">
        <v>14</v>
      </c>
      <c r="U33" s="670" t="e">
        <f t="shared" si="13"/>
        <v>#N/A</v>
      </c>
      <c r="V33" s="669" t="s">
        <v>14</v>
      </c>
      <c r="W33" s="670" t="e">
        <f t="shared" si="14"/>
        <v>#N/A</v>
      </c>
      <c r="X33" s="671"/>
      <c r="Y33" s="3477"/>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75"/>
      <c r="Q34" s="1263" t="str">
        <f t="shared" si="11"/>
        <v>建筑结构</v>
      </c>
      <c r="R34" s="667" t="s">
        <v>14</v>
      </c>
      <c r="S34" s="668">
        <f t="shared" si="12"/>
        <v>100</v>
      </c>
      <c r="T34" s="667" t="s">
        <v>14</v>
      </c>
      <c r="U34" s="668">
        <f t="shared" si="13"/>
        <v>100</v>
      </c>
      <c r="V34" s="667" t="s">
        <v>14</v>
      </c>
      <c r="W34" s="668">
        <f t="shared" si="14"/>
        <v>100</v>
      </c>
      <c r="X34" s="1265"/>
      <c r="Y34" s="3477"/>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75"/>
      <c r="Q35" s="1263" t="str">
        <f t="shared" si="11"/>
        <v>公共部分装修</v>
      </c>
      <c r="R35" s="667" t="s">
        <v>14</v>
      </c>
      <c r="S35" s="668">
        <f t="shared" si="12"/>
        <v>100</v>
      </c>
      <c r="T35" s="667" t="s">
        <v>14</v>
      </c>
      <c r="U35" s="668">
        <f t="shared" si="13"/>
        <v>100</v>
      </c>
      <c r="V35" s="667" t="s">
        <v>14</v>
      </c>
      <c r="W35" s="668">
        <f t="shared" si="14"/>
        <v>100</v>
      </c>
      <c r="X35" s="1265"/>
      <c r="Y35" s="3477"/>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75"/>
      <c r="Q36" s="1263" t="str">
        <f t="shared" si="11"/>
        <v>成新度</v>
      </c>
      <c r="R36" s="667" t="s">
        <v>14</v>
      </c>
      <c r="S36" s="668" t="e">
        <f t="shared" si="12"/>
        <v>#N/A</v>
      </c>
      <c r="T36" s="667" t="s">
        <v>14</v>
      </c>
      <c r="U36" s="668" t="e">
        <f t="shared" si="13"/>
        <v>#N/A</v>
      </c>
      <c r="V36" s="667" t="s">
        <v>14</v>
      </c>
      <c r="W36" s="668" t="e">
        <f t="shared" si="14"/>
        <v>#N/A</v>
      </c>
      <c r="X36" s="1265"/>
      <c r="Y36" s="3477"/>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75"/>
      <c r="Q37" s="530" t="str">
        <f t="shared" si="11"/>
        <v>市政基础设施</v>
      </c>
      <c r="R37" s="664" t="s">
        <v>14</v>
      </c>
      <c r="S37" s="665">
        <f t="shared" si="12"/>
        <v>100</v>
      </c>
      <c r="T37" s="664" t="s">
        <v>14</v>
      </c>
      <c r="U37" s="665">
        <f t="shared" si="13"/>
        <v>100</v>
      </c>
      <c r="V37" s="664" t="s">
        <v>14</v>
      </c>
      <c r="W37" s="665">
        <f t="shared" si="14"/>
        <v>100</v>
      </c>
      <c r="X37" s="666"/>
      <c r="Y37" s="3477"/>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75" t="s">
        <v>1696</v>
      </c>
      <c r="Q38" s="1263" t="str">
        <f t="shared" si="11"/>
        <v>业态</v>
      </c>
      <c r="R38" s="667" t="s">
        <v>14</v>
      </c>
      <c r="S38" s="668">
        <f t="shared" si="12"/>
        <v>100</v>
      </c>
      <c r="T38" s="667" t="s">
        <v>14</v>
      </c>
      <c r="U38" s="668">
        <f t="shared" si="13"/>
        <v>100</v>
      </c>
      <c r="V38" s="667" t="s">
        <v>14</v>
      </c>
      <c r="W38" s="668">
        <f t="shared" si="14"/>
        <v>100</v>
      </c>
      <c r="X38" s="1265"/>
      <c r="Y38" s="3477"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75"/>
      <c r="Q39" s="1263" t="str">
        <f t="shared" si="11"/>
        <v>层高</v>
      </c>
      <c r="R39" s="667" t="s">
        <v>14</v>
      </c>
      <c r="S39" s="668">
        <f t="shared" si="12"/>
        <v>100</v>
      </c>
      <c r="T39" s="667" t="s">
        <v>14</v>
      </c>
      <c r="U39" s="668">
        <f t="shared" si="13"/>
        <v>100</v>
      </c>
      <c r="V39" s="667" t="s">
        <v>14</v>
      </c>
      <c r="W39" s="668">
        <f t="shared" si="14"/>
        <v>100</v>
      </c>
      <c r="X39" s="1265"/>
      <c r="Y39" s="3477"/>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75"/>
      <c r="Q40" s="1263" t="str">
        <f t="shared" si="11"/>
        <v>单套建筑面积</v>
      </c>
      <c r="R40" s="667" t="s">
        <v>14</v>
      </c>
      <c r="S40" s="668">
        <f t="shared" si="12"/>
        <v>100</v>
      </c>
      <c r="T40" s="667" t="s">
        <v>14</v>
      </c>
      <c r="U40" s="668">
        <f t="shared" si="13"/>
        <v>100</v>
      </c>
      <c r="V40" s="667" t="s">
        <v>14</v>
      </c>
      <c r="W40" s="668">
        <f t="shared" si="14"/>
        <v>100</v>
      </c>
      <c r="X40" s="1265"/>
      <c r="Y40" s="3477"/>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75"/>
      <c r="Q41" s="531" t="str">
        <f t="shared" si="11"/>
        <v>进深比</v>
      </c>
      <c r="R41" s="669" t="s">
        <v>14</v>
      </c>
      <c r="S41" s="670">
        <f t="shared" si="12"/>
        <v>100</v>
      </c>
      <c r="T41" s="669" t="s">
        <v>14</v>
      </c>
      <c r="U41" s="670">
        <f t="shared" si="13"/>
        <v>100</v>
      </c>
      <c r="V41" s="669" t="s">
        <v>14</v>
      </c>
      <c r="W41" s="670">
        <f t="shared" si="14"/>
        <v>100</v>
      </c>
      <c r="X41" s="671"/>
      <c r="Y41" s="3477"/>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75"/>
      <c r="Q42" s="1263" t="str">
        <f t="shared" si="11"/>
        <v>内部装修</v>
      </c>
      <c r="R42" s="667" t="s">
        <v>14</v>
      </c>
      <c r="S42" s="668">
        <f t="shared" si="12"/>
        <v>100</v>
      </c>
      <c r="T42" s="667" t="s">
        <v>14</v>
      </c>
      <c r="U42" s="668">
        <f t="shared" si="13"/>
        <v>100</v>
      </c>
      <c r="V42" s="667" t="s">
        <v>14</v>
      </c>
      <c r="W42" s="668">
        <f t="shared" si="14"/>
        <v>100</v>
      </c>
      <c r="X42" s="1265"/>
      <c r="Y42" s="3477"/>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75"/>
      <c r="Q43" s="1263" t="str">
        <f t="shared" si="11"/>
        <v>内部装修维护情况</v>
      </c>
      <c r="R43" s="667" t="s">
        <v>14</v>
      </c>
      <c r="S43" s="668">
        <f t="shared" si="12"/>
        <v>100</v>
      </c>
      <c r="T43" s="667" t="s">
        <v>14</v>
      </c>
      <c r="U43" s="668">
        <f t="shared" si="13"/>
        <v>100</v>
      </c>
      <c r="V43" s="667" t="s">
        <v>14</v>
      </c>
      <c r="W43" s="668">
        <f t="shared" si="14"/>
        <v>100</v>
      </c>
      <c r="X43" s="1265"/>
      <c r="Y43" s="3477"/>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75"/>
      <c r="Q44" s="530">
        <f t="shared" si="11"/>
        <v>111</v>
      </c>
      <c r="R44" s="664" t="s">
        <v>14</v>
      </c>
      <c r="S44" s="665">
        <f t="shared" si="12"/>
        <v>100</v>
      </c>
      <c r="T44" s="664" t="s">
        <v>14</v>
      </c>
      <c r="U44" s="665">
        <f t="shared" si="13"/>
        <v>100</v>
      </c>
      <c r="V44" s="664" t="s">
        <v>14</v>
      </c>
      <c r="W44" s="665">
        <f t="shared" si="14"/>
        <v>100</v>
      </c>
      <c r="X44" s="666"/>
      <c r="Y44" s="3477"/>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75"/>
      <c r="Q45" s="1263">
        <f t="shared" si="11"/>
        <v>111</v>
      </c>
      <c r="R45" s="667" t="s">
        <v>14</v>
      </c>
      <c r="S45" s="668">
        <f t="shared" si="12"/>
        <v>100</v>
      </c>
      <c r="T45" s="667" t="s">
        <v>14</v>
      </c>
      <c r="U45" s="668">
        <f t="shared" si="13"/>
        <v>100</v>
      </c>
      <c r="V45" s="667" t="s">
        <v>14</v>
      </c>
      <c r="W45" s="668">
        <f t="shared" si="14"/>
        <v>100</v>
      </c>
      <c r="X45" s="1265"/>
      <c r="Y45" s="3477"/>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76"/>
      <c r="Q46" s="1263">
        <f t="shared" si="11"/>
        <v>111</v>
      </c>
      <c r="R46" s="667" t="s">
        <v>14</v>
      </c>
      <c r="S46" s="668">
        <f t="shared" si="12"/>
        <v>100</v>
      </c>
      <c r="T46" s="667" t="s">
        <v>14</v>
      </c>
      <c r="U46" s="668">
        <f t="shared" si="13"/>
        <v>100</v>
      </c>
      <c r="V46" s="667" t="s">
        <v>14</v>
      </c>
      <c r="W46" s="668">
        <f t="shared" si="14"/>
        <v>100</v>
      </c>
      <c r="X46" s="1265"/>
      <c r="Y46" s="3478"/>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2"/>
      <c r="M47" s="2485"/>
      <c r="N47" s="2485"/>
      <c r="O47" s="2485"/>
      <c r="P47" s="3479" t="str">
        <f>A47</f>
        <v>成交单价（元/平方米）</v>
      </c>
      <c r="Q47" s="3479"/>
      <c r="R47" s="3467">
        <f>E47</f>
        <v>0</v>
      </c>
      <c r="S47" s="3467"/>
      <c r="T47" s="3467">
        <f>G47</f>
        <v>0</v>
      </c>
      <c r="U47" s="3467"/>
      <c r="V47" s="3467">
        <f>I47</f>
        <v>0</v>
      </c>
      <c r="W47" s="3467"/>
      <c r="X47" s="385"/>
      <c r="Y47" s="673"/>
      <c r="Z47" s="385"/>
      <c r="AA47" s="385"/>
      <c r="AB47" s="385"/>
      <c r="AC47" s="385"/>
    </row>
    <row r="48" spans="1:29" ht="14.5" thickBot="1">
      <c r="A48" s="423" t="s">
        <v>1793</v>
      </c>
      <c r="B48" s="424"/>
      <c r="C48" s="1082" t="e">
        <f>R49</f>
        <v>#DIV/0!</v>
      </c>
      <c r="D48" s="2141" t="s">
        <v>2138</v>
      </c>
      <c r="E48" s="1083" t="e">
        <f>R48</f>
        <v>#DIV/0!</v>
      </c>
      <c r="F48" s="2142"/>
      <c r="G48" s="1082" t="e">
        <f>T48</f>
        <v>#DIV/0!</v>
      </c>
      <c r="H48" s="2142"/>
      <c r="I48" s="1083" t="e">
        <f>V48</f>
        <v>#DIV/0!</v>
      </c>
      <c r="J48" s="2142"/>
      <c r="K48" s="2144">
        <f>F48+H48+J48</f>
        <v>0</v>
      </c>
      <c r="L48" s="2492"/>
      <c r="M48" s="2485"/>
      <c r="N48" s="2485"/>
      <c r="O48" s="2485"/>
      <c r="P48" s="3479" t="str">
        <f>A48</f>
        <v>比较价值（元/平方米）</v>
      </c>
      <c r="Q48" s="3479"/>
      <c r="R48" s="3467" t="e">
        <f>IF(F1="售价",ROUND(PRODUCT(R47,AA7:AA46),0),ROUND(PRODUCT(R47,AA7:AA46),1))</f>
        <v>#DIV/0!</v>
      </c>
      <c r="S48" s="3467"/>
      <c r="T48" s="3467" t="e">
        <f>IF(F1="售价",ROUND(PRODUCT(T47,AB7:AB46),0),ROUND(PRODUCT(T47,AB7:AB46),1))</f>
        <v>#DIV/0!</v>
      </c>
      <c r="U48" s="3467"/>
      <c r="V48" s="3467" t="e">
        <f>IF(F1="售价",ROUND(PRODUCT(V47,AC7:AC46),0),ROUND(PRODUCT(V47,AC7:AC46),1))</f>
        <v>#DIV/0!</v>
      </c>
      <c r="W48" s="3467"/>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2"/>
      <c r="M49" s="2485"/>
      <c r="N49" s="2485"/>
      <c r="O49" s="2485"/>
      <c r="P49" s="3516" t="str">
        <f>A49</f>
        <v>估价对象XX用房的比较价值（楼面单价，元/平方米）</v>
      </c>
      <c r="Q49" s="3517"/>
      <c r="R49" s="3518" t="e">
        <f>IF(F1="售价",ROUND(IF(D48="简单平均",AVERAGE(R48:V48),R48*F48+T48*H48+V48*J48),0),ROUND(IF(D48="简单平均",AVERAGE(R48:V48),R48*F48+T48*H48+V48*J48),1))</f>
        <v>#DIV/0!</v>
      </c>
      <c r="S49" s="3518"/>
      <c r="T49" s="3518"/>
      <c r="U49" s="3518"/>
      <c r="V49" s="3518"/>
      <c r="W49" s="3518"/>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c r="A58" s="440" t="s">
        <v>1679</v>
      </c>
      <c r="B58" s="441"/>
      <c r="C58" s="1103" t="str">
        <f>YEAR(C7)&amp;"-"&amp;MONTH(C7)</f>
        <v>2025-9</v>
      </c>
      <c r="D58" s="1104">
        <f>EDATE(C58,-1)</f>
        <v>45870</v>
      </c>
      <c r="E58" s="1104">
        <f t="shared" ref="E58:N58" si="16">EDATE(D58,-1)</f>
        <v>45839</v>
      </c>
      <c r="F58" s="1104">
        <f t="shared" si="16"/>
        <v>45809</v>
      </c>
      <c r="G58" s="1104">
        <f t="shared" si="16"/>
        <v>45778</v>
      </c>
      <c r="H58" s="1104">
        <f t="shared" si="16"/>
        <v>45748</v>
      </c>
      <c r="I58" s="1104">
        <f t="shared" si="16"/>
        <v>45717</v>
      </c>
      <c r="J58" s="1104">
        <f t="shared" si="16"/>
        <v>45689</v>
      </c>
      <c r="K58" s="1104">
        <f t="shared" si="16"/>
        <v>45658</v>
      </c>
      <c r="L58" s="1104">
        <f t="shared" si="16"/>
        <v>45627</v>
      </c>
      <c r="M58" s="1104">
        <f t="shared" si="16"/>
        <v>45597</v>
      </c>
      <c r="N58" s="1104">
        <f t="shared" si="16"/>
        <v>45566</v>
      </c>
      <c r="O58" s="1104">
        <f>EDATE(N58,-1)</f>
        <v>45536</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4.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5"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8.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4.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4.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4.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4.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4.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5"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5"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4.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4.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4.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4.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4.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4.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4.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4.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55858.959999999992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454" t="s">
        <v>1770</v>
      </c>
      <c r="D4" s="3455"/>
      <c r="E4" s="3456" t="s">
        <v>1771</v>
      </c>
      <c r="F4" s="3457"/>
      <c r="G4" s="3454" t="s">
        <v>1772</v>
      </c>
      <c r="H4" s="3455"/>
      <c r="I4" s="3454" t="s">
        <v>1773</v>
      </c>
      <c r="J4" s="3455"/>
      <c r="K4" s="537" t="s">
        <v>1774</v>
      </c>
      <c r="L4" s="860"/>
      <c r="M4" s="861"/>
      <c r="N4" s="861"/>
      <c r="O4" s="861"/>
      <c r="P4" s="3512" t="s">
        <v>1775</v>
      </c>
      <c r="Q4" s="3513"/>
      <c r="R4" s="3510" t="s">
        <v>1771</v>
      </c>
      <c r="S4" s="3511"/>
      <c r="T4" s="3510" t="s">
        <v>1772</v>
      </c>
      <c r="U4" s="3511"/>
      <c r="V4" s="3467" t="s">
        <v>1773</v>
      </c>
      <c r="W4" s="3467"/>
      <c r="X4" s="1265"/>
      <c r="Y4" s="3510" t="s">
        <v>1775</v>
      </c>
      <c r="Z4" s="3511"/>
      <c r="AA4" s="3509" t="s">
        <v>1771</v>
      </c>
      <c r="AB4" s="3432" t="s">
        <v>1772</v>
      </c>
      <c r="AC4" s="3509" t="s">
        <v>1773</v>
      </c>
    </row>
    <row r="5" spans="1:29">
      <c r="A5" s="348"/>
      <c r="B5" s="349"/>
      <c r="C5" s="3446" t="s">
        <v>1673</v>
      </c>
      <c r="D5" s="3443"/>
      <c r="E5" s="3440" t="s">
        <v>1674</v>
      </c>
      <c r="F5" s="3441"/>
      <c r="G5" s="3446" t="s">
        <v>1675</v>
      </c>
      <c r="H5" s="3443"/>
      <c r="I5" s="3446" t="s">
        <v>1676</v>
      </c>
      <c r="J5" s="3443"/>
      <c r="K5" s="537"/>
      <c r="L5" s="860"/>
      <c r="M5" s="861"/>
      <c r="N5" s="861"/>
      <c r="O5" s="861"/>
      <c r="P5" s="3514"/>
      <c r="Q5" s="3461"/>
      <c r="R5" s="3438"/>
      <c r="S5" s="3439"/>
      <c r="T5" s="3438"/>
      <c r="U5" s="3439"/>
      <c r="V5" s="3467"/>
      <c r="W5" s="3467"/>
      <c r="X5" s="1265"/>
      <c r="Y5" s="3438"/>
      <c r="Z5" s="3439"/>
      <c r="AA5" s="3432"/>
      <c r="AB5" s="3432"/>
      <c r="AC5" s="3432"/>
    </row>
    <row r="6" spans="1:29" ht="15" thickBot="1">
      <c r="A6" s="350"/>
      <c r="B6" s="351"/>
      <c r="C6" s="3449" t="s">
        <v>1677</v>
      </c>
      <c r="D6" s="3445"/>
      <c r="E6" s="3447" t="s">
        <v>1677</v>
      </c>
      <c r="F6" s="3448"/>
      <c r="G6" s="3449" t="s">
        <v>1677</v>
      </c>
      <c r="H6" s="3445"/>
      <c r="I6" s="3449" t="s">
        <v>1677</v>
      </c>
      <c r="J6" s="3445"/>
      <c r="K6" s="537" t="s">
        <v>1678</v>
      </c>
      <c r="L6" s="860"/>
      <c r="M6" s="861"/>
      <c r="N6" s="861"/>
      <c r="O6" s="861"/>
      <c r="P6" s="3515"/>
      <c r="Q6" s="3463"/>
      <c r="R6" s="3438"/>
      <c r="S6" s="3439"/>
      <c r="T6" s="3464"/>
      <c r="U6" s="3465"/>
      <c r="V6" s="3467"/>
      <c r="W6" s="3467"/>
      <c r="X6" s="1265"/>
      <c r="Y6" s="3464"/>
      <c r="Z6" s="3465"/>
      <c r="AA6" s="3433"/>
      <c r="AB6" s="3433"/>
      <c r="AC6" s="3433"/>
    </row>
    <row r="7" spans="1:29" s="102" customFormat="1" ht="14.5" thickBot="1">
      <c r="A7" s="352" t="s">
        <v>1679</v>
      </c>
      <c r="B7" s="353"/>
      <c r="C7" s="354">
        <f>'数据-取费表'!B2</f>
        <v>45901</v>
      </c>
      <c r="D7" s="355">
        <v>100</v>
      </c>
      <c r="E7" s="356"/>
      <c r="F7" s="357">
        <f>SUMIF(52:52,YEAR(E7)&amp;"-"&amp;MONTH(E7),53:53)</f>
        <v>0</v>
      </c>
      <c r="G7" s="356"/>
      <c r="H7" s="355">
        <f>SUMIF(52:52,YEAR(G7)&amp;"-"&amp;MONTH(G7),53:53)</f>
        <v>0</v>
      </c>
      <c r="I7" s="356"/>
      <c r="J7" s="355">
        <f>SUMIF(52:52,YEAR(I7)&amp;"-"&amp;MONTH(I7),53:53)</f>
        <v>0</v>
      </c>
      <c r="K7" s="38"/>
      <c r="L7" s="862"/>
      <c r="M7" s="863"/>
      <c r="N7" s="863"/>
      <c r="O7" s="863"/>
      <c r="P7" s="3434" t="s">
        <v>1680</v>
      </c>
      <c r="Q7" s="3469"/>
      <c r="R7" s="664" t="s">
        <v>14</v>
      </c>
      <c r="S7" s="665">
        <f t="shared" ref="S7:S15" si="0">F7</f>
        <v>0</v>
      </c>
      <c r="T7" s="664" t="s">
        <v>14</v>
      </c>
      <c r="U7" s="665">
        <f t="shared" ref="U7:U15" si="1">H7</f>
        <v>0</v>
      </c>
      <c r="V7" s="664" t="s">
        <v>14</v>
      </c>
      <c r="W7" s="665">
        <f t="shared" ref="W7:W15" si="2">J7</f>
        <v>0</v>
      </c>
      <c r="X7" s="666"/>
      <c r="Y7" s="3434" t="s">
        <v>1680</v>
      </c>
      <c r="Z7" s="3435"/>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34" t="s">
        <v>1683</v>
      </c>
      <c r="Q8" s="3435"/>
      <c r="R8" s="664" t="s">
        <v>14</v>
      </c>
      <c r="S8" s="665">
        <f t="shared" si="0"/>
        <v>100</v>
      </c>
      <c r="T8" s="664" t="s">
        <v>14</v>
      </c>
      <c r="U8" s="665">
        <f t="shared" si="1"/>
        <v>100</v>
      </c>
      <c r="V8" s="664" t="s">
        <v>14</v>
      </c>
      <c r="W8" s="665">
        <f t="shared" si="2"/>
        <v>100</v>
      </c>
      <c r="X8" s="666"/>
      <c r="Y8" s="3434" t="s">
        <v>1683</v>
      </c>
      <c r="Z8" s="343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79" t="s">
        <v>1686</v>
      </c>
      <c r="Q9" s="530" t="str">
        <f t="shared" ref="Q9:Q15" si="6">B9</f>
        <v>用途</v>
      </c>
      <c r="R9" s="664" t="s">
        <v>14</v>
      </c>
      <c r="S9" s="665">
        <f t="shared" si="0"/>
        <v>100</v>
      </c>
      <c r="T9" s="664" t="s">
        <v>14</v>
      </c>
      <c r="U9" s="665">
        <f t="shared" si="1"/>
        <v>100</v>
      </c>
      <c r="V9" s="664" t="s">
        <v>14</v>
      </c>
      <c r="W9" s="665">
        <f t="shared" si="2"/>
        <v>100</v>
      </c>
      <c r="X9" s="666"/>
      <c r="Y9" s="3404" t="s">
        <v>1687</v>
      </c>
      <c r="Z9" s="50" t="str">
        <f t="shared" ref="Z9:Z15" si="7">Q9</f>
        <v>用途</v>
      </c>
      <c r="AA9" s="50">
        <f t="shared" si="3"/>
        <v>1</v>
      </c>
      <c r="AB9" s="50">
        <f t="shared" si="4"/>
        <v>1</v>
      </c>
      <c r="AC9" s="50">
        <f t="shared" si="5"/>
        <v>1</v>
      </c>
    </row>
    <row r="10" spans="1:29" s="366" customFormat="1" ht="2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79"/>
      <c r="Q10" s="530" t="str">
        <f t="shared" si="6"/>
        <v>土地使用年限（年）</v>
      </c>
      <c r="R10" s="664" t="s">
        <v>14</v>
      </c>
      <c r="S10" s="665">
        <f t="shared" si="0"/>
        <v>100</v>
      </c>
      <c r="T10" s="664" t="s">
        <v>14</v>
      </c>
      <c r="U10" s="665">
        <f t="shared" si="1"/>
        <v>100</v>
      </c>
      <c r="V10" s="664" t="s">
        <v>14</v>
      </c>
      <c r="W10" s="665">
        <f t="shared" si="2"/>
        <v>100</v>
      </c>
      <c r="X10" s="666"/>
      <c r="Y10" s="3404"/>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79"/>
      <c r="Q11" s="530" t="str">
        <f t="shared" si="6"/>
        <v>容积率</v>
      </c>
      <c r="R11" s="664" t="s">
        <v>14</v>
      </c>
      <c r="S11" s="665">
        <f t="shared" si="0"/>
        <v>100</v>
      </c>
      <c r="T11" s="664" t="s">
        <v>14</v>
      </c>
      <c r="U11" s="665">
        <f t="shared" si="1"/>
        <v>100</v>
      </c>
      <c r="V11" s="664" t="s">
        <v>14</v>
      </c>
      <c r="W11" s="665">
        <f t="shared" si="2"/>
        <v>100</v>
      </c>
      <c r="X11" s="666"/>
      <c r="Y11" s="3404"/>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79"/>
      <c r="Q12" s="530">
        <f t="shared" si="6"/>
        <v>111</v>
      </c>
      <c r="R12" s="664" t="s">
        <v>14</v>
      </c>
      <c r="S12" s="665">
        <f t="shared" si="0"/>
        <v>100</v>
      </c>
      <c r="T12" s="664" t="s">
        <v>14</v>
      </c>
      <c r="U12" s="665">
        <f t="shared" si="1"/>
        <v>100</v>
      </c>
      <c r="V12" s="664" t="s">
        <v>14</v>
      </c>
      <c r="W12" s="665">
        <f t="shared" si="2"/>
        <v>100</v>
      </c>
      <c r="X12" s="666"/>
      <c r="Y12" s="3404"/>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79"/>
      <c r="Q13" s="530">
        <f t="shared" si="6"/>
        <v>111</v>
      </c>
      <c r="R13" s="664" t="s">
        <v>14</v>
      </c>
      <c r="S13" s="665">
        <f t="shared" si="0"/>
        <v>100</v>
      </c>
      <c r="T13" s="664" t="s">
        <v>14</v>
      </c>
      <c r="U13" s="665">
        <f t="shared" si="1"/>
        <v>100</v>
      </c>
      <c r="V13" s="664" t="s">
        <v>14</v>
      </c>
      <c r="W13" s="665">
        <f t="shared" si="2"/>
        <v>100</v>
      </c>
      <c r="X13" s="666"/>
      <c r="Y13" s="3404"/>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79"/>
      <c r="Q14" s="530">
        <f t="shared" si="6"/>
        <v>111</v>
      </c>
      <c r="R14" s="664" t="s">
        <v>14</v>
      </c>
      <c r="S14" s="665">
        <f t="shared" si="0"/>
        <v>100</v>
      </c>
      <c r="T14" s="664" t="s">
        <v>14</v>
      </c>
      <c r="U14" s="665">
        <f t="shared" si="1"/>
        <v>100</v>
      </c>
      <c r="V14" s="664" t="s">
        <v>14</v>
      </c>
      <c r="W14" s="665">
        <f t="shared" si="2"/>
        <v>100</v>
      </c>
      <c r="X14" s="666"/>
      <c r="Y14" s="3404"/>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72" t="s">
        <v>1691</v>
      </c>
      <c r="Q15" s="1263" t="str">
        <f t="shared" si="6"/>
        <v>产业集聚程度</v>
      </c>
      <c r="R15" s="667" t="s">
        <v>14</v>
      </c>
      <c r="S15" s="668">
        <f t="shared" si="0"/>
        <v>100</v>
      </c>
      <c r="T15" s="667" t="s">
        <v>14</v>
      </c>
      <c r="U15" s="668">
        <f t="shared" si="1"/>
        <v>100</v>
      </c>
      <c r="V15" s="667" t="s">
        <v>14</v>
      </c>
      <c r="W15" s="668">
        <f t="shared" si="2"/>
        <v>100</v>
      </c>
      <c r="X15" s="1265"/>
      <c r="Y15" s="3472"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473"/>
      <c r="Q16" s="1263"/>
      <c r="R16" s="667"/>
      <c r="S16" s="668"/>
      <c r="T16" s="667"/>
      <c r="U16" s="668"/>
      <c r="V16" s="667"/>
      <c r="W16" s="668"/>
      <c r="X16" s="1265"/>
      <c r="Y16" s="3473"/>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73"/>
      <c r="Q17" s="1263" t="str">
        <f>B17</f>
        <v>交通便捷度</v>
      </c>
      <c r="R17" s="667" t="s">
        <v>14</v>
      </c>
      <c r="S17" s="668">
        <f>F17</f>
        <v>100</v>
      </c>
      <c r="T17" s="667" t="s">
        <v>14</v>
      </c>
      <c r="U17" s="668">
        <f>H17</f>
        <v>100</v>
      </c>
      <c r="V17" s="667" t="s">
        <v>14</v>
      </c>
      <c r="W17" s="668">
        <f>J17</f>
        <v>100</v>
      </c>
      <c r="X17" s="1265"/>
      <c r="Y17" s="3473"/>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473"/>
      <c r="Q18" s="1263"/>
      <c r="R18" s="667"/>
      <c r="S18" s="668"/>
      <c r="T18" s="667"/>
      <c r="U18" s="668"/>
      <c r="V18" s="667"/>
      <c r="W18" s="668"/>
      <c r="X18" s="1265"/>
      <c r="Y18" s="3473"/>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73"/>
      <c r="Q19" s="1263" t="str">
        <f>B19</f>
        <v>公共配套设施</v>
      </c>
      <c r="R19" s="667" t="s">
        <v>14</v>
      </c>
      <c r="S19" s="668">
        <f>F19</f>
        <v>100</v>
      </c>
      <c r="T19" s="667" t="s">
        <v>14</v>
      </c>
      <c r="U19" s="668">
        <f>H19</f>
        <v>100</v>
      </c>
      <c r="V19" s="667" t="s">
        <v>14</v>
      </c>
      <c r="W19" s="668">
        <f>J19</f>
        <v>100</v>
      </c>
      <c r="X19" s="1265"/>
      <c r="Y19" s="3473"/>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473"/>
      <c r="Q20" s="1263"/>
      <c r="R20" s="667"/>
      <c r="S20" s="668"/>
      <c r="T20" s="667"/>
      <c r="U20" s="668"/>
      <c r="V20" s="667"/>
      <c r="W20" s="668"/>
      <c r="X20" s="1265"/>
      <c r="Y20" s="3473"/>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73"/>
      <c r="Q21" s="1263" t="str">
        <f>B21</f>
        <v>基础设施水平</v>
      </c>
      <c r="R21" s="667" t="s">
        <v>14</v>
      </c>
      <c r="S21" s="668">
        <f>F21</f>
        <v>100</v>
      </c>
      <c r="T21" s="667" t="s">
        <v>14</v>
      </c>
      <c r="U21" s="668">
        <f>H21</f>
        <v>100</v>
      </c>
      <c r="V21" s="667" t="s">
        <v>14</v>
      </c>
      <c r="W21" s="668">
        <f>J21</f>
        <v>100</v>
      </c>
      <c r="X21" s="1265"/>
      <c r="Y21" s="3473"/>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473"/>
      <c r="Q22" s="1263"/>
      <c r="R22" s="667"/>
      <c r="S22" s="668"/>
      <c r="T22" s="667"/>
      <c r="U22" s="668"/>
      <c r="V22" s="667"/>
      <c r="W22" s="668"/>
      <c r="X22" s="1265"/>
      <c r="Y22" s="3473"/>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73"/>
      <c r="Q23" s="1263" t="str">
        <f>B23</f>
        <v>环境质量</v>
      </c>
      <c r="R23" s="667" t="s">
        <v>14</v>
      </c>
      <c r="S23" s="668">
        <f>F23</f>
        <v>100</v>
      </c>
      <c r="T23" s="667" t="s">
        <v>14</v>
      </c>
      <c r="U23" s="668">
        <f>H23</f>
        <v>100</v>
      </c>
      <c r="V23" s="667" t="s">
        <v>14</v>
      </c>
      <c r="W23" s="668">
        <f>J23</f>
        <v>100</v>
      </c>
      <c r="X23" s="1265"/>
      <c r="Y23" s="3473"/>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473"/>
      <c r="Q24" s="1263"/>
      <c r="R24" s="667"/>
      <c r="S24" s="668"/>
      <c r="T24" s="667"/>
      <c r="U24" s="668"/>
      <c r="V24" s="667"/>
      <c r="W24" s="668"/>
      <c r="X24" s="1265"/>
      <c r="Y24" s="3473"/>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73"/>
      <c r="Q25" s="1263">
        <f>B25</f>
        <v>111</v>
      </c>
      <c r="R25" s="667" t="s">
        <v>14</v>
      </c>
      <c r="S25" s="668">
        <f>F25</f>
        <v>100</v>
      </c>
      <c r="T25" s="667" t="s">
        <v>14</v>
      </c>
      <c r="U25" s="668">
        <f>H25</f>
        <v>100</v>
      </c>
      <c r="V25" s="667" t="s">
        <v>14</v>
      </c>
      <c r="W25" s="668">
        <f>J25</f>
        <v>100</v>
      </c>
      <c r="X25" s="1265"/>
      <c r="Y25" s="3473"/>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73"/>
      <c r="Q26" s="1263">
        <f t="shared" ref="Q26:Q40" si="11">B26</f>
        <v>111</v>
      </c>
      <c r="R26" s="667" t="s">
        <v>14</v>
      </c>
      <c r="S26" s="668">
        <f>F26</f>
        <v>100</v>
      </c>
      <c r="T26" s="667" t="s">
        <v>14</v>
      </c>
      <c r="U26" s="668">
        <f>H26</f>
        <v>100</v>
      </c>
      <c r="V26" s="667" t="s">
        <v>14</v>
      </c>
      <c r="W26" s="668">
        <f>J26</f>
        <v>100</v>
      </c>
      <c r="X26" s="1265"/>
      <c r="Y26" s="3473"/>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73"/>
      <c r="Q27" s="530">
        <f t="shared" si="11"/>
        <v>111</v>
      </c>
      <c r="R27" s="664" t="s">
        <v>14</v>
      </c>
      <c r="S27" s="665">
        <f>F27</f>
        <v>100</v>
      </c>
      <c r="T27" s="664" t="s">
        <v>14</v>
      </c>
      <c r="U27" s="665">
        <f>H27</f>
        <v>100</v>
      </c>
      <c r="V27" s="664" t="s">
        <v>14</v>
      </c>
      <c r="W27" s="665">
        <f>J27</f>
        <v>100</v>
      </c>
      <c r="X27" s="666"/>
      <c r="Y27" s="3473"/>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73"/>
      <c r="Q28" s="1263">
        <f t="shared" si="11"/>
        <v>111</v>
      </c>
      <c r="R28" s="667" t="s">
        <v>14</v>
      </c>
      <c r="S28" s="668">
        <f t="shared" ref="S28:S40" si="12">F28</f>
        <v>100</v>
      </c>
      <c r="T28" s="667" t="s">
        <v>14</v>
      </c>
      <c r="U28" s="668">
        <f t="shared" ref="U28:U40" si="13">H28</f>
        <v>100</v>
      </c>
      <c r="V28" s="667" t="s">
        <v>14</v>
      </c>
      <c r="W28" s="668">
        <f t="shared" ref="W28:W40" si="14">J28</f>
        <v>100</v>
      </c>
      <c r="X28" s="1265"/>
      <c r="Y28" s="3473"/>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519" t="s">
        <v>1696</v>
      </c>
      <c r="Q29" s="1263" t="str">
        <f t="shared" si="11"/>
        <v>建筑类型</v>
      </c>
      <c r="R29" s="667" t="s">
        <v>14</v>
      </c>
      <c r="S29" s="668">
        <f t="shared" si="12"/>
        <v>100</v>
      </c>
      <c r="T29" s="667" t="s">
        <v>14</v>
      </c>
      <c r="U29" s="668">
        <f t="shared" si="13"/>
        <v>100</v>
      </c>
      <c r="V29" s="667" t="s">
        <v>14</v>
      </c>
      <c r="W29" s="668">
        <f t="shared" si="14"/>
        <v>100</v>
      </c>
      <c r="X29" s="1265"/>
      <c r="Y29" s="3477"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77"/>
      <c r="Q30" s="531" t="str">
        <f t="shared" si="11"/>
        <v>项目建筑规模</v>
      </c>
      <c r="R30" s="669" t="s">
        <v>14</v>
      </c>
      <c r="S30" s="670" t="e">
        <f t="shared" si="12"/>
        <v>#N/A</v>
      </c>
      <c r="T30" s="669" t="s">
        <v>14</v>
      </c>
      <c r="U30" s="670" t="e">
        <f t="shared" si="13"/>
        <v>#N/A</v>
      </c>
      <c r="V30" s="669" t="s">
        <v>14</v>
      </c>
      <c r="W30" s="670" t="e">
        <f t="shared" si="14"/>
        <v>#N/A</v>
      </c>
      <c r="X30" s="671"/>
      <c r="Y30" s="3477"/>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77"/>
      <c r="Q31" s="1263" t="str">
        <f t="shared" si="11"/>
        <v>建筑结构</v>
      </c>
      <c r="R31" s="667" t="s">
        <v>14</v>
      </c>
      <c r="S31" s="668">
        <f t="shared" si="12"/>
        <v>100</v>
      </c>
      <c r="T31" s="667" t="s">
        <v>14</v>
      </c>
      <c r="U31" s="668">
        <f t="shared" si="13"/>
        <v>100</v>
      </c>
      <c r="V31" s="667" t="s">
        <v>14</v>
      </c>
      <c r="W31" s="668">
        <f t="shared" si="14"/>
        <v>100</v>
      </c>
      <c r="X31" s="1265"/>
      <c r="Y31" s="3477"/>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77"/>
      <c r="Q32" s="1263" t="str">
        <f t="shared" si="11"/>
        <v>公共部分装修</v>
      </c>
      <c r="R32" s="667" t="s">
        <v>14</v>
      </c>
      <c r="S32" s="668">
        <f t="shared" si="12"/>
        <v>100</v>
      </c>
      <c r="T32" s="667" t="s">
        <v>14</v>
      </c>
      <c r="U32" s="668">
        <f t="shared" si="13"/>
        <v>100</v>
      </c>
      <c r="V32" s="667" t="s">
        <v>14</v>
      </c>
      <c r="W32" s="668">
        <f t="shared" si="14"/>
        <v>100</v>
      </c>
      <c r="X32" s="1265"/>
      <c r="Y32" s="3477"/>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77"/>
      <c r="Q33" s="1263" t="str">
        <f t="shared" si="11"/>
        <v>成新度</v>
      </c>
      <c r="R33" s="667" t="s">
        <v>14</v>
      </c>
      <c r="S33" s="668" t="e">
        <f t="shared" si="12"/>
        <v>#N/A</v>
      </c>
      <c r="T33" s="667" t="s">
        <v>14</v>
      </c>
      <c r="U33" s="668" t="e">
        <f t="shared" si="13"/>
        <v>#N/A</v>
      </c>
      <c r="V33" s="667" t="s">
        <v>14</v>
      </c>
      <c r="W33" s="668" t="e">
        <f t="shared" si="14"/>
        <v>#N/A</v>
      </c>
      <c r="X33" s="1265"/>
      <c r="Y33" s="3477"/>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77"/>
      <c r="Q34" s="530" t="str">
        <f t="shared" si="11"/>
        <v>物业管理</v>
      </c>
      <c r="R34" s="664" t="s">
        <v>14</v>
      </c>
      <c r="S34" s="665">
        <f t="shared" si="12"/>
        <v>100</v>
      </c>
      <c r="T34" s="664" t="s">
        <v>14</v>
      </c>
      <c r="U34" s="665">
        <f t="shared" si="13"/>
        <v>100</v>
      </c>
      <c r="V34" s="664" t="s">
        <v>14</v>
      </c>
      <c r="W34" s="665">
        <f t="shared" si="14"/>
        <v>100</v>
      </c>
      <c r="X34" s="666"/>
      <c r="Y34" s="3477"/>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77" t="s">
        <v>1696</v>
      </c>
      <c r="Q35" s="1263" t="str">
        <f t="shared" si="11"/>
        <v>市政基础设施</v>
      </c>
      <c r="R35" s="667" t="s">
        <v>14</v>
      </c>
      <c r="S35" s="668">
        <f t="shared" si="12"/>
        <v>100</v>
      </c>
      <c r="T35" s="667" t="s">
        <v>14</v>
      </c>
      <c r="U35" s="668">
        <f t="shared" si="13"/>
        <v>100</v>
      </c>
      <c r="V35" s="667" t="s">
        <v>14</v>
      </c>
      <c r="W35" s="668">
        <f t="shared" si="14"/>
        <v>100</v>
      </c>
      <c r="X35" s="1265"/>
      <c r="Y35" s="3477"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77"/>
      <c r="Q36" s="1263" t="str">
        <f t="shared" si="11"/>
        <v>内部装修</v>
      </c>
      <c r="R36" s="667" t="s">
        <v>14</v>
      </c>
      <c r="S36" s="668">
        <f t="shared" si="12"/>
        <v>100</v>
      </c>
      <c r="T36" s="667" t="s">
        <v>14</v>
      </c>
      <c r="U36" s="668">
        <f t="shared" si="13"/>
        <v>100</v>
      </c>
      <c r="V36" s="667" t="s">
        <v>14</v>
      </c>
      <c r="W36" s="668">
        <f t="shared" si="14"/>
        <v>100</v>
      </c>
      <c r="X36" s="1265"/>
      <c r="Y36" s="3477"/>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77"/>
      <c r="Q37" s="1263" t="str">
        <f t="shared" si="11"/>
        <v>内部装修状况</v>
      </c>
      <c r="R37" s="667" t="s">
        <v>14</v>
      </c>
      <c r="S37" s="668">
        <f t="shared" si="12"/>
        <v>100</v>
      </c>
      <c r="T37" s="667" t="s">
        <v>14</v>
      </c>
      <c r="U37" s="668">
        <f t="shared" si="13"/>
        <v>100</v>
      </c>
      <c r="V37" s="667" t="s">
        <v>14</v>
      </c>
      <c r="W37" s="668">
        <f t="shared" si="14"/>
        <v>100</v>
      </c>
      <c r="X37" s="1265"/>
      <c r="Y37" s="3477"/>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77"/>
      <c r="Q38" s="531">
        <f t="shared" si="11"/>
        <v>111</v>
      </c>
      <c r="R38" s="669" t="s">
        <v>14</v>
      </c>
      <c r="S38" s="670">
        <f t="shared" si="12"/>
        <v>100</v>
      </c>
      <c r="T38" s="669" t="s">
        <v>14</v>
      </c>
      <c r="U38" s="670">
        <f t="shared" si="13"/>
        <v>100</v>
      </c>
      <c r="V38" s="669" t="s">
        <v>14</v>
      </c>
      <c r="W38" s="670">
        <f t="shared" si="14"/>
        <v>100</v>
      </c>
      <c r="X38" s="671"/>
      <c r="Y38" s="3477"/>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77"/>
      <c r="Q39" s="1263">
        <f t="shared" si="11"/>
        <v>111</v>
      </c>
      <c r="R39" s="667" t="s">
        <v>14</v>
      </c>
      <c r="S39" s="668">
        <f t="shared" si="12"/>
        <v>100</v>
      </c>
      <c r="T39" s="667" t="s">
        <v>14</v>
      </c>
      <c r="U39" s="668">
        <f t="shared" si="13"/>
        <v>100</v>
      </c>
      <c r="V39" s="667" t="s">
        <v>14</v>
      </c>
      <c r="W39" s="668">
        <f t="shared" si="14"/>
        <v>100</v>
      </c>
      <c r="X39" s="1265"/>
      <c r="Y39" s="3477"/>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78"/>
      <c r="Q40" s="1263">
        <f t="shared" si="11"/>
        <v>111</v>
      </c>
      <c r="R40" s="667" t="s">
        <v>14</v>
      </c>
      <c r="S40" s="668">
        <f t="shared" si="12"/>
        <v>100</v>
      </c>
      <c r="T40" s="667" t="s">
        <v>14</v>
      </c>
      <c r="U40" s="668">
        <f t="shared" si="13"/>
        <v>100</v>
      </c>
      <c r="V40" s="667" t="s">
        <v>14</v>
      </c>
      <c r="W40" s="668">
        <f t="shared" si="14"/>
        <v>100</v>
      </c>
      <c r="X40" s="1265"/>
      <c r="Y40" s="3478"/>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479" t="str">
        <f>A41</f>
        <v>成交单价（元/平方米）</v>
      </c>
      <c r="Q41" s="3479"/>
      <c r="R41" s="3467">
        <f>E41</f>
        <v>0</v>
      </c>
      <c r="S41" s="3467"/>
      <c r="T41" s="3467">
        <f>G41</f>
        <v>0</v>
      </c>
      <c r="U41" s="3467"/>
      <c r="V41" s="3467">
        <f>I41</f>
        <v>0</v>
      </c>
      <c r="W41" s="3467"/>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79" t="str">
        <f>A42</f>
        <v>比较价值（元/平方米）</v>
      </c>
      <c r="Q42" s="3479"/>
      <c r="R42" s="3467" t="e">
        <f>IF(F1="售价",ROUND(PRODUCT(R41,AA7:AA40),0),ROUND(PRODUCT(R41,AA7:AA40),1))</f>
        <v>#DIV/0!</v>
      </c>
      <c r="S42" s="3467"/>
      <c r="T42" s="3467" t="e">
        <f>IF(F1="售价",ROUND(PRODUCT(T41,AB7:AB40),0),ROUND(PRODUCT(T41,AB7:AB40),1))</f>
        <v>#DIV/0!</v>
      </c>
      <c r="U42" s="3467"/>
      <c r="V42" s="3467" t="e">
        <f>IF(F1="售价",ROUND(PRODUCT(V41,AC7:AC40),0),ROUND(PRODUCT(V41,AC7:AC40),1))</f>
        <v>#DIV/0!</v>
      </c>
      <c r="W42" s="3467"/>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516" t="str">
        <f>A43</f>
        <v>估价对象XX用房的比较价值（楼面单价，元/平方米）</v>
      </c>
      <c r="Q43" s="3517"/>
      <c r="R43" s="3518" t="e">
        <f>IF(F1="售价",ROUND(IF(D42="简单平均",AVERAGE(R42:V42),R42*F42+T42*H42+V42*J42),0),ROUND(IF(D42="简单平均",AVERAGE(R42:V42),R42*F42+T42*H42+V42*J42),1))</f>
        <v>#DIV/0!</v>
      </c>
      <c r="S43" s="3518"/>
      <c r="T43" s="3518"/>
      <c r="U43" s="3518"/>
      <c r="V43" s="3518"/>
      <c r="W43" s="3518"/>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2025-9</v>
      </c>
      <c r="D52" s="1104">
        <f>EDATE(C52,-1)</f>
        <v>45870</v>
      </c>
      <c r="E52" s="1104">
        <f t="shared" ref="E52:O52" si="16">EDATE(D52,-1)</f>
        <v>45839</v>
      </c>
      <c r="F52" s="1104">
        <f t="shared" si="16"/>
        <v>45809</v>
      </c>
      <c r="G52" s="1104">
        <f t="shared" si="16"/>
        <v>45778</v>
      </c>
      <c r="H52" s="1104">
        <f t="shared" si="16"/>
        <v>45748</v>
      </c>
      <c r="I52" s="1104">
        <f t="shared" si="16"/>
        <v>45717</v>
      </c>
      <c r="J52" s="1104">
        <f t="shared" si="16"/>
        <v>45689</v>
      </c>
      <c r="K52" s="1104">
        <f t="shared" si="16"/>
        <v>45658</v>
      </c>
      <c r="L52" s="1104">
        <f t="shared" si="16"/>
        <v>45627</v>
      </c>
      <c r="M52" s="1104">
        <f t="shared" si="16"/>
        <v>45597</v>
      </c>
      <c r="N52" s="1104">
        <f t="shared" si="16"/>
        <v>45566</v>
      </c>
      <c r="O52" s="1104">
        <f t="shared" si="16"/>
        <v>45536</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6"/>
      <c r="O54" s="2537"/>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35">
      <c r="A4" s="1382" t="str">
        <f>"受贵公司委托，我公司对"&amp;项目基本情况!S1&amp;"进行了预评估。"</f>
        <v>受贵公司委托，我公司对北京市朝阳区望京东路4号院1号楼房地产抵押价值进行了预评估。</v>
      </c>
    </row>
    <row r="5" spans="1:1" ht="18">
      <c r="A5" s="1383" t="s">
        <v>899</v>
      </c>
    </row>
    <row r="6" spans="1:1" ht="17.5">
      <c r="A6" s="1384" t="s">
        <v>900</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望京东路4号院1号楼房地产，为北京恒基伟业移动通讯技术有限公司所有。根据《国有土地使用证》[]，估价对象（分摊）出让国有建设用地使用权面积为0平方米，建筑面积为55858.96平方米。</v>
      </c>
    </row>
    <row r="8" spans="1:1" ht="53.5">
      <c r="A8" s="1385" t="s">
        <v>901</v>
      </c>
    </row>
    <row r="9" spans="1:1" ht="17.5">
      <c r="A9" s="1384" t="s">
        <v>902</v>
      </c>
    </row>
    <row r="10" spans="1:1" ht="70">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望京东路4号院1号楼房地产,属北京恒基伟业移动通讯技术有限公司开发建设的，该项目尚在开发建设中。根据《国有土地使用证》[]，估价对象（分摊）出让国有建设用地使用权面积为0平方米，规划建筑面积为55858.96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朝阳区望京东路4号院1号楼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2025年9月1日</v>
      </c>
    </row>
    <row r="16" spans="1:1" ht="18">
      <c r="A16" s="1381" t="s">
        <v>906</v>
      </c>
    </row>
    <row r="17" spans="1:1" ht="70">
      <c r="A17" s="1382" t="s">
        <v>907</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本次评估采用的主估价方法为比较法和收益法。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3327</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c r="A4" s="345" t="s">
        <v>1769</v>
      </c>
      <c r="B4" s="346"/>
      <c r="C4" s="3454" t="s">
        <v>1770</v>
      </c>
      <c r="D4" s="3455"/>
      <c r="E4" s="3456" t="s">
        <v>1771</v>
      </c>
      <c r="F4" s="3457"/>
      <c r="G4" s="3454" t="s">
        <v>1772</v>
      </c>
      <c r="H4" s="3455"/>
      <c r="I4" s="3454" t="s">
        <v>1773</v>
      </c>
      <c r="J4" s="3455"/>
      <c r="K4" s="537" t="s">
        <v>1774</v>
      </c>
      <c r="L4" s="2484"/>
      <c r="M4" s="2485"/>
      <c r="N4" s="2485"/>
      <c r="O4" s="2485"/>
      <c r="P4" s="3512" t="s">
        <v>1775</v>
      </c>
      <c r="Q4" s="3513"/>
      <c r="R4" s="3510" t="s">
        <v>1771</v>
      </c>
      <c r="S4" s="3511"/>
      <c r="T4" s="3510" t="s">
        <v>1772</v>
      </c>
      <c r="U4" s="3511"/>
      <c r="V4" s="3467" t="s">
        <v>1773</v>
      </c>
      <c r="W4" s="3467"/>
      <c r="X4" s="1265"/>
      <c r="Y4" s="3510" t="s">
        <v>1775</v>
      </c>
      <c r="Z4" s="3511"/>
      <c r="AA4" s="3509" t="s">
        <v>1771</v>
      </c>
      <c r="AB4" s="3432" t="s">
        <v>1772</v>
      </c>
      <c r="AC4" s="3509" t="s">
        <v>1773</v>
      </c>
    </row>
    <row r="5" spans="1:29">
      <c r="A5" s="348"/>
      <c r="B5" s="349"/>
      <c r="C5" s="3446" t="s">
        <v>1673</v>
      </c>
      <c r="D5" s="3443"/>
      <c r="E5" s="3440" t="s">
        <v>1674</v>
      </c>
      <c r="F5" s="3441"/>
      <c r="G5" s="3446" t="s">
        <v>1675</v>
      </c>
      <c r="H5" s="3443"/>
      <c r="I5" s="3446" t="s">
        <v>1676</v>
      </c>
      <c r="J5" s="3443"/>
      <c r="K5" s="537"/>
      <c r="L5" s="2484"/>
      <c r="M5" s="2485"/>
      <c r="N5" s="2485"/>
      <c r="O5" s="2485"/>
      <c r="P5" s="3514"/>
      <c r="Q5" s="3461"/>
      <c r="R5" s="3438"/>
      <c r="S5" s="3439"/>
      <c r="T5" s="3438"/>
      <c r="U5" s="3439"/>
      <c r="V5" s="3467"/>
      <c r="W5" s="3467"/>
      <c r="X5" s="1265"/>
      <c r="Y5" s="3438"/>
      <c r="Z5" s="3439"/>
      <c r="AA5" s="3432"/>
      <c r="AB5" s="3432"/>
      <c r="AC5" s="3432"/>
    </row>
    <row r="6" spans="1:29" ht="15" thickBot="1">
      <c r="A6" s="350"/>
      <c r="B6" s="351"/>
      <c r="C6" s="3449" t="s">
        <v>1677</v>
      </c>
      <c r="D6" s="3445"/>
      <c r="E6" s="3447" t="s">
        <v>1677</v>
      </c>
      <c r="F6" s="3448"/>
      <c r="G6" s="3449" t="s">
        <v>1677</v>
      </c>
      <c r="H6" s="3445"/>
      <c r="I6" s="3449" t="s">
        <v>1677</v>
      </c>
      <c r="J6" s="3445"/>
      <c r="K6" s="537" t="s">
        <v>1678</v>
      </c>
      <c r="L6" s="2484"/>
      <c r="M6" s="2485"/>
      <c r="N6" s="2485"/>
      <c r="O6" s="2485"/>
      <c r="P6" s="3515"/>
      <c r="Q6" s="3463"/>
      <c r="R6" s="3438"/>
      <c r="S6" s="3439"/>
      <c r="T6" s="3464"/>
      <c r="U6" s="3465"/>
      <c r="V6" s="3467"/>
      <c r="W6" s="3467"/>
      <c r="X6" s="1265"/>
      <c r="Y6" s="3464"/>
      <c r="Z6" s="3465"/>
      <c r="AA6" s="3433"/>
      <c r="AB6" s="3433"/>
      <c r="AC6" s="3433"/>
    </row>
    <row r="7" spans="1:29" s="102" customFormat="1" ht="14.5" thickBot="1">
      <c r="A7" s="352" t="s">
        <v>1679</v>
      </c>
      <c r="B7" s="353"/>
      <c r="C7" s="354">
        <f>'数据-取费表'!B2</f>
        <v>45901</v>
      </c>
      <c r="D7" s="355">
        <v>100</v>
      </c>
      <c r="E7" s="356"/>
      <c r="F7" s="357">
        <f>SUMIF(48:48,YEAR(E7)&amp;"-"&amp;MONTH(E7),49:49)</f>
        <v>0</v>
      </c>
      <c r="G7" s="356"/>
      <c r="H7" s="355">
        <f>SUMIF(48:48,YEAR(G7)&amp;"-"&amp;MONTH(G7),49:49)</f>
        <v>0</v>
      </c>
      <c r="I7" s="356"/>
      <c r="J7" s="355">
        <f>SUMIF(48:48,YEAR(I7)&amp;"-"&amp;MONTH(I7),49:49)</f>
        <v>0</v>
      </c>
      <c r="K7" s="38"/>
      <c r="L7" s="2486"/>
      <c r="M7" s="2438"/>
      <c r="N7" s="2438"/>
      <c r="O7" s="2438"/>
      <c r="P7" s="3434" t="s">
        <v>1680</v>
      </c>
      <c r="Q7" s="3469"/>
      <c r="R7" s="664" t="s">
        <v>14</v>
      </c>
      <c r="S7" s="665">
        <f t="shared" ref="S7:S14" si="0">F7</f>
        <v>0</v>
      </c>
      <c r="T7" s="664" t="s">
        <v>14</v>
      </c>
      <c r="U7" s="665">
        <f t="shared" ref="U7:U14" si="1">H7</f>
        <v>0</v>
      </c>
      <c r="V7" s="664" t="s">
        <v>14</v>
      </c>
      <c r="W7" s="665">
        <f t="shared" ref="W7:W14" si="2">J7</f>
        <v>0</v>
      </c>
      <c r="X7" s="666"/>
      <c r="Y7" s="3434" t="s">
        <v>1680</v>
      </c>
      <c r="Z7" s="3435"/>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34" t="s">
        <v>1683</v>
      </c>
      <c r="Q8" s="3435"/>
      <c r="R8" s="664" t="s">
        <v>14</v>
      </c>
      <c r="S8" s="665">
        <f t="shared" si="0"/>
        <v>100</v>
      </c>
      <c r="T8" s="664" t="s">
        <v>14</v>
      </c>
      <c r="U8" s="665">
        <f t="shared" si="1"/>
        <v>100</v>
      </c>
      <c r="V8" s="664" t="s">
        <v>14</v>
      </c>
      <c r="W8" s="665">
        <f t="shared" si="2"/>
        <v>100</v>
      </c>
      <c r="X8" s="666"/>
      <c r="Y8" s="3434" t="s">
        <v>1683</v>
      </c>
      <c r="Z8" s="343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79" t="s">
        <v>1686</v>
      </c>
      <c r="Q9" s="530" t="str">
        <f t="shared" ref="Q9:Q14" si="6">B9</f>
        <v>用途</v>
      </c>
      <c r="R9" s="664" t="s">
        <v>14</v>
      </c>
      <c r="S9" s="665">
        <f t="shared" si="0"/>
        <v>100</v>
      </c>
      <c r="T9" s="664" t="s">
        <v>14</v>
      </c>
      <c r="U9" s="665">
        <f t="shared" si="1"/>
        <v>100</v>
      </c>
      <c r="V9" s="664" t="s">
        <v>14</v>
      </c>
      <c r="W9" s="665">
        <f t="shared" si="2"/>
        <v>100</v>
      </c>
      <c r="X9" s="666"/>
      <c r="Y9" s="3404" t="s">
        <v>1687</v>
      </c>
      <c r="Z9" s="50" t="str">
        <f t="shared" ref="Z9:Z14" si="7">Q9</f>
        <v>用途</v>
      </c>
      <c r="AA9" s="50">
        <f t="shared" si="3"/>
        <v>1</v>
      </c>
      <c r="AB9" s="50">
        <f t="shared" si="4"/>
        <v>1</v>
      </c>
      <c r="AC9" s="50">
        <f t="shared" si="5"/>
        <v>1</v>
      </c>
    </row>
    <row r="10" spans="1:29" s="366" customFormat="1" ht="2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79"/>
      <c r="Q10" s="530" t="str">
        <f t="shared" si="6"/>
        <v>土地使用年限（年）</v>
      </c>
      <c r="R10" s="664" t="s">
        <v>14</v>
      </c>
      <c r="S10" s="665">
        <f t="shared" si="0"/>
        <v>100</v>
      </c>
      <c r="T10" s="664" t="s">
        <v>14</v>
      </c>
      <c r="U10" s="665">
        <f t="shared" si="1"/>
        <v>100</v>
      </c>
      <c r="V10" s="664" t="s">
        <v>14</v>
      </c>
      <c r="W10" s="665">
        <f t="shared" si="2"/>
        <v>100</v>
      </c>
      <c r="X10" s="666"/>
      <c r="Y10" s="3404"/>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79"/>
      <c r="Q11" s="530">
        <f t="shared" si="6"/>
        <v>111</v>
      </c>
      <c r="R11" s="664" t="s">
        <v>14</v>
      </c>
      <c r="S11" s="665">
        <f t="shared" si="0"/>
        <v>100</v>
      </c>
      <c r="T11" s="664" t="s">
        <v>14</v>
      </c>
      <c r="U11" s="665">
        <f t="shared" si="1"/>
        <v>100</v>
      </c>
      <c r="V11" s="664" t="s">
        <v>14</v>
      </c>
      <c r="W11" s="665">
        <f t="shared" si="2"/>
        <v>100</v>
      </c>
      <c r="X11" s="666"/>
      <c r="Y11" s="3404"/>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79"/>
      <c r="Q12" s="530">
        <f t="shared" si="6"/>
        <v>111</v>
      </c>
      <c r="R12" s="664" t="s">
        <v>14</v>
      </c>
      <c r="S12" s="665">
        <f t="shared" si="0"/>
        <v>100</v>
      </c>
      <c r="T12" s="664" t="s">
        <v>14</v>
      </c>
      <c r="U12" s="665">
        <f t="shared" si="1"/>
        <v>100</v>
      </c>
      <c r="V12" s="664" t="s">
        <v>14</v>
      </c>
      <c r="W12" s="665">
        <f t="shared" si="2"/>
        <v>100</v>
      </c>
      <c r="X12" s="666"/>
      <c r="Y12" s="3404"/>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79"/>
      <c r="Q13" s="530">
        <f t="shared" si="6"/>
        <v>111</v>
      </c>
      <c r="R13" s="664" t="s">
        <v>14</v>
      </c>
      <c r="S13" s="665">
        <f t="shared" si="0"/>
        <v>100</v>
      </c>
      <c r="T13" s="664" t="s">
        <v>14</v>
      </c>
      <c r="U13" s="665">
        <f t="shared" si="1"/>
        <v>100</v>
      </c>
      <c r="V13" s="664" t="s">
        <v>14</v>
      </c>
      <c r="W13" s="665">
        <f t="shared" si="2"/>
        <v>100</v>
      </c>
      <c r="X13" s="666"/>
      <c r="Y13" s="3404"/>
      <c r="Z13" s="50">
        <f t="shared" si="7"/>
        <v>111</v>
      </c>
      <c r="AA13" s="50">
        <f t="shared" si="3"/>
        <v>1</v>
      </c>
      <c r="AB13" s="50">
        <f t="shared" si="4"/>
        <v>1</v>
      </c>
      <c r="AC13" s="50">
        <f t="shared" si="5"/>
        <v>1</v>
      </c>
    </row>
    <row r="14" spans="1:29" ht="196">
      <c r="A14" s="345" t="s">
        <v>1690</v>
      </c>
      <c r="B14" s="554" t="s">
        <v>1833</v>
      </c>
      <c r="C14" s="1819" t="str">
        <f>IF(B1="工业",估价对象房地状况!G4,估价对象房地状况!C6)</f>
        <v>估价对象临城市支路——屏翠东路，周边1公里范围内有专112、专15、547等多条公交线路，距地铁15号线望京东站约589米，项目内有停车位，停车便捷度较好，综合评价交通便捷度较好。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72" t="s">
        <v>1691</v>
      </c>
      <c r="Q14" s="1263" t="str">
        <f t="shared" si="6"/>
        <v>交通便捷度</v>
      </c>
      <c r="R14" s="667" t="s">
        <v>14</v>
      </c>
      <c r="S14" s="668">
        <f t="shared" si="0"/>
        <v>100</v>
      </c>
      <c r="T14" s="667" t="s">
        <v>14</v>
      </c>
      <c r="U14" s="668">
        <f t="shared" si="1"/>
        <v>100</v>
      </c>
      <c r="V14" s="667" t="s">
        <v>14</v>
      </c>
      <c r="W14" s="668">
        <f t="shared" si="2"/>
        <v>100</v>
      </c>
      <c r="X14" s="1265"/>
      <c r="Y14" s="3472"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0"/>
      <c r="M15" s="2485"/>
      <c r="N15" s="2485"/>
      <c r="O15" s="2485"/>
      <c r="P15" s="3473"/>
      <c r="Q15" s="1263"/>
      <c r="R15" s="667"/>
      <c r="S15" s="668"/>
      <c r="T15" s="667"/>
      <c r="U15" s="668"/>
      <c r="V15" s="667"/>
      <c r="W15" s="668"/>
      <c r="X15" s="1265"/>
      <c r="Y15" s="3473"/>
      <c r="Z15" s="1264"/>
      <c r="AA15" s="1264">
        <v>1</v>
      </c>
      <c r="AB15" s="1264">
        <v>1</v>
      </c>
      <c r="AC15" s="1264">
        <v>1</v>
      </c>
    </row>
    <row r="16" spans="1:29" ht="378">
      <c r="A16" s="348"/>
      <c r="B16" s="556" t="s">
        <v>1812</v>
      </c>
      <c r="C16" s="1754" t="str">
        <f>IF(B1="工业",估价对象房地状况!G5,估价对象房地状况!C7)</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73"/>
      <c r="Q16" s="1263" t="str">
        <f>B16</f>
        <v>公共配套设施</v>
      </c>
      <c r="R16" s="667" t="s">
        <v>14</v>
      </c>
      <c r="S16" s="668">
        <f>F16</f>
        <v>100</v>
      </c>
      <c r="T16" s="667" t="s">
        <v>14</v>
      </c>
      <c r="U16" s="668">
        <f>H16</f>
        <v>100</v>
      </c>
      <c r="V16" s="667" t="s">
        <v>14</v>
      </c>
      <c r="W16" s="668">
        <f>J16</f>
        <v>100</v>
      </c>
      <c r="X16" s="1265"/>
      <c r="Y16" s="3473"/>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0"/>
      <c r="M17" s="2485"/>
      <c r="N17" s="2485"/>
      <c r="O17" s="2485"/>
      <c r="P17" s="3473"/>
      <c r="Q17" s="1263"/>
      <c r="R17" s="667"/>
      <c r="S17" s="668"/>
      <c r="T17" s="667"/>
      <c r="U17" s="668"/>
      <c r="V17" s="667"/>
      <c r="W17" s="668"/>
      <c r="X17" s="1265"/>
      <c r="Y17" s="3473"/>
      <c r="Z17" s="1264"/>
      <c r="AA17" s="1264">
        <v>1</v>
      </c>
      <c r="AB17" s="1264">
        <v>1</v>
      </c>
      <c r="AC17" s="1264">
        <v>1</v>
      </c>
    </row>
    <row r="18" spans="1:29" ht="15.5">
      <c r="A18" s="348"/>
      <c r="B18" s="557" t="s">
        <v>1813</v>
      </c>
      <c r="C18" s="1754"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73"/>
      <c r="Q18" s="1263" t="str">
        <f>B18</f>
        <v>基础设施水平</v>
      </c>
      <c r="R18" s="667" t="s">
        <v>14</v>
      </c>
      <c r="S18" s="668">
        <f>F18</f>
        <v>100</v>
      </c>
      <c r="T18" s="667" t="s">
        <v>14</v>
      </c>
      <c r="U18" s="668">
        <f>H18</f>
        <v>100</v>
      </c>
      <c r="V18" s="667" t="s">
        <v>14</v>
      </c>
      <c r="W18" s="668">
        <f>J18</f>
        <v>100</v>
      </c>
      <c r="X18" s="1265"/>
      <c r="Y18" s="3473"/>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0"/>
      <c r="M19" s="2485"/>
      <c r="N19" s="2485"/>
      <c r="O19" s="2485"/>
      <c r="P19" s="3473"/>
      <c r="Q19" s="1263"/>
      <c r="R19" s="667"/>
      <c r="S19" s="668"/>
      <c r="T19" s="667"/>
      <c r="U19" s="668"/>
      <c r="V19" s="667"/>
      <c r="W19" s="668"/>
      <c r="X19" s="1265"/>
      <c r="Y19" s="3473"/>
      <c r="Z19" s="1264"/>
      <c r="AA19" s="1264">
        <v>1</v>
      </c>
      <c r="AB19" s="1264">
        <v>1</v>
      </c>
      <c r="AC19" s="1264">
        <v>1</v>
      </c>
    </row>
    <row r="20" spans="1:29" ht="84">
      <c r="A20" s="348"/>
      <c r="B20" s="556" t="s">
        <v>1834</v>
      </c>
      <c r="C20" s="1754" t="str">
        <f>IF(B1="工业",估价对象房地状况!G7,估价对象房地状况!C9)</f>
        <v>区域自然环境：大望京公园、善各庄公园；无人文环境；综合评价环境状况较好</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73"/>
      <c r="Q20" s="1263" t="str">
        <f>B20</f>
        <v>自然及人文环境</v>
      </c>
      <c r="R20" s="667" t="s">
        <v>14</v>
      </c>
      <c r="S20" s="668">
        <f>F20</f>
        <v>100</v>
      </c>
      <c r="T20" s="667" t="s">
        <v>14</v>
      </c>
      <c r="U20" s="668">
        <f>H20</f>
        <v>100</v>
      </c>
      <c r="V20" s="667" t="s">
        <v>14</v>
      </c>
      <c r="W20" s="668">
        <f>J20</f>
        <v>100</v>
      </c>
      <c r="X20" s="1265"/>
      <c r="Y20" s="3473"/>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0"/>
      <c r="M21" s="2485"/>
      <c r="N21" s="2485"/>
      <c r="O21" s="2485"/>
      <c r="P21" s="3473"/>
      <c r="Q21" s="1263"/>
      <c r="R21" s="667"/>
      <c r="S21" s="668"/>
      <c r="T21" s="667"/>
      <c r="U21" s="668"/>
      <c r="V21" s="667"/>
      <c r="W21" s="668"/>
      <c r="X21" s="1265"/>
      <c r="Y21" s="3473"/>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73"/>
      <c r="Q22" s="1263" t="str">
        <f>B22</f>
        <v>楼层</v>
      </c>
      <c r="R22" s="667" t="s">
        <v>14</v>
      </c>
      <c r="S22" s="668">
        <f>F22</f>
        <v>100</v>
      </c>
      <c r="T22" s="667" t="s">
        <v>14</v>
      </c>
      <c r="U22" s="668">
        <f>H22</f>
        <v>100</v>
      </c>
      <c r="V22" s="667" t="s">
        <v>14</v>
      </c>
      <c r="W22" s="668">
        <f>J22</f>
        <v>100</v>
      </c>
      <c r="X22" s="1265"/>
      <c r="Y22" s="3473"/>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73"/>
      <c r="Q23" s="1263">
        <f>B23</f>
        <v>111</v>
      </c>
      <c r="R23" s="667" t="s">
        <v>14</v>
      </c>
      <c r="S23" s="668">
        <f>F23</f>
        <v>100</v>
      </c>
      <c r="T23" s="667" t="s">
        <v>14</v>
      </c>
      <c r="U23" s="668">
        <f>H23</f>
        <v>100</v>
      </c>
      <c r="V23" s="667" t="s">
        <v>14</v>
      </c>
      <c r="W23" s="668">
        <f>J23</f>
        <v>100</v>
      </c>
      <c r="X23" s="1265"/>
      <c r="Y23" s="3473"/>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73"/>
      <c r="Q24" s="1263">
        <f t="shared" ref="Q24:Q36" si="11">B24</f>
        <v>111</v>
      </c>
      <c r="R24" s="667" t="s">
        <v>14</v>
      </c>
      <c r="S24" s="668">
        <f>F24</f>
        <v>100</v>
      </c>
      <c r="T24" s="667" t="s">
        <v>14</v>
      </c>
      <c r="U24" s="668">
        <f>H24</f>
        <v>100</v>
      </c>
      <c r="V24" s="667" t="s">
        <v>14</v>
      </c>
      <c r="W24" s="668">
        <f>J24</f>
        <v>100</v>
      </c>
      <c r="X24" s="1265"/>
      <c r="Y24" s="3473"/>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73"/>
      <c r="Q25" s="530">
        <f t="shared" si="11"/>
        <v>111</v>
      </c>
      <c r="R25" s="664" t="s">
        <v>14</v>
      </c>
      <c r="S25" s="665">
        <f>F25</f>
        <v>100</v>
      </c>
      <c r="T25" s="664" t="s">
        <v>14</v>
      </c>
      <c r="U25" s="665">
        <f>H25</f>
        <v>100</v>
      </c>
      <c r="V25" s="664" t="s">
        <v>14</v>
      </c>
      <c r="W25" s="665">
        <f>J25</f>
        <v>100</v>
      </c>
      <c r="X25" s="666"/>
      <c r="Y25" s="3473"/>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51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77"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77"/>
      <c r="Q27" s="531" t="str">
        <f t="shared" si="11"/>
        <v>项目停车位配比</v>
      </c>
      <c r="R27" s="669" t="s">
        <v>14</v>
      </c>
      <c r="S27" s="670">
        <f t="shared" si="12"/>
        <v>100</v>
      </c>
      <c r="T27" s="669" t="s">
        <v>14</v>
      </c>
      <c r="U27" s="670">
        <f t="shared" si="13"/>
        <v>100</v>
      </c>
      <c r="V27" s="669" t="s">
        <v>14</v>
      </c>
      <c r="W27" s="670">
        <f t="shared" si="14"/>
        <v>100</v>
      </c>
      <c r="X27" s="671"/>
      <c r="Y27" s="3477"/>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77"/>
      <c r="Q28" s="1263" t="str">
        <f t="shared" si="11"/>
        <v>公共部分装修</v>
      </c>
      <c r="R28" s="667" t="s">
        <v>14</v>
      </c>
      <c r="S28" s="668">
        <f t="shared" si="12"/>
        <v>100</v>
      </c>
      <c r="T28" s="667" t="s">
        <v>14</v>
      </c>
      <c r="U28" s="668">
        <f t="shared" si="13"/>
        <v>100</v>
      </c>
      <c r="V28" s="667" t="s">
        <v>14</v>
      </c>
      <c r="W28" s="668">
        <f t="shared" si="14"/>
        <v>100</v>
      </c>
      <c r="X28" s="1265"/>
      <c r="Y28" s="3477"/>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77"/>
      <c r="Q29" s="1263" t="str">
        <f t="shared" si="11"/>
        <v>成新率</v>
      </c>
      <c r="R29" s="667" t="s">
        <v>14</v>
      </c>
      <c r="S29" s="668" t="e">
        <f t="shared" si="12"/>
        <v>#N/A</v>
      </c>
      <c r="T29" s="667" t="s">
        <v>14</v>
      </c>
      <c r="U29" s="668" t="e">
        <f t="shared" si="13"/>
        <v>#N/A</v>
      </c>
      <c r="V29" s="667" t="s">
        <v>14</v>
      </c>
      <c r="W29" s="668" t="e">
        <f t="shared" si="14"/>
        <v>#N/A</v>
      </c>
      <c r="X29" s="1265"/>
      <c r="Y29" s="3477"/>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77"/>
      <c r="Q30" s="1263" t="str">
        <f t="shared" si="11"/>
        <v>物业等级</v>
      </c>
      <c r="R30" s="667" t="s">
        <v>14</v>
      </c>
      <c r="S30" s="668">
        <f t="shared" si="12"/>
        <v>100</v>
      </c>
      <c r="T30" s="667" t="s">
        <v>14</v>
      </c>
      <c r="U30" s="668">
        <f t="shared" si="13"/>
        <v>100</v>
      </c>
      <c r="V30" s="667" t="s">
        <v>14</v>
      </c>
      <c r="W30" s="668">
        <f t="shared" si="14"/>
        <v>100</v>
      </c>
      <c r="X30" s="1265"/>
      <c r="Y30" s="3477"/>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77"/>
      <c r="Q31" s="530" t="str">
        <f t="shared" si="11"/>
        <v>停车位面积</v>
      </c>
      <c r="R31" s="664" t="s">
        <v>14</v>
      </c>
      <c r="S31" s="665" t="e">
        <f t="shared" si="12"/>
        <v>#N/A</v>
      </c>
      <c r="T31" s="664" t="s">
        <v>14</v>
      </c>
      <c r="U31" s="665" t="e">
        <f t="shared" si="13"/>
        <v>#N/A</v>
      </c>
      <c r="V31" s="664" t="s">
        <v>14</v>
      </c>
      <c r="W31" s="665" t="e">
        <f t="shared" si="14"/>
        <v>#N/A</v>
      </c>
      <c r="X31" s="666"/>
      <c r="Y31" s="3477"/>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77" t="s">
        <v>1696</v>
      </c>
      <c r="Q32" s="1263" t="str">
        <f t="shared" si="11"/>
        <v>车位类型</v>
      </c>
      <c r="R32" s="667" t="s">
        <v>14</v>
      </c>
      <c r="S32" s="668">
        <f t="shared" si="12"/>
        <v>100</v>
      </c>
      <c r="T32" s="667" t="s">
        <v>14</v>
      </c>
      <c r="U32" s="668">
        <f t="shared" si="13"/>
        <v>100</v>
      </c>
      <c r="V32" s="667" t="s">
        <v>14</v>
      </c>
      <c r="W32" s="668">
        <f t="shared" si="14"/>
        <v>100</v>
      </c>
      <c r="X32" s="1265"/>
      <c r="Y32" s="3477"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77"/>
      <c r="Q33" s="1263" t="str">
        <f t="shared" si="11"/>
        <v>是否直接入户</v>
      </c>
      <c r="R33" s="667" t="s">
        <v>14</v>
      </c>
      <c r="S33" s="668">
        <f t="shared" si="12"/>
        <v>100</v>
      </c>
      <c r="T33" s="667" t="s">
        <v>14</v>
      </c>
      <c r="U33" s="668">
        <f t="shared" si="13"/>
        <v>100</v>
      </c>
      <c r="V33" s="667" t="s">
        <v>14</v>
      </c>
      <c r="W33" s="668">
        <f t="shared" si="14"/>
        <v>100</v>
      </c>
      <c r="X33" s="1265"/>
      <c r="Y33" s="3477"/>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77"/>
      <c r="Q34" s="1263">
        <f t="shared" si="11"/>
        <v>111</v>
      </c>
      <c r="R34" s="667" t="s">
        <v>14</v>
      </c>
      <c r="S34" s="668">
        <f t="shared" si="12"/>
        <v>100</v>
      </c>
      <c r="T34" s="667" t="s">
        <v>14</v>
      </c>
      <c r="U34" s="668">
        <f t="shared" si="13"/>
        <v>100</v>
      </c>
      <c r="V34" s="667" t="s">
        <v>14</v>
      </c>
      <c r="W34" s="668">
        <f t="shared" si="14"/>
        <v>100</v>
      </c>
      <c r="X34" s="1265"/>
      <c r="Y34" s="3477"/>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77"/>
      <c r="Q35" s="531">
        <f t="shared" si="11"/>
        <v>111</v>
      </c>
      <c r="R35" s="669" t="s">
        <v>14</v>
      </c>
      <c r="S35" s="670">
        <f t="shared" si="12"/>
        <v>100</v>
      </c>
      <c r="T35" s="669" t="s">
        <v>14</v>
      </c>
      <c r="U35" s="670">
        <f t="shared" si="13"/>
        <v>100</v>
      </c>
      <c r="V35" s="669" t="s">
        <v>14</v>
      </c>
      <c r="W35" s="670">
        <f t="shared" si="14"/>
        <v>100</v>
      </c>
      <c r="X35" s="671"/>
      <c r="Y35" s="3477"/>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77"/>
      <c r="Q36" s="1263">
        <f t="shared" si="11"/>
        <v>111</v>
      </c>
      <c r="R36" s="667" t="s">
        <v>14</v>
      </c>
      <c r="S36" s="668">
        <f t="shared" si="12"/>
        <v>100</v>
      </c>
      <c r="T36" s="667" t="s">
        <v>14</v>
      </c>
      <c r="U36" s="668">
        <f t="shared" si="13"/>
        <v>100</v>
      </c>
      <c r="V36" s="667" t="s">
        <v>14</v>
      </c>
      <c r="W36" s="668">
        <f t="shared" si="14"/>
        <v>100</v>
      </c>
      <c r="X36" s="1265"/>
      <c r="Y36" s="3477"/>
      <c r="Z36" s="1264">
        <f t="shared" si="15"/>
        <v>111</v>
      </c>
      <c r="AA36" s="1264">
        <f t="shared" si="3"/>
        <v>1</v>
      </c>
      <c r="AB36" s="1264">
        <f t="shared" si="4"/>
        <v>1</v>
      </c>
      <c r="AC36" s="1264">
        <f t="shared" si="5"/>
        <v>1</v>
      </c>
    </row>
    <row r="37" spans="1:29">
      <c r="A37" s="416" t="s">
        <v>1844</v>
      </c>
      <c r="B37" s="1821" t="s">
        <v>3348</v>
      </c>
      <c r="C37" s="1081" t="s">
        <v>0</v>
      </c>
      <c r="D37" s="418"/>
      <c r="E37" s="419"/>
      <c r="F37" s="420"/>
      <c r="G37" s="421"/>
      <c r="H37" s="422"/>
      <c r="I37" s="419"/>
      <c r="J37" s="422"/>
      <c r="K37" s="545"/>
      <c r="L37" s="2492"/>
      <c r="M37" s="2485"/>
      <c r="N37" s="2485"/>
      <c r="O37" s="2485"/>
      <c r="P37" s="3479" t="str">
        <f>A37</f>
        <v>成交单价</v>
      </c>
      <c r="Q37" s="3479"/>
      <c r="R37" s="3467">
        <f>E37</f>
        <v>0</v>
      </c>
      <c r="S37" s="3467"/>
      <c r="T37" s="3467">
        <f>G37</f>
        <v>0</v>
      </c>
      <c r="U37" s="3467"/>
      <c r="V37" s="3467">
        <f>I37</f>
        <v>0</v>
      </c>
      <c r="W37" s="3467"/>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2"/>
      <c r="M38" s="2485"/>
      <c r="N38" s="2485"/>
      <c r="O38" s="2485"/>
      <c r="P38" s="3479" t="str">
        <f>A38</f>
        <v>比较价值（元/平方米）</v>
      </c>
      <c r="Q38" s="3479"/>
      <c r="R38" s="3467" t="e">
        <f>IF(F1="售价",ROUND(PRODUCT(R37,AA7:AA36),0),ROUND(PRODUCT(R37,AA7:AA36),1))</f>
        <v>#DIV/0!</v>
      </c>
      <c r="S38" s="3467"/>
      <c r="T38" s="3467" t="e">
        <f>IF(F1="售价",ROUND(PRODUCT(T37,AB7:AB36),0),ROUND(PRODUCT(T37,AB7:AB36),1))</f>
        <v>#DIV/0!</v>
      </c>
      <c r="U38" s="3467"/>
      <c r="V38" s="3467" t="e">
        <f>IF(F1="售价",ROUND(PRODUCT(V37,AC7:AC36),0),ROUND(PRODUCT(V37,AC7:AC36),1))</f>
        <v>#DIV/0!</v>
      </c>
      <c r="W38" s="3467"/>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2"/>
      <c r="M39" s="2485"/>
      <c r="N39" s="2485"/>
      <c r="O39" s="2485"/>
      <c r="P39" s="3516" t="str">
        <f>A39</f>
        <v>估价对象XX用房的比较价值（楼面单价，元/平方米）</v>
      </c>
      <c r="Q39" s="3517"/>
      <c r="R39" s="3520" t="e">
        <f>IF(F1="售价",ROUND(IF(D38="简单平均",AVERAGE(R38:W38),R38*F38+T38*H38+V38*J38),0),ROUND(IF(D38="简单平均",AVERAGE(R38:V38),R38*F38+T38*H38+V38*J38),1))</f>
        <v>#DIV/0!</v>
      </c>
      <c r="S39" s="3520"/>
      <c r="T39" s="3520"/>
      <c r="U39" s="3520"/>
      <c r="V39" s="3520"/>
      <c r="W39" s="3520"/>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c r="A48" s="440" t="s">
        <v>1851</v>
      </c>
      <c r="B48" s="441"/>
      <c r="C48" s="1103" t="str">
        <f>YEAR(C7)&amp;"-"&amp;MONTH(C7)</f>
        <v>2025-9</v>
      </c>
      <c r="D48" s="1104">
        <f>EDATE(C48,-1)</f>
        <v>45870</v>
      </c>
      <c r="E48" s="1104">
        <f t="shared" ref="E48:O48" si="16">EDATE(D48,-1)</f>
        <v>45839</v>
      </c>
      <c r="F48" s="1104">
        <f t="shared" si="16"/>
        <v>45809</v>
      </c>
      <c r="G48" s="1104">
        <f t="shared" si="16"/>
        <v>45778</v>
      </c>
      <c r="H48" s="1104">
        <f t="shared" si="16"/>
        <v>45748</v>
      </c>
      <c r="I48" s="1104">
        <f t="shared" si="16"/>
        <v>45717</v>
      </c>
      <c r="J48" s="1104">
        <f t="shared" si="16"/>
        <v>45689</v>
      </c>
      <c r="K48" s="1104">
        <f t="shared" si="16"/>
        <v>45658</v>
      </c>
      <c r="L48" s="1104">
        <f t="shared" si="16"/>
        <v>45627</v>
      </c>
      <c r="M48" s="1104">
        <f t="shared" si="16"/>
        <v>45597</v>
      </c>
      <c r="N48" s="1104">
        <f t="shared" si="16"/>
        <v>45566</v>
      </c>
      <c r="O48" s="1104">
        <f t="shared" si="16"/>
        <v>45536</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4.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5"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8.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4.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4.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4.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4.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5"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5"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5"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5"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8.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4.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4.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4.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4.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4.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3328</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c r="A4" s="345" t="s">
        <v>1769</v>
      </c>
      <c r="B4" s="346"/>
      <c r="C4" s="3454" t="s">
        <v>1770</v>
      </c>
      <c r="D4" s="3455"/>
      <c r="E4" s="3456" t="s">
        <v>1771</v>
      </c>
      <c r="F4" s="3457"/>
      <c r="G4" s="3454" t="s">
        <v>1772</v>
      </c>
      <c r="H4" s="3455"/>
      <c r="I4" s="3454" t="s">
        <v>1773</v>
      </c>
      <c r="J4" s="3455"/>
      <c r="K4" s="537" t="s">
        <v>1774</v>
      </c>
      <c r="L4" s="2484"/>
      <c r="M4" s="2485"/>
      <c r="N4" s="2485"/>
      <c r="O4" s="2485"/>
      <c r="P4" s="3512" t="s">
        <v>1775</v>
      </c>
      <c r="Q4" s="3513"/>
      <c r="R4" s="3510" t="s">
        <v>1771</v>
      </c>
      <c r="S4" s="3511"/>
      <c r="T4" s="3510" t="s">
        <v>1772</v>
      </c>
      <c r="U4" s="3511"/>
      <c r="V4" s="3467" t="s">
        <v>1773</v>
      </c>
      <c r="W4" s="3467"/>
      <c r="X4" s="1265"/>
      <c r="Y4" s="3510" t="s">
        <v>1775</v>
      </c>
      <c r="Z4" s="3511"/>
      <c r="AA4" s="3509" t="s">
        <v>1771</v>
      </c>
      <c r="AB4" s="3432" t="s">
        <v>1772</v>
      </c>
      <c r="AC4" s="3509" t="s">
        <v>1773</v>
      </c>
    </row>
    <row r="5" spans="1:29">
      <c r="A5" s="348"/>
      <c r="B5" s="349"/>
      <c r="C5" s="3446" t="s">
        <v>1673</v>
      </c>
      <c r="D5" s="3443"/>
      <c r="E5" s="3440" t="s">
        <v>1674</v>
      </c>
      <c r="F5" s="3441"/>
      <c r="G5" s="3446" t="s">
        <v>1675</v>
      </c>
      <c r="H5" s="3443"/>
      <c r="I5" s="3446" t="s">
        <v>1676</v>
      </c>
      <c r="J5" s="3443"/>
      <c r="K5" s="537"/>
      <c r="L5" s="2484"/>
      <c r="M5" s="2485"/>
      <c r="N5" s="2485"/>
      <c r="O5" s="2485"/>
      <c r="P5" s="3514"/>
      <c r="Q5" s="3461"/>
      <c r="R5" s="3438"/>
      <c r="S5" s="3439"/>
      <c r="T5" s="3438"/>
      <c r="U5" s="3439"/>
      <c r="V5" s="3467"/>
      <c r="W5" s="3467"/>
      <c r="X5" s="1265"/>
      <c r="Y5" s="3438"/>
      <c r="Z5" s="3439"/>
      <c r="AA5" s="3432"/>
      <c r="AB5" s="3432"/>
      <c r="AC5" s="3432"/>
    </row>
    <row r="6" spans="1:29" ht="15" thickBot="1">
      <c r="A6" s="350"/>
      <c r="B6" s="351"/>
      <c r="C6" s="3449" t="s">
        <v>1677</v>
      </c>
      <c r="D6" s="3445"/>
      <c r="E6" s="3447" t="s">
        <v>1677</v>
      </c>
      <c r="F6" s="3448"/>
      <c r="G6" s="3449" t="s">
        <v>1677</v>
      </c>
      <c r="H6" s="3445"/>
      <c r="I6" s="3449" t="s">
        <v>1677</v>
      </c>
      <c r="J6" s="3445"/>
      <c r="K6" s="537" t="s">
        <v>1678</v>
      </c>
      <c r="L6" s="2484"/>
      <c r="M6" s="2485"/>
      <c r="N6" s="2485"/>
      <c r="O6" s="2485"/>
      <c r="P6" s="3515"/>
      <c r="Q6" s="3463"/>
      <c r="R6" s="3438"/>
      <c r="S6" s="3439"/>
      <c r="T6" s="3464"/>
      <c r="U6" s="3465"/>
      <c r="V6" s="3467"/>
      <c r="W6" s="3467"/>
      <c r="X6" s="1265"/>
      <c r="Y6" s="3464"/>
      <c r="Z6" s="3465"/>
      <c r="AA6" s="3433"/>
      <c r="AB6" s="3433"/>
      <c r="AC6" s="3433"/>
    </row>
    <row r="7" spans="1:29" s="102" customFormat="1" ht="14.5" thickBot="1">
      <c r="A7" s="352" t="s">
        <v>1679</v>
      </c>
      <c r="B7" s="353"/>
      <c r="C7" s="354">
        <f>'数据-取费表'!B2</f>
        <v>45901</v>
      </c>
      <c r="D7" s="355">
        <v>100</v>
      </c>
      <c r="E7" s="356"/>
      <c r="F7" s="357">
        <f>SUMIF(46:46,YEAR(E7)&amp;"-"&amp;MONTH(E7),47:47)</f>
        <v>0</v>
      </c>
      <c r="G7" s="1822"/>
      <c r="H7" s="355">
        <f>SUMIF(46:46,YEAR(G7)&amp;"-"&amp;MONTH(G7),47:47)</f>
        <v>0</v>
      </c>
      <c r="I7" s="356"/>
      <c r="J7" s="355">
        <f>SUMIF(46:46,YEAR(I7)&amp;"-"&amp;MONTH(I7),47:47)</f>
        <v>0</v>
      </c>
      <c r="K7" s="38"/>
      <c r="L7" s="2486"/>
      <c r="M7" s="2438"/>
      <c r="N7" s="2438"/>
      <c r="O7" s="2438"/>
      <c r="P7" s="3434" t="s">
        <v>1680</v>
      </c>
      <c r="Q7" s="3469"/>
      <c r="R7" s="664" t="s">
        <v>14</v>
      </c>
      <c r="S7" s="665">
        <f t="shared" ref="S7:S14" si="0">F7</f>
        <v>0</v>
      </c>
      <c r="T7" s="664" t="s">
        <v>14</v>
      </c>
      <c r="U7" s="665">
        <f t="shared" ref="U7:U14" si="1">H7</f>
        <v>0</v>
      </c>
      <c r="V7" s="664" t="s">
        <v>14</v>
      </c>
      <c r="W7" s="665">
        <f t="shared" ref="W7:W14" si="2">J7</f>
        <v>0</v>
      </c>
      <c r="X7" s="666"/>
      <c r="Y7" s="3434" t="s">
        <v>1680</v>
      </c>
      <c r="Z7" s="3435"/>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34" t="s">
        <v>1683</v>
      </c>
      <c r="Q8" s="3435"/>
      <c r="R8" s="664" t="s">
        <v>14</v>
      </c>
      <c r="S8" s="665">
        <f t="shared" si="0"/>
        <v>100</v>
      </c>
      <c r="T8" s="664" t="s">
        <v>14</v>
      </c>
      <c r="U8" s="665">
        <f t="shared" si="1"/>
        <v>100</v>
      </c>
      <c r="V8" s="664" t="s">
        <v>14</v>
      </c>
      <c r="W8" s="665">
        <f t="shared" si="2"/>
        <v>100</v>
      </c>
      <c r="X8" s="666"/>
      <c r="Y8" s="3434" t="s">
        <v>1683</v>
      </c>
      <c r="Z8" s="343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79" t="s">
        <v>1686</v>
      </c>
      <c r="Q9" s="530" t="str">
        <f t="shared" ref="Q9:Q14" si="6">B9</f>
        <v>用途</v>
      </c>
      <c r="R9" s="664" t="s">
        <v>14</v>
      </c>
      <c r="S9" s="665">
        <f t="shared" si="0"/>
        <v>100</v>
      </c>
      <c r="T9" s="664" t="s">
        <v>14</v>
      </c>
      <c r="U9" s="665">
        <f t="shared" si="1"/>
        <v>100</v>
      </c>
      <c r="V9" s="664" t="s">
        <v>14</v>
      </c>
      <c r="W9" s="665">
        <f t="shared" si="2"/>
        <v>100</v>
      </c>
      <c r="X9" s="666"/>
      <c r="Y9" s="3404" t="s">
        <v>1687</v>
      </c>
      <c r="Z9" s="50" t="str">
        <f t="shared" ref="Z9:Z14" si="7">Q9</f>
        <v>用途</v>
      </c>
      <c r="AA9" s="50">
        <f t="shared" si="3"/>
        <v>1</v>
      </c>
      <c r="AB9" s="50">
        <f t="shared" si="4"/>
        <v>1</v>
      </c>
      <c r="AC9" s="50">
        <f t="shared" si="5"/>
        <v>1</v>
      </c>
    </row>
    <row r="10" spans="1:29" s="366" customFormat="1" ht="2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79"/>
      <c r="Q10" s="530" t="str">
        <f t="shared" si="6"/>
        <v>土地使用年限（年）</v>
      </c>
      <c r="R10" s="664" t="s">
        <v>14</v>
      </c>
      <c r="S10" s="665">
        <f t="shared" si="0"/>
        <v>100</v>
      </c>
      <c r="T10" s="664" t="s">
        <v>14</v>
      </c>
      <c r="U10" s="665">
        <f t="shared" si="1"/>
        <v>100</v>
      </c>
      <c r="V10" s="664" t="s">
        <v>14</v>
      </c>
      <c r="W10" s="665">
        <f t="shared" si="2"/>
        <v>100</v>
      </c>
      <c r="X10" s="666"/>
      <c r="Y10" s="3404"/>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79"/>
      <c r="Q11" s="530">
        <f t="shared" si="6"/>
        <v>111</v>
      </c>
      <c r="R11" s="664" t="s">
        <v>14</v>
      </c>
      <c r="S11" s="665">
        <f t="shared" si="0"/>
        <v>100</v>
      </c>
      <c r="T11" s="664" t="s">
        <v>14</v>
      </c>
      <c r="U11" s="665">
        <f t="shared" si="1"/>
        <v>100</v>
      </c>
      <c r="V11" s="664" t="s">
        <v>14</v>
      </c>
      <c r="W11" s="665">
        <f t="shared" si="2"/>
        <v>100</v>
      </c>
      <c r="X11" s="666"/>
      <c r="Y11" s="3404"/>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79"/>
      <c r="Q12" s="530">
        <f t="shared" si="6"/>
        <v>111</v>
      </c>
      <c r="R12" s="664" t="s">
        <v>14</v>
      </c>
      <c r="S12" s="665">
        <f t="shared" si="0"/>
        <v>100</v>
      </c>
      <c r="T12" s="664" t="s">
        <v>14</v>
      </c>
      <c r="U12" s="665">
        <f t="shared" si="1"/>
        <v>100</v>
      </c>
      <c r="V12" s="664" t="s">
        <v>14</v>
      </c>
      <c r="W12" s="665">
        <f t="shared" si="2"/>
        <v>100</v>
      </c>
      <c r="X12" s="666"/>
      <c r="Y12" s="3404"/>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79"/>
      <c r="Q13" s="530">
        <f t="shared" si="6"/>
        <v>111</v>
      </c>
      <c r="R13" s="664" t="s">
        <v>14</v>
      </c>
      <c r="S13" s="665">
        <f t="shared" si="0"/>
        <v>100</v>
      </c>
      <c r="T13" s="664" t="s">
        <v>14</v>
      </c>
      <c r="U13" s="665">
        <f t="shared" si="1"/>
        <v>100</v>
      </c>
      <c r="V13" s="664" t="s">
        <v>14</v>
      </c>
      <c r="W13" s="665">
        <f t="shared" si="2"/>
        <v>100</v>
      </c>
      <c r="X13" s="666"/>
      <c r="Y13" s="3404"/>
      <c r="Z13" s="50">
        <f t="shared" si="7"/>
        <v>111</v>
      </c>
      <c r="AA13" s="50">
        <f t="shared" si="3"/>
        <v>1</v>
      </c>
      <c r="AB13" s="50">
        <f t="shared" si="4"/>
        <v>1</v>
      </c>
      <c r="AC13" s="50">
        <f t="shared" si="5"/>
        <v>1</v>
      </c>
    </row>
    <row r="14" spans="1:29" ht="196">
      <c r="A14" s="379" t="s">
        <v>1690</v>
      </c>
      <c r="B14" s="58" t="s">
        <v>1833</v>
      </c>
      <c r="C14" s="1819" t="str">
        <f>IF(B1="工业",估价对象房地状况!G4,估价对象房地状况!C6)</f>
        <v>估价对象临城市支路——屏翠东路，周边1公里范围内有专112、专15、547等多条公交线路，距地铁15号线望京东站约589米，项目内有停车位，停车便捷度较好，综合评价交通便捷度较好。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72" t="s">
        <v>1691</v>
      </c>
      <c r="Q14" s="1263" t="str">
        <f t="shared" si="6"/>
        <v>交通便捷度</v>
      </c>
      <c r="R14" s="667" t="s">
        <v>14</v>
      </c>
      <c r="S14" s="668">
        <f t="shared" si="0"/>
        <v>100</v>
      </c>
      <c r="T14" s="667" t="s">
        <v>14</v>
      </c>
      <c r="U14" s="668">
        <f t="shared" si="1"/>
        <v>100</v>
      </c>
      <c r="V14" s="667" t="s">
        <v>14</v>
      </c>
      <c r="W14" s="668">
        <f t="shared" si="2"/>
        <v>100</v>
      </c>
      <c r="X14" s="1265"/>
      <c r="Y14" s="3472"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0"/>
      <c r="M15" s="2485"/>
      <c r="N15" s="2485"/>
      <c r="O15" s="2540"/>
      <c r="P15" s="3473"/>
      <c r="Q15" s="1263"/>
      <c r="R15" s="667"/>
      <c r="S15" s="668"/>
      <c r="T15" s="667"/>
      <c r="U15" s="668"/>
      <c r="V15" s="667"/>
      <c r="W15" s="668"/>
      <c r="X15" s="1265"/>
      <c r="Y15" s="3473"/>
      <c r="Z15" s="1264"/>
      <c r="AA15" s="1264">
        <v>1</v>
      </c>
      <c r="AB15" s="1264">
        <v>1</v>
      </c>
      <c r="AC15" s="1264">
        <v>1</v>
      </c>
    </row>
    <row r="16" spans="1:29" ht="378">
      <c r="A16" s="367"/>
      <c r="B16" s="390" t="s">
        <v>1812</v>
      </c>
      <c r="C16" s="1754" t="str">
        <f>IF(B1="工业",估价对象房地状况!G5,估价对象房地状况!C7)</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73"/>
      <c r="Q16" s="1263" t="str">
        <f>B16</f>
        <v>公共配套设施</v>
      </c>
      <c r="R16" s="667" t="s">
        <v>14</v>
      </c>
      <c r="S16" s="668">
        <f>F16</f>
        <v>100</v>
      </c>
      <c r="T16" s="667" t="s">
        <v>14</v>
      </c>
      <c r="U16" s="668">
        <f>H16</f>
        <v>100</v>
      </c>
      <c r="V16" s="667" t="s">
        <v>14</v>
      </c>
      <c r="W16" s="668">
        <f>J16</f>
        <v>100</v>
      </c>
      <c r="X16" s="1265"/>
      <c r="Y16" s="3473"/>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0"/>
      <c r="M17" s="2485"/>
      <c r="N17" s="2485"/>
      <c r="O17" s="2540"/>
      <c r="P17" s="3473"/>
      <c r="Q17" s="1263"/>
      <c r="R17" s="667"/>
      <c r="S17" s="668"/>
      <c r="T17" s="667"/>
      <c r="U17" s="668"/>
      <c r="V17" s="667"/>
      <c r="W17" s="668"/>
      <c r="X17" s="1265"/>
      <c r="Y17" s="3473"/>
      <c r="Z17" s="1264"/>
      <c r="AA17" s="1264">
        <v>1</v>
      </c>
      <c r="AB17" s="1264">
        <v>1</v>
      </c>
      <c r="AC17" s="1264">
        <v>1</v>
      </c>
    </row>
    <row r="18" spans="1:29" ht="15.5">
      <c r="A18" s="367"/>
      <c r="B18" s="586" t="s">
        <v>1813</v>
      </c>
      <c r="C18" s="1754"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73"/>
      <c r="Q18" s="1263" t="str">
        <f>B18</f>
        <v>基础设施水平</v>
      </c>
      <c r="R18" s="667" t="s">
        <v>14</v>
      </c>
      <c r="S18" s="668">
        <f>F18</f>
        <v>100</v>
      </c>
      <c r="T18" s="667" t="s">
        <v>14</v>
      </c>
      <c r="U18" s="668">
        <f>H18</f>
        <v>100</v>
      </c>
      <c r="V18" s="667" t="s">
        <v>14</v>
      </c>
      <c r="W18" s="668">
        <f>J18</f>
        <v>100</v>
      </c>
      <c r="X18" s="1265"/>
      <c r="Y18" s="3473"/>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0"/>
      <c r="M19" s="2485"/>
      <c r="N19" s="2485"/>
      <c r="O19" s="2540"/>
      <c r="P19" s="3473"/>
      <c r="Q19" s="1263"/>
      <c r="R19" s="667"/>
      <c r="S19" s="668"/>
      <c r="T19" s="667"/>
      <c r="U19" s="668"/>
      <c r="V19" s="667"/>
      <c r="W19" s="668"/>
      <c r="X19" s="1265"/>
      <c r="Y19" s="3473"/>
      <c r="Z19" s="1264"/>
      <c r="AA19" s="1264">
        <v>1</v>
      </c>
      <c r="AB19" s="1264">
        <v>1</v>
      </c>
      <c r="AC19" s="1264">
        <v>1</v>
      </c>
    </row>
    <row r="20" spans="1:29" ht="84">
      <c r="A20" s="367"/>
      <c r="B20" s="390" t="s">
        <v>1834</v>
      </c>
      <c r="C20" s="1754" t="str">
        <f>IF(B1="工业",估价对象房地状况!G7,估价对象房地状况!C9)</f>
        <v>区域自然环境：大望京公园、善各庄公园；无人文环境；综合评价环境状况较好</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73"/>
      <c r="Q20" s="1263" t="str">
        <f>B20</f>
        <v>自然及人文环境</v>
      </c>
      <c r="R20" s="667" t="s">
        <v>14</v>
      </c>
      <c r="S20" s="668">
        <f>F20</f>
        <v>100</v>
      </c>
      <c r="T20" s="667" t="s">
        <v>14</v>
      </c>
      <c r="U20" s="668">
        <f>H20</f>
        <v>100</v>
      </c>
      <c r="V20" s="667" t="s">
        <v>14</v>
      </c>
      <c r="W20" s="668">
        <f>J20</f>
        <v>100</v>
      </c>
      <c r="X20" s="1265"/>
      <c r="Y20" s="3473"/>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0"/>
      <c r="M21" s="2485"/>
      <c r="N21" s="2485"/>
      <c r="O21" s="2540"/>
      <c r="P21" s="3473"/>
      <c r="Q21" s="1263"/>
      <c r="R21" s="667"/>
      <c r="S21" s="668"/>
      <c r="T21" s="667"/>
      <c r="U21" s="668"/>
      <c r="V21" s="667"/>
      <c r="W21" s="668"/>
      <c r="X21" s="1265"/>
      <c r="Y21" s="3473"/>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73"/>
      <c r="Q22" s="1263" t="str">
        <f>B22</f>
        <v>楼层</v>
      </c>
      <c r="R22" s="667" t="s">
        <v>14</v>
      </c>
      <c r="S22" s="668">
        <f>F22</f>
        <v>100</v>
      </c>
      <c r="T22" s="667" t="s">
        <v>14</v>
      </c>
      <c r="U22" s="668">
        <f>H22</f>
        <v>100</v>
      </c>
      <c r="V22" s="667" t="s">
        <v>14</v>
      </c>
      <c r="W22" s="668">
        <f>J22</f>
        <v>100</v>
      </c>
      <c r="X22" s="1265"/>
      <c r="Y22" s="3473"/>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73"/>
      <c r="Q23" s="1263">
        <f>B23</f>
        <v>111</v>
      </c>
      <c r="R23" s="667" t="s">
        <v>14</v>
      </c>
      <c r="S23" s="668">
        <f>F23</f>
        <v>100</v>
      </c>
      <c r="T23" s="667" t="s">
        <v>14</v>
      </c>
      <c r="U23" s="668">
        <f>H23</f>
        <v>100</v>
      </c>
      <c r="V23" s="667" t="s">
        <v>14</v>
      </c>
      <c r="W23" s="668">
        <f>J23</f>
        <v>100</v>
      </c>
      <c r="X23" s="1265"/>
      <c r="Y23" s="3473"/>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73"/>
      <c r="Q24" s="1263">
        <f t="shared" ref="Q24:Q34" si="11">B24</f>
        <v>111</v>
      </c>
      <c r="R24" s="667" t="s">
        <v>14</v>
      </c>
      <c r="S24" s="668">
        <f>F24</f>
        <v>100</v>
      </c>
      <c r="T24" s="667" t="s">
        <v>14</v>
      </c>
      <c r="U24" s="668">
        <f>H24</f>
        <v>100</v>
      </c>
      <c r="V24" s="667" t="s">
        <v>14</v>
      </c>
      <c r="W24" s="668">
        <f>J24</f>
        <v>100</v>
      </c>
      <c r="X24" s="1265"/>
      <c r="Y24" s="3473"/>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73"/>
      <c r="Q25" s="530">
        <f t="shared" si="11"/>
        <v>111</v>
      </c>
      <c r="R25" s="664" t="s">
        <v>14</v>
      </c>
      <c r="S25" s="665">
        <f>F25</f>
        <v>100</v>
      </c>
      <c r="T25" s="664" t="s">
        <v>14</v>
      </c>
      <c r="U25" s="665">
        <f>H25</f>
        <v>100</v>
      </c>
      <c r="V25" s="664" t="s">
        <v>14</v>
      </c>
      <c r="W25" s="665">
        <f>J25</f>
        <v>100</v>
      </c>
      <c r="X25" s="666"/>
      <c r="Y25" s="3473"/>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51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77"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77"/>
      <c r="Q27" s="531" t="str">
        <f t="shared" si="11"/>
        <v>成新率</v>
      </c>
      <c r="R27" s="669" t="s">
        <v>14</v>
      </c>
      <c r="S27" s="670" t="e">
        <f t="shared" si="12"/>
        <v>#N/A</v>
      </c>
      <c r="T27" s="669" t="s">
        <v>14</v>
      </c>
      <c r="U27" s="670" t="e">
        <f t="shared" si="13"/>
        <v>#N/A</v>
      </c>
      <c r="V27" s="669" t="s">
        <v>14</v>
      </c>
      <c r="W27" s="670" t="e">
        <f t="shared" si="14"/>
        <v>#N/A</v>
      </c>
      <c r="X27" s="671"/>
      <c r="Y27" s="3477"/>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77"/>
      <c r="Q28" s="1263" t="str">
        <f t="shared" si="11"/>
        <v>物业等级</v>
      </c>
      <c r="R28" s="667" t="s">
        <v>14</v>
      </c>
      <c r="S28" s="668">
        <f t="shared" si="12"/>
        <v>100</v>
      </c>
      <c r="T28" s="667" t="s">
        <v>14</v>
      </c>
      <c r="U28" s="668">
        <f t="shared" si="13"/>
        <v>100</v>
      </c>
      <c r="V28" s="667" t="s">
        <v>14</v>
      </c>
      <c r="W28" s="668">
        <f t="shared" si="14"/>
        <v>100</v>
      </c>
      <c r="X28" s="1265"/>
      <c r="Y28" s="3477"/>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77"/>
      <c r="Q29" s="1263" t="str">
        <f t="shared" si="11"/>
        <v>有无电梯</v>
      </c>
      <c r="R29" s="667" t="s">
        <v>14</v>
      </c>
      <c r="S29" s="668">
        <f t="shared" si="12"/>
        <v>100</v>
      </c>
      <c r="T29" s="667" t="s">
        <v>14</v>
      </c>
      <c r="U29" s="668">
        <f t="shared" si="13"/>
        <v>100</v>
      </c>
      <c r="V29" s="667" t="s">
        <v>14</v>
      </c>
      <c r="W29" s="668">
        <f t="shared" si="14"/>
        <v>100</v>
      </c>
      <c r="X29" s="1265"/>
      <c r="Y29" s="3477"/>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77"/>
      <c r="Q30" s="1263" t="str">
        <f t="shared" si="11"/>
        <v>建筑面积</v>
      </c>
      <c r="R30" s="667" t="s">
        <v>14</v>
      </c>
      <c r="S30" s="668" t="e">
        <f t="shared" si="12"/>
        <v>#N/A</v>
      </c>
      <c r="T30" s="667" t="s">
        <v>14</v>
      </c>
      <c r="U30" s="668" t="e">
        <f t="shared" si="13"/>
        <v>#N/A</v>
      </c>
      <c r="V30" s="667" t="s">
        <v>14</v>
      </c>
      <c r="W30" s="668" t="e">
        <f t="shared" si="14"/>
        <v>#N/A</v>
      </c>
      <c r="X30" s="1265"/>
      <c r="Y30" s="3477"/>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77"/>
      <c r="Q31" s="530" t="str">
        <f t="shared" si="11"/>
        <v>是否封闭</v>
      </c>
      <c r="R31" s="664" t="s">
        <v>14</v>
      </c>
      <c r="S31" s="665">
        <f t="shared" si="12"/>
        <v>100</v>
      </c>
      <c r="T31" s="664" t="s">
        <v>14</v>
      </c>
      <c r="U31" s="665">
        <f t="shared" si="13"/>
        <v>100</v>
      </c>
      <c r="V31" s="664" t="s">
        <v>14</v>
      </c>
      <c r="W31" s="665">
        <f t="shared" si="14"/>
        <v>100</v>
      </c>
      <c r="X31" s="666"/>
      <c r="Y31" s="3477"/>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77" t="s">
        <v>1696</v>
      </c>
      <c r="Q32" s="1263">
        <f t="shared" si="11"/>
        <v>111</v>
      </c>
      <c r="R32" s="667" t="s">
        <v>14</v>
      </c>
      <c r="S32" s="668">
        <f t="shared" si="12"/>
        <v>100</v>
      </c>
      <c r="T32" s="667" t="s">
        <v>14</v>
      </c>
      <c r="U32" s="668">
        <f t="shared" si="13"/>
        <v>100</v>
      </c>
      <c r="V32" s="667" t="s">
        <v>14</v>
      </c>
      <c r="W32" s="668">
        <f t="shared" si="14"/>
        <v>100</v>
      </c>
      <c r="X32" s="1265"/>
      <c r="Y32" s="3477"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77"/>
      <c r="Q33" s="1263">
        <f t="shared" si="11"/>
        <v>111</v>
      </c>
      <c r="R33" s="667" t="s">
        <v>14</v>
      </c>
      <c r="S33" s="668">
        <f t="shared" si="12"/>
        <v>100</v>
      </c>
      <c r="T33" s="667" t="s">
        <v>14</v>
      </c>
      <c r="U33" s="668">
        <f t="shared" si="13"/>
        <v>100</v>
      </c>
      <c r="V33" s="667" t="s">
        <v>14</v>
      </c>
      <c r="W33" s="668">
        <f t="shared" si="14"/>
        <v>100</v>
      </c>
      <c r="X33" s="1265"/>
      <c r="Y33" s="3477"/>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477"/>
      <c r="Q34" s="1263">
        <f t="shared" si="11"/>
        <v>111</v>
      </c>
      <c r="R34" s="667" t="s">
        <v>14</v>
      </c>
      <c r="S34" s="668">
        <f t="shared" si="12"/>
        <v>100</v>
      </c>
      <c r="T34" s="667" t="s">
        <v>14</v>
      </c>
      <c r="U34" s="668">
        <f t="shared" si="13"/>
        <v>100</v>
      </c>
      <c r="V34" s="667" t="s">
        <v>14</v>
      </c>
      <c r="W34" s="668">
        <f t="shared" si="14"/>
        <v>100</v>
      </c>
      <c r="X34" s="1265"/>
      <c r="Y34" s="3477"/>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2"/>
      <c r="M35" s="2485"/>
      <c r="N35" s="2485"/>
      <c r="O35" s="2485"/>
      <c r="P35" s="3479" t="str">
        <f>A35</f>
        <v>成交单价（元/平方米）</v>
      </c>
      <c r="Q35" s="3479"/>
      <c r="R35" s="3467">
        <f>E35</f>
        <v>0</v>
      </c>
      <c r="S35" s="3467"/>
      <c r="T35" s="3467">
        <f>G35</f>
        <v>0</v>
      </c>
      <c r="U35" s="3467"/>
      <c r="V35" s="3467">
        <f>I35</f>
        <v>0</v>
      </c>
      <c r="W35" s="3467"/>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2"/>
      <c r="M36" s="2485"/>
      <c r="N36" s="2485"/>
      <c r="O36" s="2485"/>
      <c r="P36" s="3479" t="str">
        <f>A36</f>
        <v>比较价值（元/平方米）</v>
      </c>
      <c r="Q36" s="3479"/>
      <c r="R36" s="3467" t="e">
        <f>IF(F1="售价",ROUND(PRODUCT(R35,AA7:AA34),0),ROUND(PRODUCT(R35,AA7:AA34),1))</f>
        <v>#DIV/0!</v>
      </c>
      <c r="S36" s="3467"/>
      <c r="T36" s="3467" t="e">
        <f>IF(F1="售价",ROUND(PRODUCT(T35,AB7:AB34),0),ROUND(PRODUCT(T35,AB7:AB34),1))</f>
        <v>#DIV/0!</v>
      </c>
      <c r="U36" s="3467"/>
      <c r="V36" s="3467" t="e">
        <f>IF(F1="售价",ROUND(PRODUCT(V35,AC7:AC34),0),ROUND(PRODUCT(V35,AC7:AC34),1))</f>
        <v>#DIV/0!</v>
      </c>
      <c r="W36" s="3467"/>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2"/>
      <c r="M37" s="2485"/>
      <c r="N37" s="2485"/>
      <c r="O37" s="2485"/>
      <c r="P37" s="3516" t="str">
        <f>A37</f>
        <v>估价对象XX用房的比较价值（楼面单价，元/平方米）</v>
      </c>
      <c r="Q37" s="3517"/>
      <c r="R37" s="3520" t="e">
        <f>IF(F1="售价",ROUND(IF(D36="简单平均",AVERAGE(R36:W36),R36*F36+T36*H36+V36*J36),0),ROUND(IF(D36="简单平均",AVERAGE(R36:V36),R36*F36+T36*H36+V36*J36),1))</f>
        <v>#DIV/0!</v>
      </c>
      <c r="S37" s="3520"/>
      <c r="T37" s="3520"/>
      <c r="U37" s="3520"/>
      <c r="V37" s="3520"/>
      <c r="W37" s="3520"/>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c r="A46" s="440" t="s">
        <v>1679</v>
      </c>
      <c r="B46" s="441"/>
      <c r="C46" s="1103" t="str">
        <f>YEAR(C7)&amp;"-"&amp;MONTH(C7)</f>
        <v>2025-9</v>
      </c>
      <c r="D46" s="1104">
        <f>EDATE(C46,-1)</f>
        <v>45870</v>
      </c>
      <c r="E46" s="1104">
        <f t="shared" ref="E46:O46" si="16">EDATE(D46,-1)</f>
        <v>45839</v>
      </c>
      <c r="F46" s="1104">
        <f t="shared" si="16"/>
        <v>45809</v>
      </c>
      <c r="G46" s="1104">
        <f t="shared" si="16"/>
        <v>45778</v>
      </c>
      <c r="H46" s="1104">
        <f t="shared" si="16"/>
        <v>45748</v>
      </c>
      <c r="I46" s="1104">
        <f t="shared" si="16"/>
        <v>45717</v>
      </c>
      <c r="J46" s="1104">
        <f t="shared" si="16"/>
        <v>45689</v>
      </c>
      <c r="K46" s="1104">
        <f t="shared" si="16"/>
        <v>45658</v>
      </c>
      <c r="L46" s="1104">
        <f t="shared" si="16"/>
        <v>45627</v>
      </c>
      <c r="M46" s="1104">
        <f t="shared" si="16"/>
        <v>45597</v>
      </c>
      <c r="N46" s="1104">
        <f t="shared" si="16"/>
        <v>45566</v>
      </c>
      <c r="O46" s="1104">
        <f t="shared" si="16"/>
        <v>45536</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4.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5"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8.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8.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4.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4.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4.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5"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5"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5"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5"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4.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4.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4.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4.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c r="A4" s="345" t="s">
        <v>1769</v>
      </c>
      <c r="B4" s="346"/>
      <c r="C4" s="3454" t="s">
        <v>1770</v>
      </c>
      <c r="D4" s="3455"/>
      <c r="E4" s="3456" t="s">
        <v>1771</v>
      </c>
      <c r="F4" s="3457"/>
      <c r="G4" s="3454" t="s">
        <v>1772</v>
      </c>
      <c r="H4" s="3455"/>
      <c r="I4" s="3454" t="s">
        <v>1773</v>
      </c>
      <c r="J4" s="3455"/>
      <c r="K4" s="537" t="s">
        <v>1774</v>
      </c>
      <c r="L4" s="2484"/>
      <c r="M4" s="2485"/>
      <c r="N4" s="2485"/>
      <c r="O4" s="2485"/>
      <c r="P4" s="3512" t="s">
        <v>1775</v>
      </c>
      <c r="Q4" s="3513"/>
      <c r="R4" s="3510" t="s">
        <v>1771</v>
      </c>
      <c r="S4" s="3511"/>
      <c r="T4" s="3510" t="s">
        <v>1772</v>
      </c>
      <c r="U4" s="3511"/>
      <c r="V4" s="3467" t="s">
        <v>1773</v>
      </c>
      <c r="W4" s="3467"/>
      <c r="X4" s="1265"/>
      <c r="Y4" s="3510" t="s">
        <v>1775</v>
      </c>
      <c r="Z4" s="3511"/>
      <c r="AA4" s="3509" t="s">
        <v>1771</v>
      </c>
      <c r="AB4" s="3432" t="s">
        <v>1772</v>
      </c>
      <c r="AC4" s="3509" t="s">
        <v>1773</v>
      </c>
    </row>
    <row r="5" spans="1:29">
      <c r="A5" s="348"/>
      <c r="B5" s="349"/>
      <c r="C5" s="3446" t="s">
        <v>1673</v>
      </c>
      <c r="D5" s="3443"/>
      <c r="E5" s="3440" t="s">
        <v>1674</v>
      </c>
      <c r="F5" s="3441"/>
      <c r="G5" s="3446" t="s">
        <v>1675</v>
      </c>
      <c r="H5" s="3443"/>
      <c r="I5" s="3446" t="s">
        <v>1676</v>
      </c>
      <c r="J5" s="3443"/>
      <c r="K5" s="537"/>
      <c r="L5" s="2484"/>
      <c r="M5" s="2485"/>
      <c r="N5" s="2485"/>
      <c r="O5" s="2485"/>
      <c r="P5" s="3514"/>
      <c r="Q5" s="3461"/>
      <c r="R5" s="3438"/>
      <c r="S5" s="3439"/>
      <c r="T5" s="3438"/>
      <c r="U5" s="3439"/>
      <c r="V5" s="3467"/>
      <c r="W5" s="3467"/>
      <c r="X5" s="1265"/>
      <c r="Y5" s="3438"/>
      <c r="Z5" s="3439"/>
      <c r="AA5" s="3432"/>
      <c r="AB5" s="3432"/>
      <c r="AC5" s="3432"/>
    </row>
    <row r="6" spans="1:29" ht="15" thickBot="1">
      <c r="A6" s="350"/>
      <c r="B6" s="351"/>
      <c r="C6" s="3449" t="s">
        <v>1677</v>
      </c>
      <c r="D6" s="3445"/>
      <c r="E6" s="3447" t="s">
        <v>1677</v>
      </c>
      <c r="F6" s="3448"/>
      <c r="G6" s="3449" t="s">
        <v>1677</v>
      </c>
      <c r="H6" s="3445"/>
      <c r="I6" s="3449" t="s">
        <v>1677</v>
      </c>
      <c r="J6" s="3445"/>
      <c r="K6" s="537" t="s">
        <v>1678</v>
      </c>
      <c r="L6" s="2484"/>
      <c r="M6" s="2485"/>
      <c r="N6" s="2485"/>
      <c r="O6" s="2485"/>
      <c r="P6" s="3515"/>
      <c r="Q6" s="3463"/>
      <c r="R6" s="3438"/>
      <c r="S6" s="3439"/>
      <c r="T6" s="3464"/>
      <c r="U6" s="3465"/>
      <c r="V6" s="3467"/>
      <c r="W6" s="3467"/>
      <c r="X6" s="1265"/>
      <c r="Y6" s="3464"/>
      <c r="Z6" s="3465"/>
      <c r="AA6" s="3433"/>
      <c r="AB6" s="3433"/>
      <c r="AC6" s="3433"/>
    </row>
    <row r="7" spans="1:29" s="102" customFormat="1" ht="14.5" thickBot="1">
      <c r="A7" s="352" t="s">
        <v>1679</v>
      </c>
      <c r="B7" s="353"/>
      <c r="C7" s="354">
        <f>'数据-取费表'!B2</f>
        <v>45901</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34" t="s">
        <v>1680</v>
      </c>
      <c r="Q7" s="3469"/>
      <c r="R7" s="664" t="s">
        <v>14</v>
      </c>
      <c r="S7" s="665">
        <f t="shared" ref="S7:S15" si="0">F7</f>
        <v>0</v>
      </c>
      <c r="T7" s="664" t="s">
        <v>14</v>
      </c>
      <c r="U7" s="665">
        <f t="shared" ref="U7:U15" si="1">H7</f>
        <v>0</v>
      </c>
      <c r="V7" s="664" t="s">
        <v>14</v>
      </c>
      <c r="W7" s="665">
        <f t="shared" ref="W7:W15" si="2">J7</f>
        <v>0</v>
      </c>
      <c r="X7" s="666"/>
      <c r="Y7" s="3434" t="s">
        <v>1680</v>
      </c>
      <c r="Z7" s="3435"/>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34" t="s">
        <v>1683</v>
      </c>
      <c r="Q8" s="3435"/>
      <c r="R8" s="664" t="s">
        <v>14</v>
      </c>
      <c r="S8" s="665">
        <f t="shared" si="0"/>
        <v>0</v>
      </c>
      <c r="T8" s="664" t="s">
        <v>14</v>
      </c>
      <c r="U8" s="665">
        <f t="shared" si="1"/>
        <v>0</v>
      </c>
      <c r="V8" s="664" t="s">
        <v>14</v>
      </c>
      <c r="W8" s="665">
        <f t="shared" si="2"/>
        <v>0</v>
      </c>
      <c r="X8" s="666"/>
      <c r="Y8" s="3434" t="s">
        <v>1683</v>
      </c>
      <c r="Z8" s="3435"/>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79" t="s">
        <v>1686</v>
      </c>
      <c r="Q9" s="530" t="str">
        <f t="shared" ref="Q9:Q15" si="6">B9</f>
        <v>用途</v>
      </c>
      <c r="R9" s="664" t="s">
        <v>14</v>
      </c>
      <c r="S9" s="665">
        <f t="shared" si="0"/>
        <v>100</v>
      </c>
      <c r="T9" s="664" t="s">
        <v>14</v>
      </c>
      <c r="U9" s="665">
        <f t="shared" si="1"/>
        <v>100</v>
      </c>
      <c r="V9" s="664" t="s">
        <v>14</v>
      </c>
      <c r="W9" s="665">
        <f t="shared" si="2"/>
        <v>100</v>
      </c>
      <c r="X9" s="666"/>
      <c r="Y9" s="3404"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7"/>
      <c r="M10" s="2488"/>
      <c r="N10" s="2488"/>
      <c r="O10" s="2539"/>
      <c r="P10" s="3479"/>
      <c r="Q10" s="530" t="str">
        <f t="shared" si="6"/>
        <v>土地使用年限（年）</v>
      </c>
      <c r="R10" s="664" t="s">
        <v>14</v>
      </c>
      <c r="S10" s="665" t="e">
        <f t="shared" si="0"/>
        <v>#DIV/0!</v>
      </c>
      <c r="T10" s="664" t="s">
        <v>14</v>
      </c>
      <c r="U10" s="665" t="e">
        <f t="shared" si="1"/>
        <v>#DIV/0!</v>
      </c>
      <c r="V10" s="664" t="s">
        <v>14</v>
      </c>
      <c r="W10" s="665" t="e">
        <f t="shared" si="2"/>
        <v>#DIV/0!</v>
      </c>
      <c r="X10" s="666"/>
      <c r="Y10" s="3404"/>
      <c r="Z10" s="50" t="str">
        <f t="shared" si="7"/>
        <v>土地使用年限（年）</v>
      </c>
      <c r="AA10" s="50" t="e">
        <f t="shared" si="3"/>
        <v>#DIV/0!</v>
      </c>
      <c r="AB10" s="50" t="e">
        <f t="shared" si="4"/>
        <v>#DIV/0!</v>
      </c>
      <c r="AC10" s="50" t="e">
        <f t="shared" si="5"/>
        <v>#DIV/0!</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79"/>
      <c r="Q11" s="530" t="str">
        <f t="shared" si="6"/>
        <v>容积率</v>
      </c>
      <c r="R11" s="664" t="s">
        <v>14</v>
      </c>
      <c r="S11" s="665" t="e">
        <f t="shared" si="0"/>
        <v>#N/A</v>
      </c>
      <c r="T11" s="664" t="s">
        <v>14</v>
      </c>
      <c r="U11" s="665" t="e">
        <f t="shared" si="1"/>
        <v>#N/A</v>
      </c>
      <c r="V11" s="664" t="s">
        <v>14</v>
      </c>
      <c r="W11" s="665" t="e">
        <f t="shared" si="2"/>
        <v>#N/A</v>
      </c>
      <c r="X11" s="666"/>
      <c r="Y11" s="3404"/>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79"/>
      <c r="Q12" s="530" t="str">
        <f t="shared" si="6"/>
        <v>配建</v>
      </c>
      <c r="R12" s="664" t="s">
        <v>14</v>
      </c>
      <c r="S12" s="665">
        <f t="shared" si="0"/>
        <v>100</v>
      </c>
      <c r="T12" s="664" t="s">
        <v>14</v>
      </c>
      <c r="U12" s="665">
        <f t="shared" si="1"/>
        <v>100</v>
      </c>
      <c r="V12" s="664" t="s">
        <v>14</v>
      </c>
      <c r="W12" s="665">
        <f t="shared" si="2"/>
        <v>100</v>
      </c>
      <c r="X12" s="666"/>
      <c r="Y12" s="3404"/>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79"/>
      <c r="Q13" s="530">
        <f t="shared" si="6"/>
        <v>111</v>
      </c>
      <c r="R13" s="664" t="s">
        <v>14</v>
      </c>
      <c r="S13" s="665">
        <f t="shared" si="0"/>
        <v>100</v>
      </c>
      <c r="T13" s="664" t="s">
        <v>14</v>
      </c>
      <c r="U13" s="665">
        <f t="shared" si="1"/>
        <v>100</v>
      </c>
      <c r="V13" s="664" t="s">
        <v>14</v>
      </c>
      <c r="W13" s="665">
        <f t="shared" si="2"/>
        <v>100</v>
      </c>
      <c r="X13" s="666"/>
      <c r="Y13" s="3404"/>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79"/>
      <c r="Q14" s="530">
        <f t="shared" si="6"/>
        <v>111</v>
      </c>
      <c r="R14" s="664" t="s">
        <v>14</v>
      </c>
      <c r="S14" s="665">
        <f t="shared" si="0"/>
        <v>100</v>
      </c>
      <c r="T14" s="664" t="s">
        <v>14</v>
      </c>
      <c r="U14" s="665">
        <f t="shared" si="1"/>
        <v>100</v>
      </c>
      <c r="V14" s="664" t="s">
        <v>14</v>
      </c>
      <c r="W14" s="665">
        <f t="shared" si="2"/>
        <v>100</v>
      </c>
      <c r="X14" s="666"/>
      <c r="Y14" s="3404"/>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72" t="s">
        <v>1691</v>
      </c>
      <c r="Q15" s="1263" t="str">
        <f t="shared" si="6"/>
        <v>居住社区成熟度</v>
      </c>
      <c r="R15" s="667" t="s">
        <v>14</v>
      </c>
      <c r="S15" s="668">
        <f t="shared" si="0"/>
        <v>100</v>
      </c>
      <c r="T15" s="667" t="s">
        <v>14</v>
      </c>
      <c r="U15" s="668">
        <f t="shared" si="1"/>
        <v>100</v>
      </c>
      <c r="V15" s="667" t="s">
        <v>14</v>
      </c>
      <c r="W15" s="668">
        <f t="shared" si="2"/>
        <v>100</v>
      </c>
      <c r="X15" s="1265"/>
      <c r="Y15" s="3472"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0"/>
      <c r="M16" s="2485"/>
      <c r="N16" s="2485"/>
      <c r="O16" s="2540"/>
      <c r="P16" s="3473"/>
      <c r="Q16" s="1263"/>
      <c r="R16" s="667"/>
      <c r="S16" s="668"/>
      <c r="T16" s="667"/>
      <c r="U16" s="668"/>
      <c r="V16" s="667"/>
      <c r="W16" s="668"/>
      <c r="X16" s="1265"/>
      <c r="Y16" s="3473"/>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73"/>
      <c r="Q17" s="1263" t="str">
        <f>B17</f>
        <v>商业繁华度</v>
      </c>
      <c r="R17" s="667" t="s">
        <v>14</v>
      </c>
      <c r="S17" s="668">
        <f>F17</f>
        <v>100</v>
      </c>
      <c r="T17" s="667" t="s">
        <v>14</v>
      </c>
      <c r="U17" s="668">
        <f>H17</f>
        <v>100</v>
      </c>
      <c r="V17" s="667" t="s">
        <v>14</v>
      </c>
      <c r="W17" s="668">
        <f>J17</f>
        <v>100</v>
      </c>
      <c r="X17" s="1265"/>
      <c r="Y17" s="3473"/>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0"/>
      <c r="M18" s="2485"/>
      <c r="N18" s="2485"/>
      <c r="O18" s="2540"/>
      <c r="P18" s="3473"/>
      <c r="Q18" s="1263"/>
      <c r="R18" s="667"/>
      <c r="S18" s="668"/>
      <c r="T18" s="667"/>
      <c r="U18" s="668"/>
      <c r="V18" s="667"/>
      <c r="W18" s="668"/>
      <c r="X18" s="1265"/>
      <c r="Y18" s="3473"/>
      <c r="Z18" s="1264"/>
      <c r="AA18" s="1264">
        <v>1</v>
      </c>
      <c r="AB18" s="1264">
        <v>1</v>
      </c>
      <c r="AC18" s="1264">
        <v>1</v>
      </c>
    </row>
    <row r="19" spans="1:29" ht="126">
      <c r="A19" s="367"/>
      <c r="B19" s="390" t="s">
        <v>1811</v>
      </c>
      <c r="C19" s="1806" t="str">
        <f>估价对象房地状况!C17</f>
        <v>估价对象位于北五环内，周边有望京国际研发园、望京数字创意园、锐创国际中心等办公项目，办公集聚程度较好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73"/>
      <c r="Q19" s="1263" t="str">
        <f>B19</f>
        <v>办公集聚程度</v>
      </c>
      <c r="R19" s="667" t="s">
        <v>14</v>
      </c>
      <c r="S19" s="668">
        <f>F19</f>
        <v>100</v>
      </c>
      <c r="T19" s="667" t="s">
        <v>14</v>
      </c>
      <c r="U19" s="668">
        <f>H19</f>
        <v>100</v>
      </c>
      <c r="V19" s="667" t="s">
        <v>14</v>
      </c>
      <c r="W19" s="668">
        <f>J19</f>
        <v>100</v>
      </c>
      <c r="X19" s="1265"/>
      <c r="Y19" s="3473"/>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0"/>
      <c r="M20" s="2485"/>
      <c r="N20" s="2485"/>
      <c r="O20" s="2540"/>
      <c r="P20" s="3473"/>
      <c r="Q20" s="1263"/>
      <c r="R20" s="667"/>
      <c r="S20" s="668"/>
      <c r="T20" s="667"/>
      <c r="U20" s="668"/>
      <c r="V20" s="667"/>
      <c r="W20" s="668"/>
      <c r="X20" s="1265"/>
      <c r="Y20" s="3473"/>
      <c r="Z20" s="1264"/>
      <c r="AA20" s="1264">
        <v>1</v>
      </c>
      <c r="AB20" s="1264">
        <v>1</v>
      </c>
      <c r="AC20" s="1264">
        <v>1</v>
      </c>
    </row>
    <row r="21" spans="1:29" ht="196">
      <c r="A21" s="367"/>
      <c r="B21" s="390" t="s">
        <v>1833</v>
      </c>
      <c r="C21" s="1754" t="str">
        <f>估价对象房地状况!C18</f>
        <v>估价对象临城市支路——屏翠东路，周边1公里范围内有专112、专15、547等多条公交线路，距地铁15号线望京东站约589米，项目内有停车位，停车便捷度较好，综合评价交通便捷度较好。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73"/>
      <c r="Q21" s="1263" t="str">
        <f>B21</f>
        <v>交通便捷度</v>
      </c>
      <c r="R21" s="667" t="s">
        <v>14</v>
      </c>
      <c r="S21" s="668">
        <f>F21</f>
        <v>100</v>
      </c>
      <c r="T21" s="667" t="s">
        <v>14</v>
      </c>
      <c r="U21" s="668">
        <f>H21</f>
        <v>100</v>
      </c>
      <c r="V21" s="667" t="s">
        <v>14</v>
      </c>
      <c r="W21" s="668">
        <f>J21</f>
        <v>100</v>
      </c>
      <c r="X21" s="1265"/>
      <c r="Y21" s="3473"/>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0"/>
      <c r="M22" s="2485"/>
      <c r="N22" s="2485"/>
      <c r="O22" s="2540"/>
      <c r="P22" s="3473"/>
      <c r="Q22" s="1263"/>
      <c r="R22" s="667"/>
      <c r="S22" s="668"/>
      <c r="T22" s="667"/>
      <c r="U22" s="668"/>
      <c r="V22" s="667"/>
      <c r="W22" s="668"/>
      <c r="X22" s="1265"/>
      <c r="Y22" s="3473"/>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73"/>
      <c r="Q23" s="1263" t="str">
        <f t="shared" ref="Q23:Q37" si="8">B23</f>
        <v>区域土地利用方向</v>
      </c>
      <c r="R23" s="667" t="s">
        <v>14</v>
      </c>
      <c r="S23" s="668">
        <f>F23</f>
        <v>100</v>
      </c>
      <c r="T23" s="667" t="s">
        <v>14</v>
      </c>
      <c r="U23" s="668">
        <f>H23</f>
        <v>100</v>
      </c>
      <c r="V23" s="667" t="s">
        <v>14</v>
      </c>
      <c r="W23" s="668">
        <f>J23</f>
        <v>100</v>
      </c>
      <c r="X23" s="1265"/>
      <c r="Y23" s="3473"/>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0"/>
      <c r="M24" s="2485"/>
      <c r="N24" s="2485"/>
      <c r="O24" s="2540"/>
      <c r="P24" s="3473"/>
      <c r="Q24" s="1263"/>
      <c r="R24" s="667"/>
      <c r="S24" s="668"/>
      <c r="T24" s="667"/>
      <c r="U24" s="668"/>
      <c r="V24" s="667"/>
      <c r="W24" s="668"/>
      <c r="X24" s="1265"/>
      <c r="Y24" s="3473"/>
      <c r="Z24" s="1264"/>
      <c r="AA24" s="1264"/>
      <c r="AB24" s="1264"/>
      <c r="AC24" s="1264"/>
    </row>
    <row r="25" spans="1:29" ht="84">
      <c r="A25" s="348"/>
      <c r="B25" s="586" t="s">
        <v>1872</v>
      </c>
      <c r="C25" s="1806" t="str">
        <f>估价对象房地状况!C20</f>
        <v>区域自然环境：大望京公园、善各庄公园；无人文环境；综合评价环境状况较好</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73"/>
      <c r="Q25" s="1263" t="str">
        <f t="shared" si="8"/>
        <v>自然及人文环境状况</v>
      </c>
      <c r="R25" s="667" t="s">
        <v>14</v>
      </c>
      <c r="S25" s="668">
        <f>F25</f>
        <v>100</v>
      </c>
      <c r="T25" s="667" t="s">
        <v>14</v>
      </c>
      <c r="U25" s="668">
        <f>H25</f>
        <v>100</v>
      </c>
      <c r="V25" s="667" t="s">
        <v>14</v>
      </c>
      <c r="W25" s="668">
        <f>J25</f>
        <v>100</v>
      </c>
      <c r="X25" s="1265"/>
      <c r="Y25" s="3473"/>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0"/>
      <c r="M26" s="2485"/>
      <c r="N26" s="2485"/>
      <c r="O26" s="2540"/>
      <c r="P26" s="3473"/>
      <c r="Q26" s="1263"/>
      <c r="R26" s="667"/>
      <c r="S26" s="668"/>
      <c r="T26" s="667"/>
      <c r="U26" s="668"/>
      <c r="V26" s="667"/>
      <c r="W26" s="668"/>
      <c r="X26" s="1265"/>
      <c r="Y26" s="3473"/>
      <c r="Z26" s="1264"/>
      <c r="AA26" s="1264">
        <v>1</v>
      </c>
      <c r="AB26" s="1264">
        <v>1</v>
      </c>
      <c r="AC26" s="1264">
        <v>1</v>
      </c>
    </row>
    <row r="27" spans="1:29" s="102" customFormat="1" ht="378">
      <c r="A27" s="443"/>
      <c r="B27" s="586" t="s">
        <v>1778</v>
      </c>
      <c r="C27" s="1754" t="str">
        <f>估价对象房地状况!C21</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73"/>
      <c r="Q27" s="530" t="str">
        <f t="shared" si="8"/>
        <v>公共配套设施</v>
      </c>
      <c r="R27" s="664" t="s">
        <v>14</v>
      </c>
      <c r="S27" s="665">
        <f>F27</f>
        <v>100</v>
      </c>
      <c r="T27" s="664" t="s">
        <v>14</v>
      </c>
      <c r="U27" s="665">
        <f>H27</f>
        <v>100</v>
      </c>
      <c r="V27" s="664" t="s">
        <v>14</v>
      </c>
      <c r="W27" s="665">
        <f>J27</f>
        <v>100</v>
      </c>
      <c r="X27" s="666"/>
      <c r="Y27" s="3473"/>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6"/>
      <c r="M28" s="2438"/>
      <c r="N28" s="2438"/>
      <c r="O28" s="2538"/>
      <c r="P28" s="3473"/>
      <c r="Q28" s="530"/>
      <c r="R28" s="664"/>
      <c r="S28" s="665"/>
      <c r="T28" s="664"/>
      <c r="U28" s="665"/>
      <c r="V28" s="664"/>
      <c r="W28" s="665"/>
      <c r="X28" s="666"/>
      <c r="Y28" s="3473"/>
      <c r="Z28" s="50"/>
      <c r="AA28" s="1264">
        <v>1</v>
      </c>
      <c r="AB28" s="1264">
        <v>1</v>
      </c>
      <c r="AC28" s="1264">
        <v>1</v>
      </c>
    </row>
    <row r="29" spans="1:29" s="102" customFormat="1" ht="15.5">
      <c r="A29" s="443"/>
      <c r="B29" s="586" t="s">
        <v>1779</v>
      </c>
      <c r="C29" s="1754"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73"/>
      <c r="Q29" s="530" t="str">
        <f t="shared" ref="Q29" si="9">B29</f>
        <v>基础设施水平</v>
      </c>
      <c r="R29" s="664" t="s">
        <v>14</v>
      </c>
      <c r="S29" s="665">
        <f>F29</f>
        <v>100</v>
      </c>
      <c r="T29" s="664" t="s">
        <v>14</v>
      </c>
      <c r="U29" s="665">
        <f>H29</f>
        <v>100</v>
      </c>
      <c r="V29" s="664" t="s">
        <v>14</v>
      </c>
      <c r="W29" s="665">
        <f>J29</f>
        <v>100</v>
      </c>
      <c r="X29" s="666"/>
      <c r="Y29" s="3473"/>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6"/>
      <c r="M30" s="2438"/>
      <c r="N30" s="2438"/>
      <c r="O30" s="2538"/>
      <c r="P30" s="3473"/>
      <c r="Q30" s="530"/>
      <c r="R30" s="664"/>
      <c r="S30" s="665"/>
      <c r="T30" s="664"/>
      <c r="U30" s="665"/>
      <c r="V30" s="664"/>
      <c r="W30" s="665"/>
      <c r="X30" s="666"/>
      <c r="Y30" s="3473"/>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7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73"/>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73"/>
      <c r="Q32" s="1263" t="str">
        <f t="shared" si="8"/>
        <v>毗邻道路的类型与等级</v>
      </c>
      <c r="R32" s="667" t="s">
        <v>14</v>
      </c>
      <c r="S32" s="668">
        <f t="shared" si="10"/>
        <v>100</v>
      </c>
      <c r="T32" s="667" t="s">
        <v>14</v>
      </c>
      <c r="U32" s="668">
        <f t="shared" si="11"/>
        <v>100</v>
      </c>
      <c r="V32" s="667" t="s">
        <v>14</v>
      </c>
      <c r="W32" s="668">
        <f t="shared" si="12"/>
        <v>100</v>
      </c>
      <c r="X32" s="1265"/>
      <c r="Y32" s="3473"/>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0"/>
      <c r="M33" s="2485"/>
      <c r="N33" s="2485"/>
      <c r="O33" s="2540"/>
      <c r="P33" s="3473"/>
      <c r="Q33" s="1263"/>
      <c r="R33" s="667"/>
      <c r="S33" s="668"/>
      <c r="T33" s="667"/>
      <c r="U33" s="668"/>
      <c r="V33" s="667"/>
      <c r="W33" s="668"/>
      <c r="X33" s="1265"/>
      <c r="Y33" s="3473"/>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73"/>
      <c r="Q34" s="1263" t="str">
        <f t="shared" si="8"/>
        <v>土地级别</v>
      </c>
      <c r="R34" s="667" t="s">
        <v>14</v>
      </c>
      <c r="S34" s="668">
        <f t="shared" si="10"/>
        <v>100</v>
      </c>
      <c r="T34" s="667" t="s">
        <v>14</v>
      </c>
      <c r="U34" s="668">
        <f t="shared" si="11"/>
        <v>100</v>
      </c>
      <c r="V34" s="667" t="s">
        <v>14</v>
      </c>
      <c r="W34" s="668">
        <f t="shared" si="12"/>
        <v>100</v>
      </c>
      <c r="X34" s="1265"/>
      <c r="Y34" s="3473"/>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73"/>
      <c r="Q35" s="1263">
        <f t="shared" si="8"/>
        <v>111</v>
      </c>
      <c r="R35" s="667" t="s">
        <v>14</v>
      </c>
      <c r="S35" s="668">
        <f t="shared" si="10"/>
        <v>100</v>
      </c>
      <c r="T35" s="667" t="s">
        <v>14</v>
      </c>
      <c r="U35" s="668">
        <f t="shared" si="11"/>
        <v>100</v>
      </c>
      <c r="V35" s="667" t="s">
        <v>14</v>
      </c>
      <c r="W35" s="668">
        <f t="shared" si="12"/>
        <v>100</v>
      </c>
      <c r="X35" s="1265"/>
      <c r="Y35" s="3473"/>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519" t="s">
        <v>1696</v>
      </c>
      <c r="Q36" s="1263">
        <f t="shared" si="8"/>
        <v>111</v>
      </c>
      <c r="R36" s="667" t="s">
        <v>14</v>
      </c>
      <c r="S36" s="668">
        <f t="shared" si="10"/>
        <v>100</v>
      </c>
      <c r="T36" s="667" t="s">
        <v>14</v>
      </c>
      <c r="U36" s="668">
        <f t="shared" si="11"/>
        <v>100</v>
      </c>
      <c r="V36" s="667" t="s">
        <v>14</v>
      </c>
      <c r="W36" s="668">
        <f t="shared" si="12"/>
        <v>100</v>
      </c>
      <c r="X36" s="1265"/>
      <c r="Y36" s="3477"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77"/>
      <c r="Q37" s="1263">
        <f t="shared" si="8"/>
        <v>111</v>
      </c>
      <c r="R37" s="669" t="s">
        <v>14</v>
      </c>
      <c r="S37" s="670">
        <f t="shared" si="10"/>
        <v>100</v>
      </c>
      <c r="T37" s="669" t="s">
        <v>14</v>
      </c>
      <c r="U37" s="670">
        <f t="shared" si="11"/>
        <v>100</v>
      </c>
      <c r="V37" s="669" t="s">
        <v>14</v>
      </c>
      <c r="W37" s="670">
        <f t="shared" si="12"/>
        <v>100</v>
      </c>
      <c r="X37" s="671"/>
      <c r="Y37" s="3477"/>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77"/>
      <c r="Q38" s="1263" t="str">
        <f>B38</f>
        <v>宗地面积</v>
      </c>
      <c r="R38" s="667" t="s">
        <v>14</v>
      </c>
      <c r="S38" s="668" t="e">
        <f t="shared" si="10"/>
        <v>#N/A</v>
      </c>
      <c r="T38" s="667" t="s">
        <v>14</v>
      </c>
      <c r="U38" s="668" t="e">
        <f t="shared" si="11"/>
        <v>#N/A</v>
      </c>
      <c r="V38" s="667" t="s">
        <v>14</v>
      </c>
      <c r="W38" s="668" t="e">
        <f t="shared" si="12"/>
        <v>#N/A</v>
      </c>
      <c r="X38" s="1265"/>
      <c r="Y38" s="3477"/>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77"/>
      <c r="Q39" s="1263" t="str">
        <f t="shared" ref="Q39:Q45" si="14">B39</f>
        <v>宗地形状</v>
      </c>
      <c r="R39" s="667" t="s">
        <v>14</v>
      </c>
      <c r="S39" s="668">
        <f t="shared" si="10"/>
        <v>100</v>
      </c>
      <c r="T39" s="667" t="s">
        <v>14</v>
      </c>
      <c r="U39" s="668">
        <f t="shared" si="11"/>
        <v>100</v>
      </c>
      <c r="V39" s="667" t="s">
        <v>14</v>
      </c>
      <c r="W39" s="668">
        <f t="shared" si="12"/>
        <v>100</v>
      </c>
      <c r="X39" s="1265"/>
      <c r="Y39" s="3477"/>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77"/>
      <c r="Q40" s="1263" t="str">
        <f t="shared" si="14"/>
        <v>临街宽度及深度</v>
      </c>
      <c r="R40" s="667" t="s">
        <v>14</v>
      </c>
      <c r="S40" s="668">
        <f t="shared" si="10"/>
        <v>100</v>
      </c>
      <c r="T40" s="667" t="s">
        <v>14</v>
      </c>
      <c r="U40" s="668">
        <f t="shared" si="11"/>
        <v>100</v>
      </c>
      <c r="V40" s="667" t="s">
        <v>14</v>
      </c>
      <c r="W40" s="668">
        <f t="shared" si="12"/>
        <v>100</v>
      </c>
      <c r="X40" s="1265"/>
      <c r="Y40" s="3477"/>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77"/>
      <c r="Q41" s="1263" t="str">
        <f t="shared" si="14"/>
        <v>宗地开发程度</v>
      </c>
      <c r="R41" s="664" t="s">
        <v>14</v>
      </c>
      <c r="S41" s="665">
        <f t="shared" si="10"/>
        <v>100</v>
      </c>
      <c r="T41" s="664" t="s">
        <v>14</v>
      </c>
      <c r="U41" s="665">
        <f t="shared" si="11"/>
        <v>100</v>
      </c>
      <c r="V41" s="664" t="s">
        <v>14</v>
      </c>
      <c r="W41" s="665">
        <f t="shared" si="12"/>
        <v>100</v>
      </c>
      <c r="X41" s="666"/>
      <c r="Y41" s="3477"/>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77" t="s">
        <v>1696</v>
      </c>
      <c r="Q42" s="1263" t="str">
        <f t="shared" si="14"/>
        <v>工程地质条件</v>
      </c>
      <c r="R42" s="667" t="s">
        <v>14</v>
      </c>
      <c r="S42" s="668">
        <f t="shared" si="10"/>
        <v>100</v>
      </c>
      <c r="T42" s="667" t="s">
        <v>14</v>
      </c>
      <c r="U42" s="668">
        <f t="shared" si="11"/>
        <v>100</v>
      </c>
      <c r="V42" s="667" t="s">
        <v>14</v>
      </c>
      <c r="W42" s="668">
        <f t="shared" si="12"/>
        <v>100</v>
      </c>
      <c r="X42" s="1265"/>
      <c r="Y42" s="3477"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77"/>
      <c r="Q43" s="1263">
        <f t="shared" si="14"/>
        <v>111</v>
      </c>
      <c r="R43" s="667" t="s">
        <v>14</v>
      </c>
      <c r="S43" s="668">
        <f t="shared" si="10"/>
        <v>100</v>
      </c>
      <c r="T43" s="667" t="s">
        <v>14</v>
      </c>
      <c r="U43" s="668">
        <f t="shared" si="11"/>
        <v>100</v>
      </c>
      <c r="V43" s="667" t="s">
        <v>14</v>
      </c>
      <c r="W43" s="668">
        <f t="shared" si="12"/>
        <v>100</v>
      </c>
      <c r="X43" s="1265"/>
      <c r="Y43" s="3477"/>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77"/>
      <c r="Q44" s="1263">
        <f t="shared" si="14"/>
        <v>111</v>
      </c>
      <c r="R44" s="667" t="s">
        <v>14</v>
      </c>
      <c r="S44" s="668">
        <f t="shared" si="10"/>
        <v>100</v>
      </c>
      <c r="T44" s="667" t="s">
        <v>14</v>
      </c>
      <c r="U44" s="668">
        <f t="shared" si="11"/>
        <v>100</v>
      </c>
      <c r="V44" s="667" t="s">
        <v>14</v>
      </c>
      <c r="W44" s="668">
        <f t="shared" si="12"/>
        <v>100</v>
      </c>
      <c r="X44" s="1265"/>
      <c r="Y44" s="3477"/>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77"/>
      <c r="Q45" s="1263">
        <f t="shared" si="14"/>
        <v>111</v>
      </c>
      <c r="R45" s="669" t="s">
        <v>14</v>
      </c>
      <c r="S45" s="670">
        <f t="shared" si="10"/>
        <v>100</v>
      </c>
      <c r="T45" s="669" t="s">
        <v>14</v>
      </c>
      <c r="U45" s="670">
        <f t="shared" si="11"/>
        <v>100</v>
      </c>
      <c r="V45" s="669" t="s">
        <v>14</v>
      </c>
      <c r="W45" s="670">
        <f t="shared" si="12"/>
        <v>100</v>
      </c>
      <c r="X45" s="671"/>
      <c r="Y45" s="3477"/>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2"/>
      <c r="M46" s="2485"/>
      <c r="N46" s="2485"/>
      <c r="O46" s="2485"/>
      <c r="P46" s="3479" t="str">
        <f>A46</f>
        <v>成交单价</v>
      </c>
      <c r="Q46" s="3479"/>
      <c r="R46" s="3467">
        <f>E46</f>
        <v>0</v>
      </c>
      <c r="S46" s="3467"/>
      <c r="T46" s="3467">
        <f>G46</f>
        <v>0</v>
      </c>
      <c r="U46" s="3467"/>
      <c r="V46" s="3467">
        <f>I46</f>
        <v>0</v>
      </c>
      <c r="W46" s="3467"/>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2"/>
      <c r="M47" s="2485"/>
      <c r="N47" s="2485"/>
      <c r="O47" s="2485"/>
      <c r="P47" s="3479" t="str">
        <f>A47</f>
        <v>比较价值（元/平方米）</v>
      </c>
      <c r="Q47" s="3479"/>
      <c r="R47" s="3521" t="e">
        <f>ROUND(PRODUCT(R46,AA7:AA45),0)</f>
        <v>#DIV/0!</v>
      </c>
      <c r="S47" s="3521"/>
      <c r="T47" s="3521" t="e">
        <f>ROUND(PRODUCT(T46,AB7:AB45),0)</f>
        <v>#DIV/0!</v>
      </c>
      <c r="U47" s="3521"/>
      <c r="V47" s="3521" t="e">
        <f>ROUND(PRODUCT(V46,AC7:AC45),0)</f>
        <v>#DIV/0!</v>
      </c>
      <c r="W47" s="3521"/>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2"/>
      <c r="M48" s="2485"/>
      <c r="N48" s="2485"/>
      <c r="O48" s="2485"/>
      <c r="P48" s="3516" t="str">
        <f>A48</f>
        <v>估价对象XX用房的比较价值（楼面单价，元/平方米）</v>
      </c>
      <c r="Q48" s="3517"/>
      <c r="R48" s="3522" t="e">
        <f>ROUND(IF(D47="简单平均",AVERAGE(R47:W47),R47*F47+T47*H47+V47*J47),0)</f>
        <v>#DIV/0!</v>
      </c>
      <c r="S48" s="3522"/>
      <c r="T48" s="3522"/>
      <c r="U48" s="3522"/>
      <c r="V48" s="3522"/>
      <c r="W48" s="3522"/>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454" t="s">
        <v>1887</v>
      </c>
      <c r="H55" s="3523"/>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47667.369999999981</v>
      </c>
      <c r="F56" s="833" t="e">
        <f t="shared" ref="F56:F64" si="15">ROUND(B56*E56/10000,0)</f>
        <v>#DIV/0!</v>
      </c>
      <c r="G56" s="3450"/>
      <c r="H56" s="3479"/>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SUMIF(修正!A59:A70,H57,修正!B59:B70)</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SUMIF(修正!A59:A70,H58,修正!C59:C70)</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SUMIF(修正!A59:A70,H59,修正!D59:D70)</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8191.59</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55858.959999999977</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2025-9-1</v>
      </c>
      <c r="D67" s="656">
        <f>EDATE(C67,-3)</f>
        <v>45809</v>
      </c>
      <c r="E67" s="656">
        <f>EDATE(D67,-3)</f>
        <v>45717</v>
      </c>
      <c r="F67" s="656">
        <f t="shared" ref="F67:O67" si="18">EDATE(E67,-3)</f>
        <v>45627</v>
      </c>
      <c r="G67" s="656">
        <f t="shared" si="18"/>
        <v>45536</v>
      </c>
      <c r="H67" s="656">
        <f t="shared" si="18"/>
        <v>45444</v>
      </c>
      <c r="I67" s="656">
        <f t="shared" si="18"/>
        <v>45352</v>
      </c>
      <c r="J67" s="656">
        <f t="shared" si="18"/>
        <v>45261</v>
      </c>
      <c r="K67" s="656">
        <f t="shared" si="18"/>
        <v>45170</v>
      </c>
      <c r="L67" s="656">
        <f t="shared" si="18"/>
        <v>45078</v>
      </c>
      <c r="M67" s="656">
        <f t="shared" si="18"/>
        <v>44986</v>
      </c>
      <c r="N67" s="656">
        <f t="shared" si="18"/>
        <v>44896</v>
      </c>
      <c r="O67" s="656">
        <f t="shared" si="18"/>
        <v>44805</v>
      </c>
      <c r="P67" s="2485"/>
      <c r="Q67" s="2485"/>
      <c r="R67" s="2485"/>
      <c r="S67" s="2485"/>
      <c r="T67" s="2485"/>
      <c r="U67" s="2485"/>
      <c r="V67" s="2485"/>
      <c r="W67" s="2485"/>
      <c r="X67" s="2485"/>
      <c r="Y67" s="2485"/>
      <c r="Z67" s="2485"/>
      <c r="AA67" s="2485"/>
      <c r="AB67" s="2485"/>
      <c r="AC67" s="2485"/>
    </row>
    <row r="68" spans="1:29" ht="21.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4.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5"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8.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4.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4.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4.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8.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4.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4.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4.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4.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4.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c r="A4" s="345" t="s">
        <v>1769</v>
      </c>
      <c r="B4" s="346"/>
      <c r="C4" s="3454" t="s">
        <v>1770</v>
      </c>
      <c r="D4" s="3455"/>
      <c r="E4" s="3456" t="s">
        <v>1771</v>
      </c>
      <c r="F4" s="3457"/>
      <c r="G4" s="3454" t="s">
        <v>1772</v>
      </c>
      <c r="H4" s="3455"/>
      <c r="I4" s="3454" t="s">
        <v>1773</v>
      </c>
      <c r="J4" s="3455"/>
      <c r="K4" s="537" t="s">
        <v>1774</v>
      </c>
      <c r="L4" s="2484"/>
      <c r="M4" s="2485"/>
      <c r="N4" s="2485"/>
      <c r="O4" s="2485"/>
      <c r="P4" s="3512" t="s">
        <v>1775</v>
      </c>
      <c r="Q4" s="3513"/>
      <c r="R4" s="3510" t="s">
        <v>1771</v>
      </c>
      <c r="S4" s="3511"/>
      <c r="T4" s="3510" t="s">
        <v>1772</v>
      </c>
      <c r="U4" s="3511"/>
      <c r="V4" s="3467" t="s">
        <v>1773</v>
      </c>
      <c r="W4" s="3467"/>
      <c r="X4" s="1265"/>
      <c r="Y4" s="3510" t="s">
        <v>1775</v>
      </c>
      <c r="Z4" s="3511"/>
      <c r="AA4" s="3509" t="s">
        <v>1771</v>
      </c>
      <c r="AB4" s="3432" t="s">
        <v>1772</v>
      </c>
      <c r="AC4" s="3509" t="s">
        <v>1773</v>
      </c>
    </row>
    <row r="5" spans="1:29">
      <c r="A5" s="348"/>
      <c r="B5" s="349"/>
      <c r="C5" s="3446" t="s">
        <v>1673</v>
      </c>
      <c r="D5" s="3443"/>
      <c r="E5" s="3440" t="s">
        <v>1674</v>
      </c>
      <c r="F5" s="3441"/>
      <c r="G5" s="3446" t="s">
        <v>1675</v>
      </c>
      <c r="H5" s="3443"/>
      <c r="I5" s="3446" t="s">
        <v>1676</v>
      </c>
      <c r="J5" s="3443"/>
      <c r="K5" s="537"/>
      <c r="L5" s="2484"/>
      <c r="M5" s="2485"/>
      <c r="N5" s="2485"/>
      <c r="O5" s="2485"/>
      <c r="P5" s="3514"/>
      <c r="Q5" s="3461"/>
      <c r="R5" s="3438"/>
      <c r="S5" s="3439"/>
      <c r="T5" s="3438"/>
      <c r="U5" s="3439"/>
      <c r="V5" s="3467"/>
      <c r="W5" s="3467"/>
      <c r="X5" s="1265"/>
      <c r="Y5" s="3438"/>
      <c r="Z5" s="3439"/>
      <c r="AA5" s="3432"/>
      <c r="AB5" s="3432"/>
      <c r="AC5" s="3432"/>
    </row>
    <row r="6" spans="1:29" ht="15" thickBot="1">
      <c r="A6" s="350"/>
      <c r="B6" s="351"/>
      <c r="C6" s="3524" t="s">
        <v>1919</v>
      </c>
      <c r="D6" s="3525"/>
      <c r="E6" s="3526" t="s">
        <v>1919</v>
      </c>
      <c r="F6" s="3527"/>
      <c r="G6" s="3524" t="s">
        <v>1919</v>
      </c>
      <c r="H6" s="3525"/>
      <c r="I6" s="3524" t="s">
        <v>1919</v>
      </c>
      <c r="J6" s="3525"/>
      <c r="K6" s="537" t="s">
        <v>1678</v>
      </c>
      <c r="L6" s="2484"/>
      <c r="M6" s="2485"/>
      <c r="N6" s="2485"/>
      <c r="O6" s="2485"/>
      <c r="P6" s="3515"/>
      <c r="Q6" s="3463"/>
      <c r="R6" s="3438"/>
      <c r="S6" s="3439"/>
      <c r="T6" s="3464"/>
      <c r="U6" s="3465"/>
      <c r="V6" s="3467"/>
      <c r="W6" s="3467"/>
      <c r="X6" s="1265"/>
      <c r="Y6" s="3464"/>
      <c r="Z6" s="3465"/>
      <c r="AA6" s="3433"/>
      <c r="AB6" s="3433"/>
      <c r="AC6" s="3433"/>
    </row>
    <row r="7" spans="1:29" s="102" customFormat="1" ht="14.5" thickBot="1">
      <c r="A7" s="352" t="s">
        <v>1679</v>
      </c>
      <c r="B7" s="353"/>
      <c r="C7" s="354">
        <f>'数据-取费表'!B2</f>
        <v>45901</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34" t="s">
        <v>1680</v>
      </c>
      <c r="Q7" s="3469"/>
      <c r="R7" s="664" t="s">
        <v>14</v>
      </c>
      <c r="S7" s="665">
        <f t="shared" ref="S7:S15" si="0">F7</f>
        <v>0</v>
      </c>
      <c r="T7" s="664" t="s">
        <v>14</v>
      </c>
      <c r="U7" s="665">
        <f t="shared" ref="U7:U15" si="1">H7</f>
        <v>0</v>
      </c>
      <c r="V7" s="664" t="s">
        <v>14</v>
      </c>
      <c r="W7" s="665">
        <f t="shared" ref="W7:W15" si="2">J7</f>
        <v>0</v>
      </c>
      <c r="X7" s="666"/>
      <c r="Y7" s="3434" t="s">
        <v>1680</v>
      </c>
      <c r="Z7" s="3435"/>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34" t="s">
        <v>1683</v>
      </c>
      <c r="Q8" s="3435"/>
      <c r="R8" s="664" t="s">
        <v>14</v>
      </c>
      <c r="S8" s="665">
        <f t="shared" si="0"/>
        <v>0</v>
      </c>
      <c r="T8" s="664" t="s">
        <v>14</v>
      </c>
      <c r="U8" s="665">
        <f t="shared" si="1"/>
        <v>0</v>
      </c>
      <c r="V8" s="664" t="s">
        <v>14</v>
      </c>
      <c r="W8" s="665">
        <f t="shared" si="2"/>
        <v>0</v>
      </c>
      <c r="X8" s="666"/>
      <c r="Y8" s="3434" t="s">
        <v>1683</v>
      </c>
      <c r="Z8" s="3435"/>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79" t="s">
        <v>1686</v>
      </c>
      <c r="Q9" s="530" t="str">
        <f t="shared" ref="Q9:Q15" si="6">B9</f>
        <v>用途</v>
      </c>
      <c r="R9" s="664" t="s">
        <v>14</v>
      </c>
      <c r="S9" s="665">
        <f t="shared" si="0"/>
        <v>100</v>
      </c>
      <c r="T9" s="664" t="s">
        <v>14</v>
      </c>
      <c r="U9" s="665">
        <f t="shared" si="1"/>
        <v>100</v>
      </c>
      <c r="V9" s="664" t="s">
        <v>14</v>
      </c>
      <c r="W9" s="665">
        <f t="shared" si="2"/>
        <v>100</v>
      </c>
      <c r="X9" s="666"/>
      <c r="Y9" s="3404"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7"/>
      <c r="M10" s="2488"/>
      <c r="N10" s="2488"/>
      <c r="O10" s="2539"/>
      <c r="P10" s="3479"/>
      <c r="Q10" s="530" t="str">
        <f t="shared" si="6"/>
        <v>土地使用年限（年）</v>
      </c>
      <c r="R10" s="664" t="s">
        <v>14</v>
      </c>
      <c r="S10" s="665" t="e">
        <f t="shared" si="0"/>
        <v>#DIV/0!</v>
      </c>
      <c r="T10" s="664" t="s">
        <v>14</v>
      </c>
      <c r="U10" s="665" t="e">
        <f t="shared" si="1"/>
        <v>#DIV/0!</v>
      </c>
      <c r="V10" s="664" t="s">
        <v>14</v>
      </c>
      <c r="W10" s="665" t="e">
        <f t="shared" si="2"/>
        <v>#DIV/0!</v>
      </c>
      <c r="X10" s="666"/>
      <c r="Y10" s="3404"/>
      <c r="Z10" s="50" t="str">
        <f t="shared" si="7"/>
        <v>土地使用年限（年）</v>
      </c>
      <c r="AA10" s="50" t="e">
        <f t="shared" si="3"/>
        <v>#DIV/0!</v>
      </c>
      <c r="AB10" s="50" t="e">
        <f t="shared" si="4"/>
        <v>#DIV/0!</v>
      </c>
      <c r="AC10" s="50" t="e">
        <f t="shared" si="5"/>
        <v>#DIV/0!</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79"/>
      <c r="Q11" s="530" t="str">
        <f t="shared" si="6"/>
        <v>容积率</v>
      </c>
      <c r="R11" s="664" t="s">
        <v>14</v>
      </c>
      <c r="S11" s="665" t="e">
        <f t="shared" si="0"/>
        <v>#N/A</v>
      </c>
      <c r="T11" s="664" t="s">
        <v>14</v>
      </c>
      <c r="U11" s="665" t="e">
        <f t="shared" si="1"/>
        <v>#N/A</v>
      </c>
      <c r="V11" s="664" t="s">
        <v>14</v>
      </c>
      <c r="W11" s="665" t="e">
        <f t="shared" si="2"/>
        <v>#N/A</v>
      </c>
      <c r="X11" s="666"/>
      <c r="Y11" s="3404"/>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79"/>
      <c r="Q12" s="530">
        <f t="shared" si="6"/>
        <v>111</v>
      </c>
      <c r="R12" s="664" t="s">
        <v>14</v>
      </c>
      <c r="S12" s="665">
        <f t="shared" si="0"/>
        <v>100</v>
      </c>
      <c r="T12" s="664" t="s">
        <v>14</v>
      </c>
      <c r="U12" s="665">
        <f t="shared" si="1"/>
        <v>100</v>
      </c>
      <c r="V12" s="664" t="s">
        <v>14</v>
      </c>
      <c r="W12" s="665">
        <f t="shared" si="2"/>
        <v>100</v>
      </c>
      <c r="X12" s="666"/>
      <c r="Y12" s="3404"/>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79"/>
      <c r="Q13" s="530">
        <f t="shared" si="6"/>
        <v>111</v>
      </c>
      <c r="R13" s="664" t="s">
        <v>14</v>
      </c>
      <c r="S13" s="665">
        <f t="shared" si="0"/>
        <v>100</v>
      </c>
      <c r="T13" s="664" t="s">
        <v>14</v>
      </c>
      <c r="U13" s="665">
        <f t="shared" si="1"/>
        <v>100</v>
      </c>
      <c r="V13" s="664" t="s">
        <v>14</v>
      </c>
      <c r="W13" s="665">
        <f t="shared" si="2"/>
        <v>100</v>
      </c>
      <c r="X13" s="666"/>
      <c r="Y13" s="3404"/>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79"/>
      <c r="Q14" s="530">
        <f t="shared" si="6"/>
        <v>111</v>
      </c>
      <c r="R14" s="664" t="s">
        <v>14</v>
      </c>
      <c r="S14" s="665">
        <f t="shared" si="0"/>
        <v>100</v>
      </c>
      <c r="T14" s="664" t="s">
        <v>14</v>
      </c>
      <c r="U14" s="665">
        <f t="shared" si="1"/>
        <v>100</v>
      </c>
      <c r="V14" s="664" t="s">
        <v>14</v>
      </c>
      <c r="W14" s="665">
        <f t="shared" si="2"/>
        <v>100</v>
      </c>
      <c r="X14" s="666"/>
      <c r="Y14" s="3404"/>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72" t="s">
        <v>1691</v>
      </c>
      <c r="Q15" s="1263" t="str">
        <f t="shared" si="6"/>
        <v>产业集聚程度</v>
      </c>
      <c r="R15" s="667" t="s">
        <v>14</v>
      </c>
      <c r="S15" s="668">
        <f t="shared" si="0"/>
        <v>100</v>
      </c>
      <c r="T15" s="667" t="s">
        <v>14</v>
      </c>
      <c r="U15" s="668">
        <f t="shared" si="1"/>
        <v>100</v>
      </c>
      <c r="V15" s="667" t="s">
        <v>14</v>
      </c>
      <c r="W15" s="668">
        <f t="shared" si="2"/>
        <v>100</v>
      </c>
      <c r="X15" s="1265"/>
      <c r="Y15" s="3472"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0"/>
      <c r="M16" s="2485"/>
      <c r="N16" s="2485"/>
      <c r="O16" s="2540"/>
      <c r="P16" s="3473"/>
      <c r="Q16" s="1263"/>
      <c r="R16" s="667"/>
      <c r="S16" s="668"/>
      <c r="T16" s="667"/>
      <c r="U16" s="668"/>
      <c r="V16" s="667"/>
      <c r="W16" s="668"/>
      <c r="X16" s="1265"/>
      <c r="Y16" s="3473"/>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73"/>
      <c r="Q17" s="1263" t="str">
        <f>B17</f>
        <v>交通便捷度</v>
      </c>
      <c r="R17" s="667" t="s">
        <v>14</v>
      </c>
      <c r="S17" s="668">
        <f>F17</f>
        <v>100</v>
      </c>
      <c r="T17" s="667" t="s">
        <v>14</v>
      </c>
      <c r="U17" s="668">
        <f>H17</f>
        <v>100</v>
      </c>
      <c r="V17" s="667" t="s">
        <v>14</v>
      </c>
      <c r="W17" s="668">
        <f>J17</f>
        <v>100</v>
      </c>
      <c r="X17" s="1265"/>
      <c r="Y17" s="3473"/>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0"/>
      <c r="M18" s="2485"/>
      <c r="N18" s="2485"/>
      <c r="O18" s="2540"/>
      <c r="P18" s="3473"/>
      <c r="Q18" s="1263"/>
      <c r="R18" s="667"/>
      <c r="S18" s="668"/>
      <c r="T18" s="667"/>
      <c r="U18" s="668"/>
      <c r="V18" s="667"/>
      <c r="W18" s="668"/>
      <c r="X18" s="1265"/>
      <c r="Y18" s="3473"/>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73"/>
      <c r="Q19" s="1263" t="str">
        <f t="shared" ref="Q19:Q33" si="8">B19</f>
        <v>区域土地利用方向</v>
      </c>
      <c r="R19" s="667" t="s">
        <v>14</v>
      </c>
      <c r="S19" s="668">
        <f>F19</f>
        <v>100</v>
      </c>
      <c r="T19" s="667" t="s">
        <v>14</v>
      </c>
      <c r="U19" s="668">
        <f>H19</f>
        <v>100</v>
      </c>
      <c r="V19" s="667" t="s">
        <v>14</v>
      </c>
      <c r="W19" s="668">
        <f>J19</f>
        <v>100</v>
      </c>
      <c r="X19" s="1265"/>
      <c r="Y19" s="3473"/>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0"/>
      <c r="M20" s="2485"/>
      <c r="N20" s="2485"/>
      <c r="O20" s="2540"/>
      <c r="P20" s="3473"/>
      <c r="Q20" s="1263"/>
      <c r="R20" s="667"/>
      <c r="S20" s="668"/>
      <c r="T20" s="667"/>
      <c r="U20" s="668"/>
      <c r="V20" s="667"/>
      <c r="W20" s="668"/>
      <c r="X20" s="1265"/>
      <c r="Y20" s="3473"/>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73"/>
      <c r="Q21" s="1263" t="str">
        <f t="shared" si="8"/>
        <v>环境状况</v>
      </c>
      <c r="R21" s="667" t="s">
        <v>14</v>
      </c>
      <c r="S21" s="668">
        <f>F21</f>
        <v>100</v>
      </c>
      <c r="T21" s="667" t="s">
        <v>14</v>
      </c>
      <c r="U21" s="668">
        <f>H21</f>
        <v>100</v>
      </c>
      <c r="V21" s="667" t="s">
        <v>14</v>
      </c>
      <c r="W21" s="668">
        <f>J21</f>
        <v>100</v>
      </c>
      <c r="X21" s="1265"/>
      <c r="Y21" s="3473"/>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0"/>
      <c r="M22" s="2485"/>
      <c r="N22" s="2485"/>
      <c r="O22" s="2540"/>
      <c r="P22" s="3473"/>
      <c r="Q22" s="1263"/>
      <c r="R22" s="667"/>
      <c r="S22" s="668"/>
      <c r="T22" s="667"/>
      <c r="U22" s="668"/>
      <c r="V22" s="667"/>
      <c r="W22" s="668"/>
      <c r="X22" s="1265"/>
      <c r="Y22" s="3473"/>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73"/>
      <c r="Q23" s="530" t="str">
        <f t="shared" si="8"/>
        <v>公共配套设施</v>
      </c>
      <c r="R23" s="664" t="s">
        <v>14</v>
      </c>
      <c r="S23" s="665">
        <f>F23</f>
        <v>100</v>
      </c>
      <c r="T23" s="664" t="s">
        <v>14</v>
      </c>
      <c r="U23" s="665">
        <f>H23</f>
        <v>100</v>
      </c>
      <c r="V23" s="664" t="s">
        <v>14</v>
      </c>
      <c r="W23" s="665">
        <f>J23</f>
        <v>100</v>
      </c>
      <c r="X23" s="666"/>
      <c r="Y23" s="3473"/>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6"/>
      <c r="M24" s="2438"/>
      <c r="N24" s="2438"/>
      <c r="O24" s="2538"/>
      <c r="P24" s="3473"/>
      <c r="Q24" s="530"/>
      <c r="R24" s="664"/>
      <c r="S24" s="665"/>
      <c r="T24" s="664"/>
      <c r="U24" s="665"/>
      <c r="V24" s="664"/>
      <c r="W24" s="665"/>
      <c r="X24" s="666"/>
      <c r="Y24" s="3473"/>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73"/>
      <c r="Q25" s="530" t="str">
        <f t="shared" ref="Q25" si="9">B25</f>
        <v>基础设施水平</v>
      </c>
      <c r="R25" s="664" t="s">
        <v>14</v>
      </c>
      <c r="S25" s="665">
        <f>F25</f>
        <v>100</v>
      </c>
      <c r="T25" s="664" t="s">
        <v>14</v>
      </c>
      <c r="U25" s="665">
        <f>H25</f>
        <v>100</v>
      </c>
      <c r="V25" s="664" t="s">
        <v>14</v>
      </c>
      <c r="W25" s="665">
        <f>J25</f>
        <v>100</v>
      </c>
      <c r="X25" s="666"/>
      <c r="Y25" s="3473"/>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6"/>
      <c r="M26" s="2438"/>
      <c r="N26" s="2438"/>
      <c r="O26" s="2538"/>
      <c r="P26" s="3473"/>
      <c r="Q26" s="530"/>
      <c r="R26" s="664"/>
      <c r="S26" s="665"/>
      <c r="T26" s="664"/>
      <c r="U26" s="665"/>
      <c r="V26" s="664"/>
      <c r="W26" s="665"/>
      <c r="X26" s="666"/>
      <c r="Y26" s="3473"/>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7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73"/>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73"/>
      <c r="Q28" s="1263" t="str">
        <f t="shared" si="8"/>
        <v>毗邻道路的类型与等级</v>
      </c>
      <c r="R28" s="667" t="s">
        <v>14</v>
      </c>
      <c r="S28" s="668">
        <f t="shared" si="10"/>
        <v>100</v>
      </c>
      <c r="T28" s="667" t="s">
        <v>14</v>
      </c>
      <c r="U28" s="668">
        <f t="shared" si="11"/>
        <v>100</v>
      </c>
      <c r="V28" s="667" t="s">
        <v>14</v>
      </c>
      <c r="W28" s="668">
        <f t="shared" si="12"/>
        <v>100</v>
      </c>
      <c r="X28" s="1265"/>
      <c r="Y28" s="3473"/>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0"/>
      <c r="M29" s="2485"/>
      <c r="N29" s="2485"/>
      <c r="O29" s="2540"/>
      <c r="P29" s="3473"/>
      <c r="Q29" s="1263"/>
      <c r="R29" s="667"/>
      <c r="S29" s="668"/>
      <c r="T29" s="667"/>
      <c r="U29" s="668"/>
      <c r="V29" s="667"/>
      <c r="W29" s="668"/>
      <c r="X29" s="1265"/>
      <c r="Y29" s="3473"/>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73"/>
      <c r="Q30" s="1263" t="str">
        <f t="shared" si="8"/>
        <v>土地级别</v>
      </c>
      <c r="R30" s="667" t="s">
        <v>14</v>
      </c>
      <c r="S30" s="668">
        <f t="shared" si="10"/>
        <v>100</v>
      </c>
      <c r="T30" s="667" t="s">
        <v>14</v>
      </c>
      <c r="U30" s="668">
        <f t="shared" si="11"/>
        <v>100</v>
      </c>
      <c r="V30" s="667" t="s">
        <v>14</v>
      </c>
      <c r="W30" s="668">
        <f t="shared" si="12"/>
        <v>100</v>
      </c>
      <c r="X30" s="1265"/>
      <c r="Y30" s="3473"/>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73"/>
      <c r="Q31" s="1263">
        <f t="shared" si="8"/>
        <v>111</v>
      </c>
      <c r="R31" s="667" t="s">
        <v>14</v>
      </c>
      <c r="S31" s="668">
        <f t="shared" si="10"/>
        <v>100</v>
      </c>
      <c r="T31" s="667" t="s">
        <v>14</v>
      </c>
      <c r="U31" s="668">
        <f t="shared" si="11"/>
        <v>100</v>
      </c>
      <c r="V31" s="667" t="s">
        <v>14</v>
      </c>
      <c r="W31" s="668">
        <f t="shared" si="12"/>
        <v>100</v>
      </c>
      <c r="X31" s="1265"/>
      <c r="Y31" s="3473"/>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519" t="s">
        <v>1696</v>
      </c>
      <c r="Q32" s="1263">
        <f t="shared" si="8"/>
        <v>111</v>
      </c>
      <c r="R32" s="667" t="s">
        <v>14</v>
      </c>
      <c r="S32" s="668">
        <f t="shared" si="10"/>
        <v>100</v>
      </c>
      <c r="T32" s="667" t="s">
        <v>14</v>
      </c>
      <c r="U32" s="668">
        <f t="shared" si="11"/>
        <v>100</v>
      </c>
      <c r="V32" s="667" t="s">
        <v>14</v>
      </c>
      <c r="W32" s="668">
        <f t="shared" si="12"/>
        <v>100</v>
      </c>
      <c r="X32" s="1265"/>
      <c r="Y32" s="3477"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77"/>
      <c r="Q33" s="1263">
        <f t="shared" si="8"/>
        <v>111</v>
      </c>
      <c r="R33" s="669" t="s">
        <v>14</v>
      </c>
      <c r="S33" s="670">
        <f t="shared" si="10"/>
        <v>100</v>
      </c>
      <c r="T33" s="669" t="s">
        <v>14</v>
      </c>
      <c r="U33" s="670">
        <f t="shared" si="11"/>
        <v>100</v>
      </c>
      <c r="V33" s="669" t="s">
        <v>14</v>
      </c>
      <c r="W33" s="670">
        <f t="shared" si="12"/>
        <v>100</v>
      </c>
      <c r="X33" s="671"/>
      <c r="Y33" s="3477"/>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77"/>
      <c r="Q34" s="1263" t="str">
        <f>B34</f>
        <v>宗地面积</v>
      </c>
      <c r="R34" s="667" t="s">
        <v>14</v>
      </c>
      <c r="S34" s="668" t="e">
        <f t="shared" si="10"/>
        <v>#N/A</v>
      </c>
      <c r="T34" s="667" t="s">
        <v>14</v>
      </c>
      <c r="U34" s="668" t="e">
        <f t="shared" si="11"/>
        <v>#N/A</v>
      </c>
      <c r="V34" s="667" t="s">
        <v>14</v>
      </c>
      <c r="W34" s="668" t="e">
        <f t="shared" si="12"/>
        <v>#N/A</v>
      </c>
      <c r="X34" s="1265"/>
      <c r="Y34" s="3477"/>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77"/>
      <c r="Q35" s="1263" t="str">
        <f t="shared" ref="Q35:Q40" si="14">B35</f>
        <v>宗地形状</v>
      </c>
      <c r="R35" s="667" t="s">
        <v>14</v>
      </c>
      <c r="S35" s="668">
        <f t="shared" si="10"/>
        <v>100</v>
      </c>
      <c r="T35" s="667" t="s">
        <v>14</v>
      </c>
      <c r="U35" s="668">
        <f t="shared" si="11"/>
        <v>100</v>
      </c>
      <c r="V35" s="667" t="s">
        <v>14</v>
      </c>
      <c r="W35" s="668">
        <f t="shared" si="12"/>
        <v>100</v>
      </c>
      <c r="X35" s="1265"/>
      <c r="Y35" s="3477"/>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77"/>
      <c r="Q36" s="1263" t="str">
        <f t="shared" si="14"/>
        <v>宗地开发程度</v>
      </c>
      <c r="R36" s="664" t="s">
        <v>14</v>
      </c>
      <c r="S36" s="665">
        <f t="shared" si="10"/>
        <v>100</v>
      </c>
      <c r="T36" s="664" t="s">
        <v>14</v>
      </c>
      <c r="U36" s="665">
        <f t="shared" si="11"/>
        <v>100</v>
      </c>
      <c r="V36" s="664" t="s">
        <v>14</v>
      </c>
      <c r="W36" s="665">
        <f t="shared" si="12"/>
        <v>100</v>
      </c>
      <c r="X36" s="666"/>
      <c r="Y36" s="3477"/>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77" t="s">
        <v>1696</v>
      </c>
      <c r="Q37" s="1263" t="str">
        <f t="shared" si="14"/>
        <v>工程地质条件</v>
      </c>
      <c r="R37" s="667" t="s">
        <v>14</v>
      </c>
      <c r="S37" s="668">
        <f t="shared" si="10"/>
        <v>100</v>
      </c>
      <c r="T37" s="667" t="s">
        <v>14</v>
      </c>
      <c r="U37" s="668">
        <f t="shared" si="11"/>
        <v>100</v>
      </c>
      <c r="V37" s="667" t="s">
        <v>14</v>
      </c>
      <c r="W37" s="668">
        <f t="shared" si="12"/>
        <v>100</v>
      </c>
      <c r="X37" s="1265"/>
      <c r="Y37" s="3477"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77"/>
      <c r="Q38" s="1263">
        <f t="shared" si="14"/>
        <v>111</v>
      </c>
      <c r="R38" s="667" t="s">
        <v>14</v>
      </c>
      <c r="S38" s="668">
        <f t="shared" si="10"/>
        <v>100</v>
      </c>
      <c r="T38" s="667" t="s">
        <v>14</v>
      </c>
      <c r="U38" s="668">
        <f t="shared" si="11"/>
        <v>100</v>
      </c>
      <c r="V38" s="667" t="s">
        <v>14</v>
      </c>
      <c r="W38" s="668">
        <f t="shared" si="12"/>
        <v>100</v>
      </c>
      <c r="X38" s="1265"/>
      <c r="Y38" s="3477"/>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77"/>
      <c r="Q39" s="1263">
        <f t="shared" si="14"/>
        <v>111</v>
      </c>
      <c r="R39" s="667" t="s">
        <v>14</v>
      </c>
      <c r="S39" s="668">
        <f t="shared" si="10"/>
        <v>100</v>
      </c>
      <c r="T39" s="667" t="s">
        <v>14</v>
      </c>
      <c r="U39" s="668">
        <f t="shared" si="11"/>
        <v>100</v>
      </c>
      <c r="V39" s="667" t="s">
        <v>14</v>
      </c>
      <c r="W39" s="668">
        <f t="shared" si="12"/>
        <v>100</v>
      </c>
      <c r="X39" s="1265"/>
      <c r="Y39" s="3477"/>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77"/>
      <c r="Q40" s="1263">
        <f t="shared" si="14"/>
        <v>111</v>
      </c>
      <c r="R40" s="669" t="s">
        <v>14</v>
      </c>
      <c r="S40" s="670">
        <f t="shared" si="10"/>
        <v>100</v>
      </c>
      <c r="T40" s="669" t="s">
        <v>14</v>
      </c>
      <c r="U40" s="670">
        <f t="shared" si="11"/>
        <v>100</v>
      </c>
      <c r="V40" s="669" t="s">
        <v>14</v>
      </c>
      <c r="W40" s="670">
        <f t="shared" si="12"/>
        <v>100</v>
      </c>
      <c r="X40" s="671"/>
      <c r="Y40" s="3477"/>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2"/>
      <c r="M41" s="2485"/>
      <c r="N41" s="2485"/>
      <c r="O41" s="2485"/>
      <c r="P41" s="3479" t="str">
        <f>A41</f>
        <v>成交单价</v>
      </c>
      <c r="Q41" s="3479"/>
      <c r="R41" s="3467">
        <f>E41</f>
        <v>0</v>
      </c>
      <c r="S41" s="3467"/>
      <c r="T41" s="3467">
        <f>G41</f>
        <v>0</v>
      </c>
      <c r="U41" s="3467"/>
      <c r="V41" s="3467">
        <f>I41</f>
        <v>0</v>
      </c>
      <c r="W41" s="3467"/>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2"/>
      <c r="M42" s="2485"/>
      <c r="N42" s="2485"/>
      <c r="O42" s="2485"/>
      <c r="P42" s="3479" t="str">
        <f>A42</f>
        <v>比较价值（元/平方米）</v>
      </c>
      <c r="Q42" s="3479"/>
      <c r="R42" s="3521" t="e">
        <f>ROUND(PRODUCT(R41,AA7:AA40),0)</f>
        <v>#DIV/0!</v>
      </c>
      <c r="S42" s="3521"/>
      <c r="T42" s="3521" t="e">
        <f>ROUND(PRODUCT(T41,AB7:AB40),0)</f>
        <v>#DIV/0!</v>
      </c>
      <c r="U42" s="3521"/>
      <c r="V42" s="3521" t="e">
        <f>ROUND(PRODUCT(V41,AC7:AC40),0)</f>
        <v>#DIV/0!</v>
      </c>
      <c r="W42" s="3521"/>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2"/>
      <c r="M43" s="2485"/>
      <c r="N43" s="2485"/>
      <c r="O43" s="2485"/>
      <c r="P43" s="3516" t="str">
        <f>A43</f>
        <v>估价对象XX用房的比较价值（楼面单价，元/平方米）</v>
      </c>
      <c r="Q43" s="3517"/>
      <c r="R43" s="3522" t="e">
        <f>ROUND(IF(D42="简单平均",AVERAGE(R42:W42),R42*F42+T42*H42+V42*J42),0)</f>
        <v>#DIV/0!</v>
      </c>
      <c r="S43" s="3522"/>
      <c r="T43" s="3522"/>
      <c r="U43" s="3522"/>
      <c r="V43" s="3522"/>
      <c r="W43" s="3522"/>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
      <c r="A50" s="604" t="s">
        <v>1881</v>
      </c>
      <c r="B50" s="605" t="s">
        <v>1882</v>
      </c>
      <c r="C50" s="1831" t="s">
        <v>1883</v>
      </c>
      <c r="D50" s="1832" t="s">
        <v>1884</v>
      </c>
      <c r="E50" s="606" t="s">
        <v>1885</v>
      </c>
      <c r="F50" s="607" t="s">
        <v>1886</v>
      </c>
      <c r="G50" s="3454" t="s">
        <v>1887</v>
      </c>
      <c r="H50" s="3523"/>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47667.369999999981</v>
      </c>
      <c r="F51" s="611" t="e">
        <f t="shared" ref="F51:F60" si="15">ROUND(B51*E51/10000,0)</f>
        <v>#DIV/0!</v>
      </c>
      <c r="G51" s="3450"/>
      <c r="H51" s="3479"/>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SUMIF(修正!A59:A70,H52,修正!B59:B70)</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SUMIF(修正!A59:A70,H53,修正!C59:C70)</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SUMIF(修正!A59:A70,H54,修正!D59:D70)</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8191.59</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2025-9-1</v>
      </c>
      <c r="D63" s="656">
        <f>EDATE(C63,-3)</f>
        <v>45809</v>
      </c>
      <c r="E63" s="656">
        <f>EDATE(D63,-3)</f>
        <v>45717</v>
      </c>
      <c r="F63" s="656">
        <f t="shared" ref="F63:O63" si="18">EDATE(E63,-3)</f>
        <v>45627</v>
      </c>
      <c r="G63" s="656">
        <f t="shared" si="18"/>
        <v>45536</v>
      </c>
      <c r="H63" s="656">
        <f t="shared" si="18"/>
        <v>45444</v>
      </c>
      <c r="I63" s="656">
        <f t="shared" si="18"/>
        <v>45352</v>
      </c>
      <c r="J63" s="656">
        <f t="shared" si="18"/>
        <v>45261</v>
      </c>
      <c r="K63" s="656">
        <f t="shared" si="18"/>
        <v>45170</v>
      </c>
      <c r="L63" s="656">
        <f t="shared" si="18"/>
        <v>45078</v>
      </c>
      <c r="M63" s="656">
        <f t="shared" si="18"/>
        <v>44986</v>
      </c>
      <c r="N63" s="656">
        <f t="shared" si="18"/>
        <v>44896</v>
      </c>
      <c r="O63" s="656">
        <f t="shared" si="18"/>
        <v>44805</v>
      </c>
      <c r="P63" s="2485"/>
      <c r="Q63" s="2485"/>
      <c r="R63" s="2485"/>
      <c r="S63" s="2485"/>
      <c r="T63" s="2485"/>
      <c r="U63" s="2485"/>
      <c r="V63" s="2485"/>
      <c r="W63" s="2485"/>
      <c r="X63" s="2485"/>
      <c r="Y63" s="2485"/>
      <c r="Z63" s="2485"/>
      <c r="AA63" s="2485"/>
      <c r="AB63" s="2485"/>
      <c r="AC63" s="2485"/>
      <c r="AD63" s="2485"/>
      <c r="AE63" s="2485"/>
    </row>
    <row r="64" spans="1:31" ht="21.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4.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5"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8.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4.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8.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4.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4.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4.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4.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531" t="s">
        <v>2084</v>
      </c>
      <c r="D1" s="3532"/>
      <c r="E1" s="3532"/>
      <c r="F1" s="3532"/>
      <c r="G1" s="3532"/>
      <c r="H1" s="3532"/>
      <c r="I1" s="3532"/>
      <c r="J1" s="3532"/>
      <c r="K1" s="3532"/>
      <c r="L1" s="3532"/>
      <c r="M1" s="3532"/>
      <c r="N1" s="3532"/>
      <c r="O1" s="3532"/>
      <c r="P1" s="3532"/>
      <c r="Q1" s="3532"/>
      <c r="R1" s="3532"/>
      <c r="S1" s="3533"/>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528" t="s">
        <v>27</v>
      </c>
      <c r="D22" s="3529"/>
      <c r="E22" s="3529"/>
      <c r="F22" s="3529"/>
      <c r="G22" s="3529"/>
      <c r="H22" s="3529"/>
      <c r="I22" s="3529"/>
      <c r="J22" s="3529"/>
      <c r="K22" s="3529"/>
      <c r="L22" s="3529"/>
      <c r="M22" s="3529"/>
      <c r="N22" s="3529"/>
      <c r="O22" s="3529"/>
      <c r="P22" s="3529"/>
      <c r="Q22" s="3530"/>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2"/>
      <c r="G1" s="2542"/>
      <c r="H1" s="2542"/>
      <c r="I1" s="2542"/>
      <c r="J1" s="2542"/>
      <c r="K1" s="2542"/>
      <c r="L1" s="2542"/>
      <c r="M1" s="2542"/>
      <c r="N1" s="2542"/>
      <c r="O1" s="2542"/>
      <c r="P1" s="2542"/>
    </row>
    <row r="2" spans="1:16" ht="15.5">
      <c r="A2" s="1984" t="s">
        <v>2073</v>
      </c>
      <c r="B2" s="2386" t="e">
        <f ca="1">SUMIF(B6:B13,"&lt;&gt;#ref!",B6:B13)</f>
        <v>#DIV/0!</v>
      </c>
      <c r="C2" s="1984" t="s">
        <v>2074</v>
      </c>
      <c r="D2" s="1984" t="s">
        <v>2075</v>
      </c>
      <c r="E2" s="2396">
        <f ca="1">SUMIF(E6:E13,"&lt;&gt;#ref!",E6:E13)</f>
        <v>0</v>
      </c>
      <c r="F2" s="2542"/>
      <c r="G2" s="2542"/>
      <c r="H2" s="2542"/>
      <c r="I2" s="2542"/>
      <c r="J2" s="2542"/>
      <c r="K2" s="2542"/>
      <c r="L2" s="2542"/>
      <c r="M2" s="2542"/>
      <c r="N2" s="2542"/>
      <c r="O2" s="2542"/>
      <c r="P2" s="2542"/>
    </row>
    <row r="3" spans="1:16" ht="15.5">
      <c r="A3" s="1984" t="s">
        <v>2076</v>
      </c>
      <c r="B3" s="2386" t="e">
        <f ca="1">ROUND(B2*10000/E2,0)</f>
        <v>#DIV/0!</v>
      </c>
      <c r="C3" s="1984" t="s">
        <v>2082</v>
      </c>
      <c r="D3" s="2542"/>
      <c r="E3" s="2542"/>
      <c r="F3" s="2542"/>
      <c r="G3" s="2542"/>
      <c r="H3" s="2542"/>
      <c r="I3" s="2542"/>
      <c r="J3" s="2542"/>
      <c r="K3" s="2542"/>
      <c r="L3" s="2542"/>
      <c r="M3" s="2542"/>
      <c r="N3" s="2542"/>
      <c r="O3" s="2542"/>
      <c r="P3" s="2542"/>
    </row>
    <row r="4" spans="1:16" ht="15.5">
      <c r="A4" s="2554"/>
      <c r="B4" s="2542"/>
      <c r="C4" s="2542"/>
      <c r="D4" s="2542"/>
      <c r="E4" s="2542"/>
      <c r="F4" s="2542"/>
      <c r="G4" s="2542"/>
      <c r="H4" s="2542"/>
      <c r="I4" s="2542"/>
      <c r="J4" s="2542"/>
      <c r="K4" s="2542"/>
      <c r="L4" s="2542"/>
      <c r="M4" s="2542"/>
      <c r="N4" s="2542"/>
      <c r="O4" s="2542"/>
      <c r="P4" s="2542"/>
    </row>
    <row r="5" spans="1:16" ht="30">
      <c r="A5" s="2392" t="s">
        <v>2077</v>
      </c>
      <c r="B5" s="2394" t="s">
        <v>2078</v>
      </c>
      <c r="C5" s="1985"/>
      <c r="D5" s="2542"/>
      <c r="E5" s="2395" t="s">
        <v>2079</v>
      </c>
      <c r="F5" s="2542"/>
      <c r="G5" s="2542"/>
      <c r="H5" s="2542"/>
      <c r="I5" s="2542"/>
      <c r="J5" s="2542"/>
      <c r="K5" s="2542"/>
      <c r="L5" s="2542"/>
      <c r="M5" s="2542"/>
      <c r="N5" s="2542"/>
      <c r="O5" s="2542"/>
      <c r="P5" s="2542"/>
    </row>
    <row r="6" spans="1:16" ht="15.5">
      <c r="A6" s="2393" t="s">
        <v>2080</v>
      </c>
      <c r="B6" s="2386" t="e">
        <f ca="1">SUMIF(INDIRECT("'"&amp;A6&amp;"'"&amp;"!A:A"),"总价",INDIRECT("'"&amp;A6&amp;"'"&amp;"!B:B"))</f>
        <v>#DIV/0!</v>
      </c>
      <c r="C6" s="1984" t="s">
        <v>2074</v>
      </c>
      <c r="D6" s="2542"/>
      <c r="E6" s="2396">
        <f ca="1">SUMIF(INDIRECT("'"&amp;A6&amp;"'"&amp;"!C:C"),"建筑面积",INDIRECT("'"&amp;A6&amp;"'"&amp;"!D:D"))</f>
        <v>0</v>
      </c>
      <c r="F6" s="2542"/>
      <c r="G6" s="2542"/>
      <c r="H6" s="2542"/>
      <c r="I6" s="2542"/>
      <c r="J6" s="2542"/>
      <c r="K6" s="2542"/>
      <c r="L6" s="2542"/>
      <c r="M6" s="2542"/>
      <c r="N6" s="2542"/>
      <c r="O6" s="2542"/>
      <c r="P6" s="2542"/>
    </row>
    <row r="7" spans="1:16" ht="15.5">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5">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5">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5">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5">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5">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5">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H26" sqref="H26"/>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t="e">
        <f>C30</f>
        <v>#DIV/0!</v>
      </c>
      <c r="C2" s="1846" t="s">
        <v>1935</v>
      </c>
      <c r="D2" s="162" t="s">
        <v>1936</v>
      </c>
      <c r="E2" s="3118"/>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0</v>
      </c>
      <c r="T2" s="3061" t="e">
        <f t="shared" ref="T2:T16" si="0">ROUND($C$5*$C$22*$C$23*$C$24*S2*$C$28,0)</f>
        <v>#DIV/0!</v>
      </c>
      <c r="U2" s="1130"/>
      <c r="V2" s="3061" t="e">
        <f>ROUND(T2*U2/10000,0)</f>
        <v>#DIV/0!</v>
      </c>
      <c r="W2" s="1133"/>
      <c r="X2" s="1133"/>
      <c r="Y2" s="1133"/>
      <c r="Z2" s="1133"/>
      <c r="AA2" s="1133"/>
      <c r="AB2" s="1133"/>
      <c r="AC2" s="1134"/>
      <c r="AD2" s="1135"/>
      <c r="AE2" s="1135"/>
      <c r="AF2" s="1135"/>
      <c r="AG2" s="1135"/>
      <c r="AH2" s="1135"/>
      <c r="AI2" s="1135"/>
      <c r="AJ2" s="1136"/>
    </row>
    <row r="3" spans="1:36" ht="15.5">
      <c r="A3" s="195" t="s">
        <v>1940</v>
      </c>
      <c r="B3" s="196" t="e">
        <f>ROUND(B2*10000/D1,0)</f>
        <v>#DIV/0!</v>
      </c>
      <c r="C3" s="1846" t="s">
        <v>1941</v>
      </c>
      <c r="D3" s="162" t="s">
        <v>1942</v>
      </c>
      <c r="E3" s="3116"/>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0</v>
      </c>
      <c r="T3" s="3061" t="e">
        <f t="shared" si="0"/>
        <v>#DIV/0!</v>
      </c>
      <c r="U3" s="1130"/>
      <c r="V3" s="3061" t="e">
        <f t="shared" ref="V3:V16" si="1">ROUND(T3*U3/10000,0)</f>
        <v>#DIV/0!</v>
      </c>
      <c r="W3" s="1133"/>
      <c r="X3" s="1133"/>
      <c r="Y3" s="1133"/>
      <c r="Z3" s="1133"/>
      <c r="AA3" s="1133"/>
      <c r="AB3" s="1133"/>
      <c r="AC3" s="1134"/>
      <c r="AD3" s="1135"/>
      <c r="AE3" s="1135"/>
      <c r="AF3" s="1135"/>
      <c r="AG3" s="1135"/>
      <c r="AH3" s="1135"/>
      <c r="AI3" s="1135"/>
      <c r="AJ3" s="1136"/>
    </row>
    <row r="4" spans="1:36" ht="15.5">
      <c r="A4" s="3541"/>
      <c r="B4" s="3542"/>
      <c r="C4" s="3542"/>
      <c r="D4" s="3543"/>
      <c r="E4" s="3543"/>
      <c r="F4" s="3543"/>
      <c r="G4" s="3543"/>
      <c r="H4" s="3543"/>
      <c r="I4" s="3543"/>
      <c r="J4" s="354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0</v>
      </c>
      <c r="T4" s="3061" t="e">
        <f t="shared" si="0"/>
        <v>#DIV/0!</v>
      </c>
      <c r="U4" s="1130"/>
      <c r="V4" s="3061" t="e">
        <f t="shared" si="1"/>
        <v>#DIV/0!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v>
      </c>
      <c r="T5" s="3061" t="e">
        <f t="shared" si="0"/>
        <v>#DIV/0!</v>
      </c>
      <c r="U5" s="1130"/>
      <c r="V5" s="3061" t="e">
        <f t="shared" si="1"/>
        <v>#DIV/0!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v>
      </c>
      <c r="T6" s="3061" t="e">
        <f t="shared" si="0"/>
        <v>#DIV/0!</v>
      </c>
      <c r="U6" s="1130"/>
      <c r="V6" s="3061" t="e">
        <f t="shared" si="1"/>
        <v>#DIV/0!</v>
      </c>
      <c r="W6" s="1133"/>
      <c r="X6" s="1133"/>
      <c r="Y6" s="1133"/>
      <c r="Z6" s="1133"/>
      <c r="AA6" s="1133"/>
      <c r="AB6" s="1133"/>
      <c r="AC6" s="1855"/>
      <c r="AD6" s="1856"/>
      <c r="AE6" s="1856"/>
      <c r="AF6" s="1856"/>
      <c r="AG6" s="1856"/>
      <c r="AH6" s="1856"/>
      <c r="AI6" s="1856"/>
      <c r="AJ6" s="1857"/>
    </row>
    <row r="7" spans="1:36" ht="26.5" thickBot="1">
      <c r="A7" s="3010" t="s">
        <v>3233</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t="e">
        <f t="shared" si="0"/>
        <v>#DIV/0!</v>
      </c>
      <c r="U7" s="1130"/>
      <c r="V7" s="3061" t="e">
        <f t="shared" si="1"/>
        <v>#DIV/0!</v>
      </c>
      <c r="W7" s="1267" t="s">
        <v>1955</v>
      </c>
      <c r="X7" s="1131">
        <f>G2</f>
        <v>0</v>
      </c>
      <c r="Y7" s="1131" t="s">
        <v>1956</v>
      </c>
      <c r="Z7" s="1132">
        <f>G3</f>
        <v>0</v>
      </c>
      <c r="AA7" s="1133"/>
      <c r="AB7" s="1133"/>
      <c r="AC7" s="1134"/>
      <c r="AD7" s="1135"/>
      <c r="AE7" s="1135"/>
      <c r="AF7" s="1135"/>
      <c r="AG7" s="1135"/>
      <c r="AH7" s="1135"/>
      <c r="AI7" s="1135"/>
      <c r="AJ7" s="1136"/>
    </row>
    <row r="8" spans="1:36" ht="15.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t="e">
        <f t="shared" si="0"/>
        <v>#DIV/0!</v>
      </c>
      <c r="U8" s="1130"/>
      <c r="V8" s="3061" t="e">
        <f t="shared" si="1"/>
        <v>#DIV/0!</v>
      </c>
      <c r="W8" s="3538" t="s">
        <v>1960</v>
      </c>
      <c r="X8" s="353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7"/>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t="e">
        <f t="shared" si="0"/>
        <v>#DIV/0!</v>
      </c>
      <c r="U9" s="1130"/>
      <c r="V9" s="3061" t="e">
        <f t="shared" si="1"/>
        <v>#DIV/0!</v>
      </c>
      <c r="W9" s="3540"/>
      <c r="X9" s="3062" t="s">
        <v>3262</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5">
      <c r="A10" s="3007"/>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t="e">
        <f t="shared" si="0"/>
        <v>#DIV/0!</v>
      </c>
      <c r="U10" s="1130"/>
      <c r="V10" s="3061" t="e">
        <f t="shared" si="1"/>
        <v>#DIV/0!</v>
      </c>
      <c r="W10" s="3540"/>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t="e">
        <f t="shared" si="0"/>
        <v>#DIV/0!</v>
      </c>
      <c r="U11" s="1130"/>
      <c r="V11" s="3061" t="e">
        <f t="shared" si="1"/>
        <v>#DIV/0!</v>
      </c>
      <c r="W11" s="1133"/>
      <c r="X11" s="1133"/>
      <c r="Y11" s="1133"/>
      <c r="Z11" s="1133"/>
      <c r="AA11" s="1133"/>
      <c r="AB11" s="1133"/>
      <c r="AC11" s="1134"/>
      <c r="AD11" s="2551"/>
      <c r="AE11" s="2551"/>
      <c r="AF11" s="2551"/>
      <c r="AG11" s="2551"/>
      <c r="AH11" s="2551"/>
      <c r="AI11" s="2551"/>
      <c r="AJ11" s="2552"/>
    </row>
    <row r="12" spans="1:36" ht="27" thickBot="1">
      <c r="A12" s="3010" t="s">
        <v>3234</v>
      </c>
      <c r="B12" s="3011" t="s">
        <v>3235</v>
      </c>
      <c r="C12" s="3012"/>
      <c r="D12" s="3013" t="s">
        <v>3236</v>
      </c>
      <c r="E12" s="3014" t="s">
        <v>3237</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t="e">
        <f t="shared" si="0"/>
        <v>#DIV/0!</v>
      </c>
      <c r="U12" s="1130"/>
      <c r="V12" s="3061" t="e">
        <f t="shared" si="1"/>
        <v>#DIV/0!</v>
      </c>
      <c r="W12" s="1133"/>
      <c r="X12" s="1133"/>
      <c r="Y12" s="1133"/>
      <c r="Z12" s="1133"/>
      <c r="AA12" s="1133"/>
      <c r="AB12" s="1133"/>
      <c r="AC12" s="1134"/>
      <c r="AD12" s="2551"/>
      <c r="AE12" s="2551"/>
      <c r="AF12" s="2551"/>
      <c r="AG12" s="2551"/>
      <c r="AH12" s="2551"/>
      <c r="AI12" s="2551"/>
      <c r="AJ12" s="2552"/>
    </row>
    <row r="13" spans="1:36" ht="26.5" thickBot="1">
      <c r="A13" s="3010" t="s">
        <v>3238</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t="e">
        <f t="shared" si="0"/>
        <v>#DIV/0!</v>
      </c>
      <c r="U13" s="1130"/>
      <c r="V13" s="3061" t="e">
        <f t="shared" si="1"/>
        <v>#DIV/0!</v>
      </c>
      <c r="W13" s="1133"/>
      <c r="X13" s="1133"/>
      <c r="Y13" s="1133"/>
      <c r="Z13" s="1133"/>
      <c r="AA13" s="1133"/>
      <c r="AB13" s="1133"/>
      <c r="AC13" s="1134"/>
      <c r="AD13" s="2551"/>
      <c r="AE13" s="2551"/>
      <c r="AF13" s="2551"/>
      <c r="AG13" s="2551"/>
      <c r="AH13" s="2551"/>
      <c r="AI13" s="2551"/>
      <c r="AJ13" s="2552"/>
    </row>
    <row r="14" spans="1:36" ht="26">
      <c r="A14" s="3006"/>
      <c r="B14" s="1883" t="s">
        <v>1985</v>
      </c>
      <c r="C14" s="1884" t="s">
        <v>1986</v>
      </c>
      <c r="D14" s="1261" t="s">
        <v>1987</v>
      </c>
      <c r="E14" s="27" t="s">
        <v>1988</v>
      </c>
      <c r="F14" s="3018" t="s">
        <v>3239</v>
      </c>
      <c r="G14" s="3018" t="s">
        <v>3239</v>
      </c>
      <c r="H14" s="3018" t="s">
        <v>3239</v>
      </c>
      <c r="I14" s="3018" t="s">
        <v>3239</v>
      </c>
      <c r="J14" s="3018" t="s">
        <v>3239</v>
      </c>
      <c r="K14" s="1056"/>
      <c r="L14" s="1056"/>
      <c r="M14" s="1056"/>
      <c r="N14" s="1056"/>
      <c r="O14" s="1056"/>
      <c r="P14" s="1056"/>
      <c r="Q14" s="1056"/>
      <c r="R14" s="1129">
        <v>13</v>
      </c>
      <c r="S14" s="1130"/>
      <c r="T14" s="3061" t="e">
        <f t="shared" si="0"/>
        <v>#DIV/0!</v>
      </c>
      <c r="U14" s="1130"/>
      <c r="V14" s="3061" t="e">
        <f t="shared" si="1"/>
        <v>#DIV/0!</v>
      </c>
      <c r="W14" s="1133"/>
      <c r="X14" s="1133"/>
      <c r="Y14" s="1133"/>
      <c r="Z14" s="1133"/>
      <c r="AA14" s="1133"/>
      <c r="AB14" s="1133"/>
      <c r="AC14" s="1134"/>
      <c r="AD14" s="2551"/>
      <c r="AE14" s="2551"/>
      <c r="AF14" s="2551"/>
      <c r="AG14" s="2551"/>
      <c r="AH14" s="2551"/>
      <c r="AI14" s="2551"/>
      <c r="AJ14" s="2552"/>
    </row>
    <row r="15" spans="1:36" ht="15.5">
      <c r="A15" s="3006"/>
      <c r="B15" s="1885"/>
      <c r="C15" s="1886"/>
      <c r="D15" s="1887"/>
      <c r="E15" s="1888"/>
      <c r="F15" s="1470" t="s">
        <v>3240</v>
      </c>
      <c r="G15" s="1928"/>
      <c r="H15" s="3019"/>
      <c r="I15" s="3020"/>
      <c r="J15" s="3021"/>
      <c r="K15" s="1056"/>
      <c r="L15" s="1056"/>
      <c r="M15" s="1056"/>
      <c r="N15" s="1056"/>
      <c r="O15" s="1056"/>
      <c r="P15" s="1056"/>
      <c r="Q15" s="1056"/>
      <c r="R15" s="1129">
        <v>14</v>
      </c>
      <c r="S15" s="1130"/>
      <c r="T15" s="3061" t="e">
        <f t="shared" si="0"/>
        <v>#DIV/0!</v>
      </c>
      <c r="U15" s="1130"/>
      <c r="V15" s="3061" t="e">
        <f t="shared" si="1"/>
        <v>#DIV/0!</v>
      </c>
      <c r="W15" s="1133"/>
      <c r="X15" s="1133"/>
      <c r="Y15" s="1133"/>
      <c r="Z15" s="1133"/>
      <c r="AA15" s="1133"/>
      <c r="AB15" s="1133"/>
      <c r="AC15" s="1134"/>
      <c r="AD15" s="2551"/>
      <c r="AE15" s="2551"/>
      <c r="AF15" s="2551"/>
      <c r="AG15" s="2551"/>
      <c r="AH15" s="2551"/>
      <c r="AI15" s="2551"/>
      <c r="AJ15" s="2552"/>
    </row>
    <row r="16" spans="1:36" ht="1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t="e">
        <f t="shared" si="0"/>
        <v>#DIV/0!</v>
      </c>
      <c r="U16" s="1130"/>
      <c r="V16" s="3061" t="e">
        <f t="shared" si="1"/>
        <v>#DIV/0!</v>
      </c>
      <c r="W16" s="1133"/>
      <c r="X16" s="1133"/>
      <c r="Y16" s="1133"/>
      <c r="Z16" s="1133"/>
      <c r="AA16" s="1133"/>
      <c r="AB16" s="1133"/>
      <c r="AC16" s="1134"/>
      <c r="AD16" s="2551"/>
      <c r="AE16" s="2551"/>
      <c r="AF16" s="2551"/>
      <c r="AG16" s="2551"/>
      <c r="AH16" s="2551"/>
      <c r="AI16" s="2551"/>
      <c r="AJ16" s="2552"/>
    </row>
    <row r="17" spans="1:37" ht="26">
      <c r="A17" s="3033" t="s">
        <v>3241</v>
      </c>
      <c r="B17" s="3025" t="s">
        <v>3242</v>
      </c>
      <c r="C17" s="3034">
        <f>ROUND(IF(OR(E2="工业",E2="公共服务"),1,IF(AND(E18=0,E19=0),1,IF(AND(E18=J24,E19=G19),0.8,IF(E19=0,1+E17*(-0.2),1+E17*G17*(-0.2))))),4)</f>
        <v>1</v>
      </c>
      <c r="D17" s="3026" t="s">
        <v>3243</v>
      </c>
      <c r="E17" s="3034" t="e">
        <f>ROUND(G18/I18,2)</f>
        <v>#DIV/0!</v>
      </c>
      <c r="F17" s="3026" t="s">
        <v>3246</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6"/>
      <c r="B18" s="2308"/>
      <c r="C18" s="3032"/>
      <c r="D18" s="3027" t="s">
        <v>3244</v>
      </c>
      <c r="E18" s="2355"/>
      <c r="F18" s="3028" t="s">
        <v>3247</v>
      </c>
      <c r="G18" s="3032">
        <f>ROUND(1-(1/(POWER(1+G24,E18))),4)</f>
        <v>0</v>
      </c>
      <c r="H18" s="3028" t="s">
        <v>3249</v>
      </c>
      <c r="I18" s="3032">
        <f>ROUND(1-(1/(POWER(1+G24,J24))),4)</f>
        <v>0</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5" thickBot="1">
      <c r="A19" s="3038"/>
      <c r="B19" s="3039"/>
      <c r="C19" s="3040"/>
      <c r="D19" s="3040" t="s">
        <v>3245</v>
      </c>
      <c r="E19" s="3041"/>
      <c r="F19" s="3042" t="s">
        <v>3248</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4">
      <c r="A20" s="3545" t="s">
        <v>3250</v>
      </c>
      <c r="B20" s="159" t="s">
        <v>1994</v>
      </c>
      <c r="C20" s="3029" t="e">
        <f>ROUND(IF(F21="与级别开发程度一致",0,(G21-E21)/C21),0)</f>
        <v>#DIV/0!</v>
      </c>
      <c r="D20" s="3044" t="s">
        <v>1998</v>
      </c>
      <c r="E20" s="3045"/>
      <c r="F20" s="3551" t="s">
        <v>1995</v>
      </c>
      <c r="G20" s="3552"/>
      <c r="H20" s="3030"/>
      <c r="I20" s="3030"/>
      <c r="J20" s="3031"/>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14.5" thickBot="1">
      <c r="A21" s="3546"/>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4.5" thickBot="1">
      <c r="A22" s="1996" t="s">
        <v>363</v>
      </c>
      <c r="B22" s="1997" t="s">
        <v>2000</v>
      </c>
      <c r="C22" s="1998">
        <f>SUMIF(修正!C20:C53,E3,修正!E20:E53)</f>
        <v>0</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16"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45901</v>
      </c>
      <c r="H23" s="3046"/>
      <c r="I23" s="3047" t="str">
        <f>IF(H23="季度增幅（自定义）",SUMIF(N25:N28,E2,O25:O28),"")</f>
        <v/>
      </c>
      <c r="J23" s="3139"/>
      <c r="K23" s="1061"/>
      <c r="L23" s="1897" t="s">
        <v>2004</v>
      </c>
      <c r="M23" s="1241">
        <f>ROUND(SUMIF(地价!B2:G2,E2,地价!B16:G16),0)</f>
        <v>0</v>
      </c>
      <c r="N23" s="1898" t="s">
        <v>2005</v>
      </c>
      <c r="O23" s="719">
        <f>ROUNDDOWN(DATEDIF(E23,G23,"M")/3,0)</f>
        <v>18</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
      <c r="A25" s="1907" t="s">
        <v>366</v>
      </c>
      <c r="B25" s="1908" t="s">
        <v>3329</v>
      </c>
      <c r="C25" s="461">
        <f>IF(B25="容积率修正",IF(G3&lt;10,D26,J26),C27)</f>
        <v>0</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3251</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3252</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0</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t="e">
        <f>IF(B25="容积率修正",E33+SUM(E37:E42),SUM(V2:V16)+SUM(E37:E42))</f>
        <v>#DIV/0!</v>
      </c>
      <c r="D30" s="1925"/>
      <c r="E30" s="1842"/>
      <c r="F30" s="1926"/>
      <c r="G30" s="1842"/>
      <c r="H30" s="1842"/>
      <c r="I30" s="1842"/>
      <c r="J30" s="1927"/>
      <c r="K30" s="1056"/>
      <c r="L30" s="3053" t="s">
        <v>1936</v>
      </c>
      <c r="M30" s="3054" t="s">
        <v>1990</v>
      </c>
      <c r="N30" s="3054" t="s">
        <v>1991</v>
      </c>
      <c r="O30" s="3054" t="s">
        <v>1992</v>
      </c>
      <c r="P30" s="3054" t="s">
        <v>1993</v>
      </c>
      <c r="Q30" s="3057" t="s">
        <v>3256</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t="e">
        <f>E34+SUM(I37:I42)</f>
        <v>#DIV/0!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t="e">
        <f>ROUND(C5*C22*C23*C24*C25*C28,0)</f>
        <v>#DIV/0!</v>
      </c>
      <c r="D33" s="1940"/>
      <c r="E33" s="727" t="e">
        <f>ROUND(C33*D33/10000,0)</f>
        <v>#DIV/0!</v>
      </c>
      <c r="F33" s="3048" t="s">
        <v>3254</v>
      </c>
      <c r="G33" s="1941"/>
      <c r="H33" s="1941"/>
      <c r="I33" s="1941"/>
      <c r="J33" s="1942"/>
      <c r="K33" s="1056"/>
      <c r="L33" s="3051" t="s">
        <v>3257</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1" t="s">
        <v>3258</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49" t="s">
        <v>3255</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3259</v>
      </c>
      <c r="L36" s="3140">
        <f ca="1">'数据-取费表'!B40</f>
        <v>3.1300000000000001E-2</v>
      </c>
      <c r="M36" s="2364">
        <f ca="1">ROUND($L$36*(1+M31),3)</f>
        <v>3.9E-2</v>
      </c>
      <c r="N36" s="2364">
        <f ca="1">ROUND($L$36*(1+N31),3)</f>
        <v>3.7999999999999999E-2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549"/>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2"/>
      <c r="K37" s="3059" t="s">
        <v>3260</v>
      </c>
      <c r="L37" s="1964">
        <f ca="1">L36+K38</f>
        <v>3.6299999999999999E-2</v>
      </c>
      <c r="M37" s="2364">
        <f ca="1">ROUND($L$37*(1+M31),3)</f>
        <v>4.4999999999999998E-2</v>
      </c>
      <c r="N37" s="2364">
        <f t="shared" ref="N37:Q37" ca="1" si="3">ROUND($L$37*(1+N31),3)</f>
        <v>4.3999999999999997E-2</v>
      </c>
      <c r="O37" s="2364">
        <f t="shared" ca="1" si="3"/>
        <v>4.2000000000000003E-2</v>
      </c>
      <c r="P37" s="2364">
        <f t="shared" ca="1" si="3"/>
        <v>0.04</v>
      </c>
      <c r="Q37" s="2364">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550"/>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50"/>
      <c r="B39" s="1884" t="s">
        <v>3253</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0" t="s">
        <v>3261</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00">
      <c r="A51" s="1970" t="s">
        <v>2053</v>
      </c>
      <c r="B51" s="1262" t="str">
        <f>估价对象房地状况!C18</f>
        <v>估价对象临城市支路——屏翠东路，周边1公里范围内有专112、专15、547等多条公交线路，距地铁15号线望京东站约589米，项目内有停车位，停车便捷度较好，综合评价交通便捷度较好。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68" t="s">
        <v>3263</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t="str">
        <f>估价对象房地状况!C24</f>
        <v>城市支路——翠平东路</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162.5">
      <c r="A56" s="1976" t="s">
        <v>2059</v>
      </c>
      <c r="B56" s="1240" t="str">
        <f>估价对象房地状况!C21</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七通</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38" thickBot="1">
      <c r="A58" s="1977" t="s">
        <v>2061</v>
      </c>
      <c r="B58" s="1978" t="str">
        <f>估价对象房地状况!C20</f>
        <v>区域自然环境：大望京公园、善各庄公园；无人文环境；综合评价环境状况较好</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62.5">
      <c r="A61" s="1970" t="s">
        <v>2064</v>
      </c>
      <c r="B61" s="1973" t="str">
        <f>估价对象房地状况!C17</f>
        <v>估价对象位于北五环内，周边有望京国际研发园、望京数字创意园、锐创国际中心等办公项目，办公集聚程度较好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00">
      <c r="A62" s="1970" t="s">
        <v>2053</v>
      </c>
      <c r="B62" s="1262" t="str">
        <f>估价对象房地状况!C18</f>
        <v>估价对象临城市支路——屏翠东路，周边1公里范围内有专112、专15、547等多条公交线路，距地铁15号线望京东站约589米，项目内有停车位，停车便捷度较好，综合评价交通便捷度较好。</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68" t="s">
        <v>3263</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2056</v>
      </c>
      <c r="B65" s="1262" t="str">
        <f>估价对象房地状况!C24</f>
        <v>城市支路——翠平东路</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162.5">
      <c r="A67" s="1970" t="s">
        <v>2059</v>
      </c>
      <c r="B67" s="1240" t="str">
        <f>估价对象房地状况!C21</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2060</v>
      </c>
      <c r="B68" s="1240" t="str">
        <f>估价对象房地状况!C22</f>
        <v>七通</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38" thickBot="1">
      <c r="A69" s="1977" t="s">
        <v>2061</v>
      </c>
      <c r="B69" s="1979" t="str">
        <f>估价对象房地状况!C20</f>
        <v>区域自然环境：大望京公园、善各庄公园；无人文环境；综合评价环境状况较好</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00">
      <c r="A73" s="1970" t="s">
        <v>2053</v>
      </c>
      <c r="B73" s="1262" t="str">
        <f>估价对象房地状况!C18</f>
        <v>估价对象临城市支路——屏翠东路，周边1公里范围内有专112、专15、547等多条公交线路，距地铁15号线望京东站约589米，项目内有停车位，停车便捷度较好，综合评价交通便捷度较好。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68" t="s">
        <v>3263</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t="str">
        <f>估价对象房地状况!C24</f>
        <v>城市支路——翠平东路</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162.5">
      <c r="A76" s="1970" t="s">
        <v>2059</v>
      </c>
      <c r="B76" s="1240" t="str">
        <f>估价对象房地状况!C21</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七通</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7.5">
      <c r="A79" s="1970" t="s">
        <v>2061</v>
      </c>
      <c r="B79" s="1973" t="str">
        <f>估价对象房地状况!C20</f>
        <v>区域自然环境：大望京公园、善各庄公园；无人文环境；综合评价环境状况较好</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39">
      <c r="A85" s="3068" t="s">
        <v>3264</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4">
      <c r="A91" s="3076" t="s">
        <v>2608</v>
      </c>
      <c r="B91" s="3077">
        <f>1+E93</f>
        <v>1</v>
      </c>
      <c r="C91" s="3070"/>
      <c r="D91" s="3071"/>
      <c r="E91" s="1675"/>
      <c r="F91" s="1675"/>
      <c r="G91" s="3072"/>
      <c r="H91" s="3073"/>
      <c r="I91" s="3074"/>
      <c r="J91" s="3075"/>
      <c r="K91" s="3075"/>
      <c r="L91" s="3075"/>
      <c r="M91" s="3075"/>
      <c r="N91" s="3075"/>
    </row>
    <row r="92" spans="1:37" ht="26">
      <c r="A92" s="3078" t="s">
        <v>3265</v>
      </c>
      <c r="B92" s="2308"/>
      <c r="C92" s="2308" t="s">
        <v>3274</v>
      </c>
      <c r="D92" s="2308" t="s">
        <v>3275</v>
      </c>
      <c r="E92" s="3050" t="s">
        <v>3276</v>
      </c>
      <c r="F92" s="3080" t="s">
        <v>3277</v>
      </c>
      <c r="G92" s="2308" t="s">
        <v>3278</v>
      </c>
      <c r="H92" s="3087" t="s">
        <v>3281</v>
      </c>
      <c r="I92" s="2308" t="s">
        <v>3282</v>
      </c>
      <c r="J92" s="2150" t="s">
        <v>3283</v>
      </c>
      <c r="K92" s="2150" t="s">
        <v>3284</v>
      </c>
      <c r="L92" s="2150" t="s">
        <v>3285</v>
      </c>
      <c r="M92" s="2150" t="s">
        <v>3286</v>
      </c>
      <c r="N92" s="2150" t="s">
        <v>3287</v>
      </c>
    </row>
    <row r="93" spans="1:37" ht="26">
      <c r="A93" s="3068" t="s">
        <v>3266</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100">
      <c r="A94" s="3078" t="s">
        <v>3267</v>
      </c>
      <c r="B94" s="3069" t="str">
        <f>估价对象房地状况!C18</f>
        <v>估价对象临城市支路——屏翠东路，周边1公里范围内有专112、专15、547等多条公交线路，距地铁15号线望京东站约589米，项目内有停车位，停车便捷度较好，综合评价交通便捷度较好。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39">
      <c r="A95" s="3068" t="s">
        <v>3263</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9">
      <c r="A96" s="3078" t="s">
        <v>3268</v>
      </c>
      <c r="B96" s="3084" t="s">
        <v>3279</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6">
      <c r="A97" s="3078" t="s">
        <v>3269</v>
      </c>
      <c r="B97" s="3069" t="str">
        <f>估价对象房地状况!C24</f>
        <v>城市支路——翠平东路</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26">
      <c r="A98" s="3078" t="s">
        <v>3270</v>
      </c>
      <c r="B98" s="3085" t="s">
        <v>3280</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162.5">
      <c r="A99" s="3078" t="s">
        <v>3271</v>
      </c>
      <c r="B99" s="3069" t="str">
        <f>估价对象房地状况!C21</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
      <c r="A100" s="3078" t="s">
        <v>3272</v>
      </c>
      <c r="B100" s="3069" t="str">
        <f>估价对象房地状况!C22</f>
        <v>七通</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38" thickBot="1">
      <c r="A101" s="3079" t="s">
        <v>3273</v>
      </c>
      <c r="B101" s="3086" t="str">
        <f>估价对象房地状况!C20</f>
        <v>区域自然环境：大望京公园、善各庄公园；无人文环境；综合评价环境状况较好</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ht="13">
      <c r="A103" s="3547" t="s">
        <v>3288</v>
      </c>
      <c r="B103" s="3547"/>
      <c r="C103" s="3547"/>
      <c r="D103" s="3547"/>
      <c r="E103" s="3547"/>
      <c r="F103" s="3547"/>
      <c r="G103" s="3547"/>
      <c r="H103" s="3547"/>
      <c r="I103" s="3547"/>
      <c r="J103" s="3547"/>
      <c r="K103" s="1667"/>
      <c r="L103" s="1667"/>
      <c r="M103" s="1667"/>
      <c r="N103" s="1667"/>
    </row>
    <row r="104" spans="1:14" ht="13">
      <c r="A104" s="3548" t="s">
        <v>3289</v>
      </c>
      <c r="B104" s="3548" t="s">
        <v>3290</v>
      </c>
      <c r="C104" s="3088" t="s">
        <v>3291</v>
      </c>
      <c r="D104" s="3089"/>
      <c r="E104" s="3089"/>
      <c r="F104" s="3089"/>
      <c r="G104" s="3089"/>
      <c r="H104" s="3089"/>
      <c r="I104" s="3089"/>
      <c r="J104" s="3090"/>
      <c r="K104" s="3091"/>
      <c r="L104" s="3091"/>
      <c r="M104" s="3091"/>
      <c r="N104" s="3091"/>
    </row>
    <row r="105" spans="1:14" ht="13">
      <c r="A105" s="3548"/>
      <c r="B105" s="3548"/>
      <c r="C105" s="3092" t="s">
        <v>3292</v>
      </c>
      <c r="D105" s="3092" t="s">
        <v>3293</v>
      </c>
      <c r="E105" s="3092" t="s">
        <v>3294</v>
      </c>
      <c r="F105" s="3092" t="s">
        <v>3295</v>
      </c>
      <c r="G105" s="3092" t="s">
        <v>3296</v>
      </c>
      <c r="H105" s="3092" t="s">
        <v>3297</v>
      </c>
      <c r="I105" s="3092" t="s">
        <v>3298</v>
      </c>
      <c r="J105" s="3092" t="s">
        <v>3299</v>
      </c>
      <c r="K105" s="3092" t="s">
        <v>3300</v>
      </c>
      <c r="L105" s="3092" t="s">
        <v>3301</v>
      </c>
      <c r="M105" s="3092" t="s">
        <v>3302</v>
      </c>
      <c r="N105" s="3092" t="s">
        <v>3303</v>
      </c>
    </row>
    <row r="106" spans="1:14">
      <c r="A106" s="3534" t="s">
        <v>3304</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535"/>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535"/>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535"/>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535"/>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ht="13">
      <c r="A111" s="3535"/>
      <c r="B111" s="3092" t="s">
        <v>3262</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536"/>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ht="13">
      <c r="A113" s="3537" t="s">
        <v>3305</v>
      </c>
      <c r="B113" s="3537"/>
      <c r="C113" s="3537"/>
      <c r="D113" s="3537"/>
      <c r="E113" s="3537"/>
      <c r="F113" s="3537"/>
      <c r="G113" s="3537"/>
      <c r="H113" s="3537"/>
      <c r="I113" s="3537"/>
      <c r="J113" s="3537"/>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 thickBot="1">
      <c r="A115" s="3095"/>
      <c r="B115" s="3095"/>
      <c r="C115" s="3095"/>
      <c r="D115" s="3095"/>
      <c r="E115" s="3095"/>
      <c r="F115" s="3095"/>
      <c r="G115" s="3095"/>
      <c r="H115" s="3095"/>
      <c r="I115" s="3095"/>
      <c r="J115" s="3095"/>
      <c r="K115" s="1964"/>
      <c r="L115" s="3095"/>
      <c r="M115" s="3095"/>
      <c r="N115" s="3095"/>
    </row>
    <row r="116" spans="1:14" ht="26" thickBot="1">
      <c r="A116" s="3096" t="s">
        <v>3306</v>
      </c>
      <c r="B116" s="3112">
        <f>G3</f>
        <v>0</v>
      </c>
      <c r="C116" s="3097" t="s">
        <v>3307</v>
      </c>
      <c r="D116" s="3098">
        <f>SUMPRODUCT((A118:A122=F116)*(B117:M117=H116)*B118:M122)</f>
        <v>0</v>
      </c>
      <c r="E116" s="162" t="s">
        <v>3308</v>
      </c>
      <c r="F116" s="3099">
        <f>E2</f>
        <v>0</v>
      </c>
      <c r="G116" s="162" t="s">
        <v>3309</v>
      </c>
      <c r="H116" s="3099">
        <f>G2</f>
        <v>0</v>
      </c>
      <c r="I116" s="162"/>
      <c r="J116" s="3100"/>
      <c r="K116" s="3100"/>
      <c r="L116" s="3100"/>
      <c r="M116" s="3100"/>
      <c r="N116" s="3095"/>
    </row>
    <row r="117" spans="1:14" ht="13">
      <c r="A117" s="3101"/>
      <c r="B117" s="3102" t="s">
        <v>3310</v>
      </c>
      <c r="C117" s="3102" t="s">
        <v>3311</v>
      </c>
      <c r="D117" s="3102" t="s">
        <v>3312</v>
      </c>
      <c r="E117" s="3103" t="s">
        <v>3313</v>
      </c>
      <c r="F117" s="3103" t="s">
        <v>3314</v>
      </c>
      <c r="G117" s="3103" t="s">
        <v>3315</v>
      </c>
      <c r="H117" s="3104" t="s">
        <v>3316</v>
      </c>
      <c r="I117" s="3104" t="s">
        <v>3317</v>
      </c>
      <c r="J117" s="3105" t="s">
        <v>3318</v>
      </c>
      <c r="K117" s="3105" t="s">
        <v>3319</v>
      </c>
      <c r="L117" s="3105" t="s">
        <v>3320</v>
      </c>
      <c r="M117" s="3106" t="s">
        <v>3321</v>
      </c>
      <c r="N117" s="3095"/>
    </row>
    <row r="118" spans="1:14" ht="13">
      <c r="A118" s="3055" t="s">
        <v>3322</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ht="13">
      <c r="A119" s="3055" t="s">
        <v>3323</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ht="13">
      <c r="A120" s="3055" t="s">
        <v>3324</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5" thickBot="1">
      <c r="A121" s="3108" t="s">
        <v>3325</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ht="13">
      <c r="A122" s="3111" t="s">
        <v>2608</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1" customWidth="1"/>
    <col min="14" max="14" width="10" style="2811" customWidth="1"/>
    <col min="15" max="16" width="8.26953125" style="2811"/>
    <col min="17" max="17" width="34.08984375" style="2811" customWidth="1"/>
    <col min="18" max="18" width="8.26953125" style="2811" customWidth="1"/>
    <col min="19" max="19" width="8.26953125" style="2811"/>
    <col min="20" max="20" width="11.6328125" style="2811" customWidth="1"/>
    <col min="21" max="16384" width="8.26953125" style="2811"/>
  </cols>
  <sheetData>
    <row r="1" spans="1:13" ht="19.5" customHeight="1" thickBot="1">
      <c r="A1" s="2808" t="s">
        <v>2590</v>
      </c>
      <c r="B1" s="2809" t="s">
        <v>2591</v>
      </c>
      <c r="C1" s="2809" t="s">
        <v>2592</v>
      </c>
      <c r="D1" s="2809" t="s">
        <v>2593</v>
      </c>
      <c r="E1" s="2809" t="s">
        <v>2594</v>
      </c>
      <c r="F1" s="2809" t="s">
        <v>2595</v>
      </c>
      <c r="G1" s="2809" t="s">
        <v>2596</v>
      </c>
      <c r="H1" s="2809" t="s">
        <v>2597</v>
      </c>
      <c r="I1" s="2809" t="s">
        <v>2598</v>
      </c>
      <c r="J1" s="2809" t="s">
        <v>2599</v>
      </c>
      <c r="K1" s="2809" t="s">
        <v>2600</v>
      </c>
      <c r="L1" s="2809" t="s">
        <v>2601</v>
      </c>
      <c r="M1" s="2810" t="s">
        <v>2602</v>
      </c>
    </row>
    <row r="2" spans="1:13" ht="19.5" customHeight="1">
      <c r="A2" s="2812" t="s">
        <v>2603</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2604</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2605</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2606</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2607</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2608</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2609</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2610</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2611</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2612</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2613</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2614</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2615</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2616</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2617</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2618</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2619</v>
      </c>
      <c r="B18" s="2834"/>
      <c r="C18" s="2835"/>
      <c r="D18" s="2835"/>
      <c r="E18" s="2834"/>
      <c r="F18" s="2835"/>
      <c r="G18" s="2835"/>
    </row>
    <row r="19" spans="1:13" ht="19.5" customHeight="1" thickBot="1">
      <c r="A19" s="2832" t="s">
        <v>2620</v>
      </c>
      <c r="B19" s="2837" t="s">
        <v>2621</v>
      </c>
      <c r="C19" s="2837" t="s">
        <v>2622</v>
      </c>
      <c r="D19" s="2838"/>
      <c r="E19" s="2832" t="s">
        <v>2623</v>
      </c>
      <c r="F19" s="2839"/>
      <c r="G19" s="2839"/>
    </row>
    <row r="20" spans="1:13" ht="19.5" customHeight="1">
      <c r="A20" s="3563" t="s">
        <v>2603</v>
      </c>
      <c r="B20" s="3553" t="s">
        <v>2624</v>
      </c>
      <c r="C20" s="3166" t="s">
        <v>2435</v>
      </c>
      <c r="D20" s="3166"/>
      <c r="E20" s="2842">
        <v>1</v>
      </c>
      <c r="F20" s="2843" t="s">
        <v>2436</v>
      </c>
      <c r="G20" s="2843"/>
    </row>
    <row r="21" spans="1:13" ht="19.5" customHeight="1">
      <c r="A21" s="3564"/>
      <c r="B21" s="3554"/>
      <c r="C21" s="2855" t="s">
        <v>2437</v>
      </c>
      <c r="D21" s="2855"/>
      <c r="E21" s="2846">
        <v>1</v>
      </c>
      <c r="F21" s="2843" t="s">
        <v>2438</v>
      </c>
      <c r="G21" s="2843"/>
    </row>
    <row r="22" spans="1:13" ht="19.5" customHeight="1">
      <c r="A22" s="3564"/>
      <c r="B22" s="3554"/>
      <c r="C22" s="2855" t="s">
        <v>2439</v>
      </c>
      <c r="D22" s="2855"/>
      <c r="E22" s="2846">
        <v>0.9</v>
      </c>
      <c r="F22" s="2843" t="s">
        <v>2440</v>
      </c>
      <c r="G22" s="2843"/>
    </row>
    <row r="23" spans="1:13" ht="19.5" customHeight="1">
      <c r="A23" s="3564"/>
      <c r="B23" s="3554"/>
      <c r="C23" s="2855" t="s">
        <v>2441</v>
      </c>
      <c r="D23" s="2855"/>
      <c r="E23" s="2846">
        <v>0.9</v>
      </c>
      <c r="F23" s="2843" t="s">
        <v>2442</v>
      </c>
      <c r="G23" s="2843"/>
    </row>
    <row r="24" spans="1:13" ht="19.5" customHeight="1">
      <c r="A24" s="3564"/>
      <c r="B24" s="3554"/>
      <c r="C24" s="2855" t="s">
        <v>2443</v>
      </c>
      <c r="D24" s="2855"/>
      <c r="E24" s="2846">
        <v>0.8</v>
      </c>
      <c r="F24" s="2843" t="s">
        <v>2444</v>
      </c>
      <c r="G24" s="2843"/>
    </row>
    <row r="25" spans="1:13" ht="19.5" customHeight="1">
      <c r="A25" s="3564"/>
      <c r="B25" s="3554"/>
      <c r="C25" s="2855" t="s">
        <v>2445</v>
      </c>
      <c r="D25" s="2855"/>
      <c r="E25" s="2846">
        <v>0.8</v>
      </c>
      <c r="F25" s="2843"/>
      <c r="G25" s="2843"/>
    </row>
    <row r="26" spans="1:13" ht="19.5" customHeight="1">
      <c r="A26" s="3564"/>
      <c r="B26" s="3554"/>
      <c r="C26" s="2855" t="s">
        <v>3406</v>
      </c>
      <c r="D26" s="2855"/>
      <c r="E26" s="2846">
        <v>0.43</v>
      </c>
      <c r="F26" s="2843"/>
      <c r="G26" s="2843"/>
    </row>
    <row r="27" spans="1:13" ht="19.5" customHeight="1" thickBot="1">
      <c r="A27" s="3565"/>
      <c r="B27" s="3555"/>
      <c r="C27" s="3162" t="s">
        <v>3407</v>
      </c>
      <c r="D27" s="3162"/>
      <c r="E27" s="2849">
        <f>E26*0.9</f>
        <v>0.38700000000000001</v>
      </c>
      <c r="F27" s="2843" t="s">
        <v>2446</v>
      </c>
      <c r="G27" s="2843"/>
    </row>
    <row r="28" spans="1:13" ht="19.5" customHeight="1" thickBot="1">
      <c r="A28" s="3161" t="s">
        <v>2625</v>
      </c>
      <c r="B28" s="3160" t="s">
        <v>2624</v>
      </c>
      <c r="C28" s="3163" t="s">
        <v>2626</v>
      </c>
      <c r="D28" s="3164"/>
      <c r="E28" s="3165">
        <v>1</v>
      </c>
      <c r="F28" s="2843" t="s">
        <v>2447</v>
      </c>
      <c r="G28" s="2843"/>
    </row>
    <row r="29" spans="1:13" ht="19.5" customHeight="1">
      <c r="A29" s="3556" t="s">
        <v>2627</v>
      </c>
      <c r="B29" s="3559" t="s">
        <v>2608</v>
      </c>
      <c r="C29" s="2840" t="s">
        <v>2448</v>
      </c>
      <c r="D29" s="2841"/>
      <c r="E29" s="2842">
        <v>1</v>
      </c>
      <c r="F29" s="2843" t="s">
        <v>2449</v>
      </c>
      <c r="G29" s="2843"/>
    </row>
    <row r="30" spans="1:13" ht="19.5" customHeight="1">
      <c r="A30" s="3557"/>
      <c r="B30" s="3560"/>
      <c r="C30" s="2844" t="s">
        <v>2450</v>
      </c>
      <c r="D30" s="2845"/>
      <c r="E30" s="2846">
        <v>1</v>
      </c>
      <c r="F30" s="2843" t="s">
        <v>2451</v>
      </c>
      <c r="G30" s="2843"/>
    </row>
    <row r="31" spans="1:13" ht="19.5" customHeight="1">
      <c r="A31" s="3557"/>
      <c r="B31" s="3560"/>
      <c r="C31" s="2844" t="s">
        <v>2452</v>
      </c>
      <c r="D31" s="2845"/>
      <c r="E31" s="2846">
        <v>0.8</v>
      </c>
      <c r="F31" s="2843" t="s">
        <v>2453</v>
      </c>
      <c r="G31" s="2843"/>
    </row>
    <row r="32" spans="1:13" ht="19.5" customHeight="1">
      <c r="A32" s="3557"/>
      <c r="B32" s="3560"/>
      <c r="C32" s="2844" t="s">
        <v>2454</v>
      </c>
      <c r="D32" s="2845"/>
      <c r="E32" s="2846">
        <v>0.8</v>
      </c>
      <c r="F32" s="2843" t="s">
        <v>2455</v>
      </c>
      <c r="G32" s="2843"/>
    </row>
    <row r="33" spans="1:7" ht="19.5" customHeight="1">
      <c r="A33" s="3557"/>
      <c r="B33" s="3560"/>
      <c r="C33" s="2844" t="s">
        <v>2456</v>
      </c>
      <c r="D33" s="2845"/>
      <c r="E33" s="2846">
        <v>0.8</v>
      </c>
      <c r="F33" s="2843" t="s">
        <v>2457</v>
      </c>
      <c r="G33" s="2843"/>
    </row>
    <row r="34" spans="1:7" ht="19.5" customHeight="1">
      <c r="A34" s="3557"/>
      <c r="B34" s="3560"/>
      <c r="C34" s="2844" t="s">
        <v>2458</v>
      </c>
      <c r="D34" s="2845"/>
      <c r="E34" s="2846">
        <v>0.7</v>
      </c>
      <c r="F34" s="2843" t="s">
        <v>2459</v>
      </c>
      <c r="G34" s="2843"/>
    </row>
    <row r="35" spans="1:7" ht="19.5" customHeight="1">
      <c r="A35" s="3557"/>
      <c r="B35" s="3560"/>
      <c r="C35" s="2844" t="s">
        <v>2460</v>
      </c>
      <c r="D35" s="2845"/>
      <c r="E35" s="2846">
        <v>0.8</v>
      </c>
      <c r="F35" s="2843" t="s">
        <v>2461</v>
      </c>
      <c r="G35" s="2843"/>
    </row>
    <row r="36" spans="1:7" ht="19.5" customHeight="1">
      <c r="A36" s="3557"/>
      <c r="B36" s="3560"/>
      <c r="C36" s="2844" t="s">
        <v>2462</v>
      </c>
      <c r="D36" s="2845"/>
      <c r="E36" s="2846">
        <v>0.6</v>
      </c>
      <c r="F36" s="2843" t="s">
        <v>2463</v>
      </c>
      <c r="G36" s="2843"/>
    </row>
    <row r="37" spans="1:7" ht="19.5" customHeight="1">
      <c r="A37" s="3557"/>
      <c r="B37" s="3560"/>
      <c r="C37" s="2844" t="s">
        <v>2464</v>
      </c>
      <c r="D37" s="2845"/>
      <c r="E37" s="2846">
        <v>0.2</v>
      </c>
      <c r="F37" s="2843" t="s">
        <v>2465</v>
      </c>
      <c r="G37" s="2843"/>
    </row>
    <row r="38" spans="1:7" ht="19.5" customHeight="1">
      <c r="A38" s="3557"/>
      <c r="B38" s="3560"/>
      <c r="C38" s="2844" t="s">
        <v>2466</v>
      </c>
      <c r="D38" s="2845"/>
      <c r="E38" s="2846">
        <v>0.2</v>
      </c>
      <c r="F38" s="2843" t="s">
        <v>2467</v>
      </c>
      <c r="G38" s="2843"/>
    </row>
    <row r="39" spans="1:7" ht="19.5" customHeight="1">
      <c r="A39" s="3557"/>
      <c r="B39" s="3561" t="s">
        <v>2628</v>
      </c>
      <c r="C39" s="2844" t="s">
        <v>2468</v>
      </c>
      <c r="D39" s="2845"/>
      <c r="E39" s="2846">
        <v>0.6</v>
      </c>
      <c r="F39" s="2843" t="s">
        <v>2469</v>
      </c>
      <c r="G39" s="2843"/>
    </row>
    <row r="40" spans="1:7" ht="19.5" customHeight="1">
      <c r="A40" s="3557"/>
      <c r="B40" s="3560"/>
      <c r="C40" s="2844" t="s">
        <v>2470</v>
      </c>
      <c r="D40" s="2845"/>
      <c r="E40" s="2846">
        <v>0.6</v>
      </c>
      <c r="F40" s="2843" t="s">
        <v>2471</v>
      </c>
      <c r="G40" s="2843"/>
    </row>
    <row r="41" spans="1:7" ht="19.5" customHeight="1" thickBot="1">
      <c r="A41" s="3558"/>
      <c r="B41" s="3562"/>
      <c r="C41" s="2847" t="s">
        <v>2472</v>
      </c>
      <c r="D41" s="2848"/>
      <c r="E41" s="2849">
        <v>0.6</v>
      </c>
      <c r="F41" s="2843" t="s">
        <v>2473</v>
      </c>
      <c r="G41" s="2843"/>
    </row>
    <row r="42" spans="1:7" ht="19.5" customHeight="1" thickBot="1">
      <c r="A42" s="2850" t="s">
        <v>2605</v>
      </c>
      <c r="B42" s="2851" t="s">
        <v>2605</v>
      </c>
      <c r="C42" s="2852" t="s">
        <v>2629</v>
      </c>
      <c r="D42" s="2853"/>
      <c r="E42" s="2854">
        <v>1</v>
      </c>
      <c r="F42" s="2843" t="s">
        <v>2474</v>
      </c>
      <c r="G42" s="2843"/>
    </row>
    <row r="43" spans="1:7" ht="19.5" customHeight="1">
      <c r="A43" s="3563" t="s">
        <v>2606</v>
      </c>
      <c r="B43" s="3559" t="s">
        <v>2630</v>
      </c>
      <c r="C43" s="2840" t="s">
        <v>2475</v>
      </c>
      <c r="D43" s="2841"/>
      <c r="E43" s="2842">
        <v>1</v>
      </c>
      <c r="F43" s="2843" t="s">
        <v>2476</v>
      </c>
      <c r="G43" s="2843"/>
    </row>
    <row r="44" spans="1:7" ht="19.5" customHeight="1">
      <c r="A44" s="3564"/>
      <c r="B44" s="3560"/>
      <c r="C44" s="2844" t="s">
        <v>2477</v>
      </c>
      <c r="D44" s="2845"/>
      <c r="E44" s="2846">
        <v>1</v>
      </c>
      <c r="F44" s="2843" t="s">
        <v>2478</v>
      </c>
      <c r="G44" s="2843"/>
    </row>
    <row r="45" spans="1:7" ht="19.5" customHeight="1">
      <c r="A45" s="3564"/>
      <c r="B45" s="3566"/>
      <c r="C45" s="2844" t="s">
        <v>2479</v>
      </c>
      <c r="D45" s="2845"/>
      <c r="E45" s="2846">
        <v>1.5</v>
      </c>
      <c r="F45" s="2843" t="s">
        <v>2480</v>
      </c>
      <c r="G45" s="2843"/>
    </row>
    <row r="46" spans="1:7" ht="19.5" customHeight="1">
      <c r="A46" s="3564"/>
      <c r="B46" s="2855" t="s">
        <v>2631</v>
      </c>
      <c r="C46" s="2844" t="s">
        <v>2632</v>
      </c>
      <c r="D46" s="2845"/>
      <c r="E46" s="2846">
        <v>2</v>
      </c>
      <c r="F46" s="2843" t="s">
        <v>2481</v>
      </c>
      <c r="G46" s="2843"/>
    </row>
    <row r="47" spans="1:7" ht="19.5" customHeight="1">
      <c r="A47" s="3564"/>
      <c r="B47" s="3561" t="s">
        <v>2633</v>
      </c>
      <c r="C47" s="2844" t="s">
        <v>2482</v>
      </c>
      <c r="D47" s="2845"/>
      <c r="E47" s="2846">
        <v>1</v>
      </c>
      <c r="F47" s="2843" t="s">
        <v>2483</v>
      </c>
      <c r="G47" s="2843"/>
    </row>
    <row r="48" spans="1:7" ht="19.5" customHeight="1">
      <c r="A48" s="3564"/>
      <c r="B48" s="3560"/>
      <c r="C48" s="2844" t="s">
        <v>2484</v>
      </c>
      <c r="D48" s="2845"/>
      <c r="E48" s="2846">
        <v>1</v>
      </c>
      <c r="F48" s="2843" t="s">
        <v>2485</v>
      </c>
      <c r="G48" s="2843"/>
    </row>
    <row r="49" spans="1:7" ht="19.5" customHeight="1">
      <c r="A49" s="3564"/>
      <c r="B49" s="3560"/>
      <c r="C49" s="2844" t="s">
        <v>2486</v>
      </c>
      <c r="D49" s="2845"/>
      <c r="E49" s="2846">
        <v>1</v>
      </c>
      <c r="F49" s="2843" t="s">
        <v>2487</v>
      </c>
      <c r="G49" s="2843"/>
    </row>
    <row r="50" spans="1:7" ht="19.5" customHeight="1">
      <c r="A50" s="3564"/>
      <c r="B50" s="3560"/>
      <c r="C50" s="2844" t="s">
        <v>2488</v>
      </c>
      <c r="D50" s="2845"/>
      <c r="E50" s="2846">
        <v>1</v>
      </c>
      <c r="F50" s="2843" t="s">
        <v>2489</v>
      </c>
      <c r="G50" s="2843"/>
    </row>
    <row r="51" spans="1:7" ht="19.5" customHeight="1">
      <c r="A51" s="3564"/>
      <c r="B51" s="3560"/>
      <c r="C51" s="2844" t="s">
        <v>2490</v>
      </c>
      <c r="D51" s="2845"/>
      <c r="E51" s="2846">
        <v>1</v>
      </c>
      <c r="F51" s="2843" t="s">
        <v>2491</v>
      </c>
      <c r="G51" s="2843"/>
    </row>
    <row r="52" spans="1:7" ht="19.5" customHeight="1">
      <c r="A52" s="3564"/>
      <c r="B52" s="3560"/>
      <c r="C52" s="2844" t="s">
        <v>2492</v>
      </c>
      <c r="D52" s="2845"/>
      <c r="E52" s="2846">
        <v>1</v>
      </c>
      <c r="F52" s="2843" t="s">
        <v>2493</v>
      </c>
      <c r="G52" s="2843"/>
    </row>
    <row r="53" spans="1:7" ht="19.5" customHeight="1" thickBot="1">
      <c r="A53" s="3565"/>
      <c r="B53" s="3562"/>
      <c r="C53" s="2847" t="s">
        <v>2494</v>
      </c>
      <c r="D53" s="2848"/>
      <c r="E53" s="2849">
        <v>1</v>
      </c>
      <c r="F53" s="2843" t="s">
        <v>2495</v>
      </c>
      <c r="G53" s="2843"/>
    </row>
    <row r="54" spans="1:7" ht="19.5" customHeight="1">
      <c r="A54" s="2856"/>
      <c r="B54" s="2856"/>
      <c r="C54" s="2856"/>
      <c r="D54" s="2856"/>
      <c r="E54" s="2856"/>
      <c r="F54" s="2856"/>
      <c r="G54" s="2856"/>
    </row>
    <row r="56" spans="1:7" ht="19.5" customHeight="1">
      <c r="A56" s="2857"/>
      <c r="B56" s="2829" t="s">
        <v>2634</v>
      </c>
      <c r="C56" s="2829" t="s">
        <v>2634</v>
      </c>
      <c r="D56" s="2829" t="s">
        <v>2634</v>
      </c>
      <c r="E56" s="2832" t="s">
        <v>2634</v>
      </c>
      <c r="F56" s="2832" t="s">
        <v>2635</v>
      </c>
      <c r="G56" s="2832" t="s">
        <v>2636</v>
      </c>
    </row>
    <row r="57" spans="1:7" ht="19.5" customHeight="1">
      <c r="A57" s="2858"/>
      <c r="B57" s="2832" t="s">
        <v>2603</v>
      </c>
      <c r="C57" s="2832" t="s">
        <v>2603</v>
      </c>
      <c r="D57" s="2832" t="s">
        <v>2603</v>
      </c>
      <c r="E57" s="2829" t="s">
        <v>2604</v>
      </c>
      <c r="F57" s="2829" t="s">
        <v>2606</v>
      </c>
      <c r="G57" s="2829" t="s">
        <v>2637</v>
      </c>
    </row>
    <row r="58" spans="1:7" ht="19.5" customHeight="1">
      <c r="A58" s="2859"/>
      <c r="B58" s="2829">
        <v>1</v>
      </c>
      <c r="C58" s="2829">
        <v>2</v>
      </c>
      <c r="D58" s="2829">
        <v>3</v>
      </c>
      <c r="E58" s="2860" t="s">
        <v>2638</v>
      </c>
      <c r="F58" s="2860" t="s">
        <v>2638</v>
      </c>
      <c r="G58" s="2860" t="s">
        <v>2638</v>
      </c>
    </row>
    <row r="59" spans="1:7" ht="19.5" customHeight="1">
      <c r="A59" s="2861" t="s">
        <v>2591</v>
      </c>
      <c r="B59" s="2829">
        <v>0.7</v>
      </c>
      <c r="C59" s="2829">
        <v>0.4</v>
      </c>
      <c r="D59" s="2829">
        <v>0.3</v>
      </c>
      <c r="E59" s="2860">
        <v>0.3</v>
      </c>
      <c r="F59" s="2829">
        <v>0.3</v>
      </c>
      <c r="G59" s="2829">
        <v>0.2</v>
      </c>
    </row>
    <row r="60" spans="1:7" ht="19.5" customHeight="1">
      <c r="A60" s="2861" t="s">
        <v>2592</v>
      </c>
      <c r="B60" s="2829">
        <v>0.7</v>
      </c>
      <c r="C60" s="2829">
        <v>0.4</v>
      </c>
      <c r="D60" s="2829">
        <v>0.3</v>
      </c>
      <c r="E60" s="2829">
        <v>0.3</v>
      </c>
      <c r="F60" s="2829">
        <v>0.3</v>
      </c>
      <c r="G60" s="2829">
        <v>0.2</v>
      </c>
    </row>
    <row r="61" spans="1:7" ht="19.5" customHeight="1">
      <c r="A61" s="2861" t="s">
        <v>2593</v>
      </c>
      <c r="B61" s="2829">
        <v>0.6</v>
      </c>
      <c r="C61" s="2829">
        <v>0.3</v>
      </c>
      <c r="D61" s="2829">
        <v>0.25</v>
      </c>
      <c r="E61" s="2829">
        <v>0.25</v>
      </c>
      <c r="F61" s="2829">
        <v>0.25</v>
      </c>
      <c r="G61" s="2829">
        <v>0.15</v>
      </c>
    </row>
    <row r="62" spans="1:7" ht="19.5" customHeight="1">
      <c r="A62" s="2861" t="s">
        <v>2594</v>
      </c>
      <c r="B62" s="2829">
        <v>0.6</v>
      </c>
      <c r="C62" s="2829">
        <v>0.3</v>
      </c>
      <c r="D62" s="2829">
        <v>0.25</v>
      </c>
      <c r="E62" s="2829">
        <v>0.25</v>
      </c>
      <c r="F62" s="2829">
        <v>0.25</v>
      </c>
      <c r="G62" s="2829">
        <v>0.15</v>
      </c>
    </row>
    <row r="63" spans="1:7" ht="19.5" customHeight="1">
      <c r="A63" s="2861" t="s">
        <v>2595</v>
      </c>
      <c r="B63" s="2829">
        <v>0.6</v>
      </c>
      <c r="C63" s="2829">
        <v>0.3</v>
      </c>
      <c r="D63" s="2829">
        <v>0.25</v>
      </c>
      <c r="E63" s="2829">
        <v>0.25</v>
      </c>
      <c r="F63" s="2829">
        <v>0.25</v>
      </c>
      <c r="G63" s="2829">
        <v>0.15</v>
      </c>
    </row>
    <row r="64" spans="1:7" ht="19.5" customHeight="1">
      <c r="A64" s="2861" t="s">
        <v>2596</v>
      </c>
      <c r="B64" s="2829">
        <v>0.6</v>
      </c>
      <c r="C64" s="2829">
        <v>0.3</v>
      </c>
      <c r="D64" s="2829">
        <v>0.25</v>
      </c>
      <c r="E64" s="2829">
        <v>0.25</v>
      </c>
      <c r="F64" s="2829">
        <v>0.25</v>
      </c>
      <c r="G64" s="2829">
        <v>0.15</v>
      </c>
    </row>
    <row r="65" spans="1:7" ht="19.5" customHeight="1">
      <c r="A65" s="2861" t="s">
        <v>2597</v>
      </c>
      <c r="B65" s="2829">
        <v>0.6</v>
      </c>
      <c r="C65" s="2829">
        <v>0.3</v>
      </c>
      <c r="D65" s="2829">
        <v>0.25</v>
      </c>
      <c r="E65" s="2829">
        <v>0.25</v>
      </c>
      <c r="F65" s="2829">
        <v>0.25</v>
      </c>
      <c r="G65" s="2829">
        <v>0.15</v>
      </c>
    </row>
    <row r="66" spans="1:7" ht="19.5" customHeight="1">
      <c r="A66" s="2861" t="s">
        <v>2598</v>
      </c>
      <c r="B66" s="2829">
        <v>0.5</v>
      </c>
      <c r="C66" s="2829">
        <v>0.2</v>
      </c>
      <c r="D66" s="2829">
        <v>0.2</v>
      </c>
      <c r="E66" s="2829">
        <v>0.2</v>
      </c>
      <c r="F66" s="2829">
        <v>0.2</v>
      </c>
      <c r="G66" s="2829">
        <v>0.1</v>
      </c>
    </row>
    <row r="67" spans="1:7" ht="19.5" customHeight="1">
      <c r="A67" s="2861" t="s">
        <v>2599</v>
      </c>
      <c r="B67" s="2829">
        <v>0.5</v>
      </c>
      <c r="C67" s="2829">
        <v>0.2</v>
      </c>
      <c r="D67" s="2829">
        <v>0.2</v>
      </c>
      <c r="E67" s="2829">
        <v>0.2</v>
      </c>
      <c r="F67" s="2829">
        <v>0.2</v>
      </c>
      <c r="G67" s="2829">
        <v>0.1</v>
      </c>
    </row>
    <row r="68" spans="1:7" ht="19.5" customHeight="1">
      <c r="A68" s="2861" t="s">
        <v>2600</v>
      </c>
      <c r="B68" s="2829">
        <v>0.5</v>
      </c>
      <c r="C68" s="2829">
        <v>0.2</v>
      </c>
      <c r="D68" s="2829">
        <v>0.2</v>
      </c>
      <c r="E68" s="2829">
        <v>0.2</v>
      </c>
      <c r="F68" s="2829">
        <v>0.2</v>
      </c>
      <c r="G68" s="2829">
        <v>0.1</v>
      </c>
    </row>
    <row r="69" spans="1:7" ht="19.5" customHeight="1">
      <c r="A69" s="2861" t="s">
        <v>2601</v>
      </c>
      <c r="B69" s="2829">
        <v>0.5</v>
      </c>
      <c r="C69" s="2829">
        <v>0.2</v>
      </c>
      <c r="D69" s="2829">
        <v>0.2</v>
      </c>
      <c r="E69" s="2829">
        <v>0.2</v>
      </c>
      <c r="F69" s="2829">
        <v>0.2</v>
      </c>
      <c r="G69" s="2829">
        <v>0.1</v>
      </c>
    </row>
    <row r="70" spans="1:7" ht="19.5" customHeight="1">
      <c r="A70" s="2861" t="s">
        <v>2602</v>
      </c>
      <c r="B70" s="2829">
        <v>0.5</v>
      </c>
      <c r="C70" s="2829">
        <v>0.2</v>
      </c>
      <c r="D70" s="2829">
        <v>0.2</v>
      </c>
      <c r="E70" s="2829">
        <v>0.2</v>
      </c>
      <c r="F70" s="2829">
        <v>0.2</v>
      </c>
      <c r="G70" s="2829">
        <v>0.1</v>
      </c>
    </row>
    <row r="72" spans="1:7" ht="19.5" customHeight="1">
      <c r="A72" s="2843"/>
      <c r="B72" s="2862"/>
      <c r="C72" s="2862"/>
      <c r="D72" s="2862" t="s">
        <v>2639</v>
      </c>
      <c r="E72" s="2862"/>
      <c r="F72" s="2862"/>
    </row>
    <row r="73" spans="1:7" ht="19.5" customHeight="1">
      <c r="A73" s="2855" t="s">
        <v>2640</v>
      </c>
      <c r="B73" s="2855" t="s">
        <v>2641</v>
      </c>
      <c r="C73" s="2855" t="s">
        <v>2642</v>
      </c>
      <c r="D73" s="2855" t="s">
        <v>2643</v>
      </c>
      <c r="E73" s="2855" t="s">
        <v>2644</v>
      </c>
      <c r="F73" s="2855" t="s">
        <v>2645</v>
      </c>
    </row>
    <row r="74" spans="1:7" ht="14">
      <c r="A74" s="2855"/>
      <c r="B74" s="2855"/>
      <c r="C74" s="2855" t="s">
        <v>2646</v>
      </c>
      <c r="D74" s="2855"/>
      <c r="E74" s="2855" t="s">
        <v>2617</v>
      </c>
      <c r="F74" s="2855" t="s">
        <v>2617</v>
      </c>
    </row>
    <row r="75" spans="1:7" ht="14">
      <c r="A75" s="2855">
        <v>1</v>
      </c>
      <c r="B75" s="3561" t="s">
        <v>2647</v>
      </c>
      <c r="C75" s="2829" t="s">
        <v>2648</v>
      </c>
      <c r="D75" s="2829" t="s">
        <v>2649</v>
      </c>
      <c r="E75" s="2855">
        <v>0.2</v>
      </c>
      <c r="F75" s="2855">
        <v>25</v>
      </c>
    </row>
    <row r="76" spans="1:7" ht="26">
      <c r="A76" s="2855">
        <v>2</v>
      </c>
      <c r="B76" s="3560"/>
      <c r="C76" s="2829" t="s">
        <v>2650</v>
      </c>
      <c r="D76" s="2829" t="s">
        <v>2651</v>
      </c>
      <c r="E76" s="2855">
        <v>0.2</v>
      </c>
      <c r="F76" s="2855">
        <v>25</v>
      </c>
    </row>
    <row r="77" spans="1:7" ht="26">
      <c r="A77" s="2855">
        <v>3</v>
      </c>
      <c r="B77" s="3560"/>
      <c r="C77" s="2829" t="s">
        <v>2652</v>
      </c>
      <c r="D77" s="2829" t="s">
        <v>2653</v>
      </c>
      <c r="E77" s="2855">
        <v>0.2</v>
      </c>
      <c r="F77" s="2855">
        <v>25</v>
      </c>
    </row>
    <row r="78" spans="1:7" ht="14">
      <c r="A78" s="2855">
        <v>4</v>
      </c>
      <c r="B78" s="3560"/>
      <c r="C78" s="2829" t="s">
        <v>2654</v>
      </c>
      <c r="D78" s="2829" t="s">
        <v>2655</v>
      </c>
      <c r="E78" s="2855">
        <v>0.15</v>
      </c>
      <c r="F78" s="2855">
        <v>20</v>
      </c>
    </row>
    <row r="79" spans="1:7" ht="26">
      <c r="A79" s="2855">
        <v>5</v>
      </c>
      <c r="B79" s="3560"/>
      <c r="C79" s="2829" t="s">
        <v>2656</v>
      </c>
      <c r="D79" s="2829" t="s">
        <v>2657</v>
      </c>
      <c r="E79" s="2855">
        <v>0.15</v>
      </c>
      <c r="F79" s="2855">
        <v>20</v>
      </c>
    </row>
    <row r="80" spans="1:7" ht="26">
      <c r="A80" s="2855">
        <v>6</v>
      </c>
      <c r="B80" s="3560"/>
      <c r="C80" s="2829" t="s">
        <v>2658</v>
      </c>
      <c r="D80" s="2829" t="s">
        <v>2659</v>
      </c>
      <c r="E80" s="2855">
        <v>0.15</v>
      </c>
      <c r="F80" s="2855">
        <v>20</v>
      </c>
    </row>
    <row r="81" spans="1:6" ht="26">
      <c r="A81" s="2855">
        <v>7</v>
      </c>
      <c r="B81" s="3560"/>
      <c r="C81" s="2829" t="s">
        <v>2660</v>
      </c>
      <c r="D81" s="2829" t="s">
        <v>2661</v>
      </c>
      <c r="E81" s="2855">
        <v>0.15</v>
      </c>
      <c r="F81" s="2855">
        <v>20</v>
      </c>
    </row>
    <row r="82" spans="1:6" ht="26">
      <c r="A82" s="2855">
        <v>8</v>
      </c>
      <c r="B82" s="3560"/>
      <c r="C82" s="2829" t="s">
        <v>2662</v>
      </c>
      <c r="D82" s="2829" t="s">
        <v>2663</v>
      </c>
      <c r="E82" s="2855">
        <v>0.1</v>
      </c>
      <c r="F82" s="2855">
        <v>15</v>
      </c>
    </row>
    <row r="83" spans="1:6" ht="26">
      <c r="A83" s="2855">
        <v>9</v>
      </c>
      <c r="B83" s="3560"/>
      <c r="C83" s="2829" t="s">
        <v>2664</v>
      </c>
      <c r="D83" s="2829" t="s">
        <v>2665</v>
      </c>
      <c r="E83" s="2855">
        <v>0.1</v>
      </c>
      <c r="F83" s="2855">
        <v>15</v>
      </c>
    </row>
    <row r="84" spans="1:6" ht="26">
      <c r="A84" s="2855">
        <v>10</v>
      </c>
      <c r="B84" s="3560"/>
      <c r="C84" s="2829" t="s">
        <v>2666</v>
      </c>
      <c r="D84" s="2829" t="s">
        <v>2667</v>
      </c>
      <c r="E84" s="2855">
        <v>0.1</v>
      </c>
      <c r="F84" s="2855">
        <v>15</v>
      </c>
    </row>
    <row r="85" spans="1:6" ht="26">
      <c r="A85" s="2855">
        <v>11</v>
      </c>
      <c r="B85" s="3560"/>
      <c r="C85" s="2829" t="s">
        <v>2668</v>
      </c>
      <c r="D85" s="2829" t="s">
        <v>2669</v>
      </c>
      <c r="E85" s="2855">
        <v>0.1</v>
      </c>
      <c r="F85" s="2855">
        <v>15</v>
      </c>
    </row>
    <row r="86" spans="1:6" ht="26">
      <c r="A86" s="2855">
        <v>12</v>
      </c>
      <c r="B86" s="3560"/>
      <c r="C86" s="2829" t="s">
        <v>2670</v>
      </c>
      <c r="D86" s="2829" t="s">
        <v>2671</v>
      </c>
      <c r="E86" s="2855">
        <v>0.1</v>
      </c>
      <c r="F86" s="2855">
        <v>15</v>
      </c>
    </row>
    <row r="87" spans="1:6" ht="14">
      <c r="A87" s="2855">
        <v>13</v>
      </c>
      <c r="B87" s="3560"/>
      <c r="C87" s="2829" t="s">
        <v>2672</v>
      </c>
      <c r="D87" s="2829" t="s">
        <v>2673</v>
      </c>
      <c r="E87" s="2855">
        <v>0.1</v>
      </c>
      <c r="F87" s="2855">
        <v>15</v>
      </c>
    </row>
    <row r="88" spans="1:6" ht="14">
      <c r="A88" s="2855">
        <v>14</v>
      </c>
      <c r="B88" s="3560"/>
      <c r="C88" s="2829" t="s">
        <v>2674</v>
      </c>
      <c r="D88" s="2829" t="s">
        <v>2675</v>
      </c>
      <c r="E88" s="2855">
        <v>0.1</v>
      </c>
      <c r="F88" s="2855">
        <v>15</v>
      </c>
    </row>
    <row r="89" spans="1:6" ht="14">
      <c r="A89" s="2855">
        <v>15</v>
      </c>
      <c r="B89" s="3560"/>
      <c r="C89" s="2829" t="s">
        <v>2676</v>
      </c>
      <c r="D89" s="2829" t="s">
        <v>2677</v>
      </c>
      <c r="E89" s="2855">
        <v>0.1</v>
      </c>
      <c r="F89" s="2855">
        <v>15</v>
      </c>
    </row>
    <row r="90" spans="1:6" ht="26">
      <c r="A90" s="2855">
        <v>16</v>
      </c>
      <c r="B90" s="3560"/>
      <c r="C90" s="2829" t="s">
        <v>2678</v>
      </c>
      <c r="D90" s="2829" t="s">
        <v>2679</v>
      </c>
      <c r="E90" s="2855">
        <v>0.1</v>
      </c>
      <c r="F90" s="2855">
        <v>15</v>
      </c>
    </row>
    <row r="91" spans="1:6" ht="26">
      <c r="A91" s="2855">
        <v>17</v>
      </c>
      <c r="B91" s="3566"/>
      <c r="C91" s="2829" t="s">
        <v>2680</v>
      </c>
      <c r="D91" s="2829" t="s">
        <v>2681</v>
      </c>
      <c r="E91" s="2855">
        <v>0.1</v>
      </c>
      <c r="F91" s="2855">
        <v>15</v>
      </c>
    </row>
    <row r="92" spans="1:6" ht="14">
      <c r="A92" s="2855">
        <v>18</v>
      </c>
      <c r="B92" s="3561" t="s">
        <v>2682</v>
      </c>
      <c r="C92" s="2829" t="s">
        <v>2683</v>
      </c>
      <c r="D92" s="2829" t="s">
        <v>2684</v>
      </c>
      <c r="E92" s="2855">
        <v>0.2</v>
      </c>
      <c r="F92" s="2855">
        <v>25</v>
      </c>
    </row>
    <row r="93" spans="1:6" ht="26">
      <c r="A93" s="2855">
        <v>19</v>
      </c>
      <c r="B93" s="3560"/>
      <c r="C93" s="2829" t="s">
        <v>2685</v>
      </c>
      <c r="D93" s="2829" t="s">
        <v>2686</v>
      </c>
      <c r="E93" s="2855">
        <v>0.2</v>
      </c>
      <c r="F93" s="2855">
        <v>25</v>
      </c>
    </row>
    <row r="94" spans="1:6" ht="14">
      <c r="A94" s="2855">
        <v>20</v>
      </c>
      <c r="B94" s="3560"/>
      <c r="C94" s="2829" t="s">
        <v>2687</v>
      </c>
      <c r="D94" s="2829" t="s">
        <v>2688</v>
      </c>
      <c r="E94" s="2855">
        <v>0.15</v>
      </c>
      <c r="F94" s="2855">
        <v>20</v>
      </c>
    </row>
    <row r="95" spans="1:6" ht="26">
      <c r="A95" s="2855">
        <v>21</v>
      </c>
      <c r="B95" s="3560"/>
      <c r="C95" s="2829" t="s">
        <v>2689</v>
      </c>
      <c r="D95" s="2829" t="s">
        <v>2690</v>
      </c>
      <c r="E95" s="2855">
        <v>0.15</v>
      </c>
      <c r="F95" s="2855">
        <v>20</v>
      </c>
    </row>
    <row r="96" spans="1:6" ht="26">
      <c r="A96" s="2855">
        <v>22</v>
      </c>
      <c r="B96" s="3560"/>
      <c r="C96" s="2829" t="s">
        <v>2691</v>
      </c>
      <c r="D96" s="2829" t="s">
        <v>2692</v>
      </c>
      <c r="E96" s="2855">
        <v>0.15</v>
      </c>
      <c r="F96" s="2855">
        <v>20</v>
      </c>
    </row>
    <row r="97" spans="1:6" ht="39">
      <c r="A97" s="2855">
        <v>23</v>
      </c>
      <c r="B97" s="3560"/>
      <c r="C97" s="2829" t="s">
        <v>2693</v>
      </c>
      <c r="D97" s="2829" t="s">
        <v>2694</v>
      </c>
      <c r="E97" s="2855">
        <v>0.15</v>
      </c>
      <c r="F97" s="2855">
        <v>20</v>
      </c>
    </row>
    <row r="98" spans="1:6" ht="14">
      <c r="A98" s="2855">
        <v>24</v>
      </c>
      <c r="B98" s="3560"/>
      <c r="C98" s="2829" t="s">
        <v>2695</v>
      </c>
      <c r="D98" s="2829" t="s">
        <v>2696</v>
      </c>
      <c r="E98" s="2855">
        <v>0.1</v>
      </c>
      <c r="F98" s="2855">
        <v>15</v>
      </c>
    </row>
    <row r="99" spans="1:6" ht="26">
      <c r="A99" s="2855">
        <v>25</v>
      </c>
      <c r="B99" s="3560"/>
      <c r="C99" s="2829" t="s">
        <v>2697</v>
      </c>
      <c r="D99" s="2829" t="s">
        <v>2698</v>
      </c>
      <c r="E99" s="2855">
        <v>0.1</v>
      </c>
      <c r="F99" s="2855">
        <v>15</v>
      </c>
    </row>
    <row r="100" spans="1:6" ht="26">
      <c r="A100" s="2855">
        <v>26</v>
      </c>
      <c r="B100" s="3560"/>
      <c r="C100" s="2829" t="s">
        <v>2699</v>
      </c>
      <c r="D100" s="2829" t="s">
        <v>2700</v>
      </c>
      <c r="E100" s="2855">
        <v>0.1</v>
      </c>
      <c r="F100" s="2855">
        <v>15</v>
      </c>
    </row>
    <row r="101" spans="1:6" ht="26">
      <c r="A101" s="2855">
        <v>27</v>
      </c>
      <c r="B101" s="3560"/>
      <c r="C101" s="2829" t="s">
        <v>2701</v>
      </c>
      <c r="D101" s="2829" t="s">
        <v>2702</v>
      </c>
      <c r="E101" s="2855">
        <v>0.1</v>
      </c>
      <c r="F101" s="2855">
        <v>15</v>
      </c>
    </row>
    <row r="102" spans="1:6" ht="26">
      <c r="A102" s="2855">
        <v>28</v>
      </c>
      <c r="B102" s="3560"/>
      <c r="C102" s="2829" t="s">
        <v>2703</v>
      </c>
      <c r="D102" s="2829" t="s">
        <v>2704</v>
      </c>
      <c r="E102" s="2855">
        <v>0.1</v>
      </c>
      <c r="F102" s="2855">
        <v>15</v>
      </c>
    </row>
    <row r="103" spans="1:6" ht="26">
      <c r="A103" s="2855">
        <v>29</v>
      </c>
      <c r="B103" s="3560"/>
      <c r="C103" s="2829" t="s">
        <v>2705</v>
      </c>
      <c r="D103" s="2829" t="s">
        <v>2706</v>
      </c>
      <c r="E103" s="2855">
        <v>0.1</v>
      </c>
      <c r="F103" s="2855">
        <v>15</v>
      </c>
    </row>
    <row r="104" spans="1:6" ht="26">
      <c r="A104" s="2855">
        <v>30</v>
      </c>
      <c r="B104" s="3560"/>
      <c r="C104" s="2829" t="s">
        <v>2707</v>
      </c>
      <c r="D104" s="2829" t="s">
        <v>2708</v>
      </c>
      <c r="E104" s="2855">
        <v>0.1</v>
      </c>
      <c r="F104" s="2855">
        <v>15</v>
      </c>
    </row>
    <row r="105" spans="1:6" ht="26">
      <c r="A105" s="2855">
        <v>31</v>
      </c>
      <c r="B105" s="3560"/>
      <c r="C105" s="2829" t="s">
        <v>2709</v>
      </c>
      <c r="D105" s="2829" t="s">
        <v>2710</v>
      </c>
      <c r="E105" s="2855">
        <v>0.1</v>
      </c>
      <c r="F105" s="2855">
        <v>15</v>
      </c>
    </row>
    <row r="106" spans="1:6" ht="26">
      <c r="A106" s="2855">
        <v>32</v>
      </c>
      <c r="B106" s="3560"/>
      <c r="C106" s="2829" t="s">
        <v>2711</v>
      </c>
      <c r="D106" s="2829" t="s">
        <v>2712</v>
      </c>
      <c r="E106" s="2855">
        <v>0.1</v>
      </c>
      <c r="F106" s="2855">
        <v>15</v>
      </c>
    </row>
    <row r="107" spans="1:6" ht="26">
      <c r="A107" s="2855">
        <v>33</v>
      </c>
      <c r="B107" s="3560"/>
      <c r="C107" s="2829" t="s">
        <v>2713</v>
      </c>
      <c r="D107" s="2829" t="s">
        <v>2714</v>
      </c>
      <c r="E107" s="2855">
        <v>0.1</v>
      </c>
      <c r="F107" s="2855">
        <v>15</v>
      </c>
    </row>
    <row r="108" spans="1:6" ht="26">
      <c r="A108" s="2855">
        <v>34</v>
      </c>
      <c r="B108" s="3566"/>
      <c r="C108" s="2829" t="s">
        <v>2715</v>
      </c>
      <c r="D108" s="2829" t="s">
        <v>2716</v>
      </c>
      <c r="E108" s="2855">
        <v>0.1</v>
      </c>
      <c r="F108" s="2855">
        <v>15</v>
      </c>
    </row>
    <row r="109" spans="1:6" ht="26">
      <c r="A109" s="2855">
        <v>35</v>
      </c>
      <c r="B109" s="3561" t="s">
        <v>2717</v>
      </c>
      <c r="C109" s="2855" t="s">
        <v>2718</v>
      </c>
      <c r="D109" s="2829" t="s">
        <v>2719</v>
      </c>
      <c r="E109" s="2855">
        <v>0.15</v>
      </c>
      <c r="F109" s="2855">
        <v>20</v>
      </c>
    </row>
    <row r="110" spans="1:6" ht="26">
      <c r="A110" s="2855">
        <v>36</v>
      </c>
      <c r="B110" s="3560"/>
      <c r="C110" s="2855" t="s">
        <v>2720</v>
      </c>
      <c r="D110" s="2829" t="s">
        <v>2721</v>
      </c>
      <c r="E110" s="2855">
        <v>0.15</v>
      </c>
      <c r="F110" s="2855">
        <v>20</v>
      </c>
    </row>
    <row r="111" spans="1:6" ht="26">
      <c r="A111" s="2855">
        <v>37</v>
      </c>
      <c r="B111" s="3560"/>
      <c r="C111" s="2855" t="s">
        <v>2722</v>
      </c>
      <c r="D111" s="2829" t="s">
        <v>2723</v>
      </c>
      <c r="E111" s="2855">
        <v>0.15</v>
      </c>
      <c r="F111" s="2855">
        <v>20</v>
      </c>
    </row>
    <row r="112" spans="1:6" ht="14">
      <c r="A112" s="2855">
        <v>38</v>
      </c>
      <c r="B112" s="3560"/>
      <c r="C112" s="2855" t="s">
        <v>2724</v>
      </c>
      <c r="D112" s="2829" t="s">
        <v>2725</v>
      </c>
      <c r="E112" s="2855">
        <v>0.1</v>
      </c>
      <c r="F112" s="2855">
        <v>15</v>
      </c>
    </row>
    <row r="113" spans="1:6" ht="26">
      <c r="A113" s="2855">
        <v>39</v>
      </c>
      <c r="B113" s="3560"/>
      <c r="C113" s="2855" t="s">
        <v>2726</v>
      </c>
      <c r="D113" s="2829" t="s">
        <v>2727</v>
      </c>
      <c r="E113" s="2855">
        <v>0.1</v>
      </c>
      <c r="F113" s="2855">
        <v>15</v>
      </c>
    </row>
    <row r="114" spans="1:6" ht="26">
      <c r="A114" s="2855">
        <v>40</v>
      </c>
      <c r="B114" s="3566"/>
      <c r="C114" s="2855" t="s">
        <v>2728</v>
      </c>
      <c r="D114" s="2829" t="s">
        <v>2729</v>
      </c>
      <c r="E114" s="2855">
        <v>0.1</v>
      </c>
      <c r="F114" s="2855">
        <v>15</v>
      </c>
    </row>
    <row r="115" spans="1:6" ht="26">
      <c r="A115" s="2855">
        <v>41</v>
      </c>
      <c r="B115" s="3554" t="s">
        <v>2730</v>
      </c>
      <c r="C115" s="2855" t="s">
        <v>2731</v>
      </c>
      <c r="D115" s="2829" t="s">
        <v>2732</v>
      </c>
      <c r="E115" s="2855">
        <v>0.1</v>
      </c>
      <c r="F115" s="2855">
        <v>15</v>
      </c>
    </row>
    <row r="116" spans="1:6" ht="14">
      <c r="A116" s="2855">
        <v>42</v>
      </c>
      <c r="B116" s="3554"/>
      <c r="C116" s="2855" t="s">
        <v>2733</v>
      </c>
      <c r="D116" s="2829" t="s">
        <v>2734</v>
      </c>
      <c r="E116" s="2855">
        <v>0.1</v>
      </c>
      <c r="F116" s="2855">
        <v>15</v>
      </c>
    </row>
    <row r="117" spans="1:6" ht="26">
      <c r="A117" s="2855">
        <v>43</v>
      </c>
      <c r="B117" s="3554"/>
      <c r="C117" s="2855" t="s">
        <v>2735</v>
      </c>
      <c r="D117" s="2829" t="s">
        <v>2736</v>
      </c>
      <c r="E117" s="2855">
        <v>0.1</v>
      </c>
      <c r="F117" s="2855">
        <v>15</v>
      </c>
    </row>
    <row r="118" spans="1:6" ht="26">
      <c r="A118" s="2855">
        <v>44</v>
      </c>
      <c r="B118" s="3561" t="s">
        <v>2737</v>
      </c>
      <c r="C118" s="2855" t="s">
        <v>2738</v>
      </c>
      <c r="D118" s="2829" t="s">
        <v>2739</v>
      </c>
      <c r="E118" s="2855">
        <v>0.1</v>
      </c>
      <c r="F118" s="2855">
        <v>15</v>
      </c>
    </row>
    <row r="119" spans="1:6" ht="26">
      <c r="A119" s="2855">
        <v>45</v>
      </c>
      <c r="B119" s="3566"/>
      <c r="C119" s="2829" t="s">
        <v>2740</v>
      </c>
      <c r="D119" s="2829" t="s">
        <v>2741</v>
      </c>
      <c r="E119" s="2855">
        <v>0.1</v>
      </c>
      <c r="F119" s="2855">
        <v>15</v>
      </c>
    </row>
    <row r="120" spans="1:6" ht="26">
      <c r="A120" s="2855">
        <v>46</v>
      </c>
      <c r="B120" s="3561" t="s">
        <v>2742</v>
      </c>
      <c r="C120" s="2855" t="s">
        <v>2743</v>
      </c>
      <c r="D120" s="2829" t="s">
        <v>2744</v>
      </c>
      <c r="E120" s="2855">
        <v>0.1</v>
      </c>
      <c r="F120" s="2855">
        <v>15</v>
      </c>
    </row>
    <row r="121" spans="1:6" ht="26">
      <c r="A121" s="2855">
        <v>47</v>
      </c>
      <c r="B121" s="3566"/>
      <c r="C121" s="2855" t="s">
        <v>2745</v>
      </c>
      <c r="D121" s="2829" t="s">
        <v>2746</v>
      </c>
      <c r="E121" s="2855">
        <v>0.1</v>
      </c>
      <c r="F121" s="2855">
        <v>15</v>
      </c>
    </row>
    <row r="122" spans="1:6" ht="26">
      <c r="A122" s="2855">
        <v>48</v>
      </c>
      <c r="B122" s="3561" t="s">
        <v>2747</v>
      </c>
      <c r="C122" s="2855" t="s">
        <v>2748</v>
      </c>
      <c r="D122" s="2829" t="s">
        <v>2749</v>
      </c>
      <c r="E122" s="2855">
        <v>0.1</v>
      </c>
      <c r="F122" s="2855">
        <v>15</v>
      </c>
    </row>
    <row r="123" spans="1:6" ht="14">
      <c r="A123" s="2855">
        <v>49</v>
      </c>
      <c r="B123" s="3566"/>
      <c r="C123" s="2855" t="s">
        <v>2750</v>
      </c>
      <c r="D123" s="2829" t="s">
        <v>2751</v>
      </c>
      <c r="E123" s="2855">
        <v>0.1</v>
      </c>
      <c r="F123" s="2855">
        <v>15</v>
      </c>
    </row>
    <row r="124" spans="1:6" ht="26">
      <c r="A124" s="2855">
        <v>50</v>
      </c>
      <c r="B124" s="3554" t="s">
        <v>2752</v>
      </c>
      <c r="C124" s="2855" t="s">
        <v>2753</v>
      </c>
      <c r="D124" s="2829" t="s">
        <v>2754</v>
      </c>
      <c r="E124" s="2855">
        <v>0.1</v>
      </c>
      <c r="F124" s="2855">
        <v>15</v>
      </c>
    </row>
    <row r="125" spans="1:6" ht="26">
      <c r="A125" s="2855">
        <v>51</v>
      </c>
      <c r="B125" s="3554"/>
      <c r="C125" s="2855" t="s">
        <v>2755</v>
      </c>
      <c r="D125" s="2829" t="s">
        <v>2756</v>
      </c>
      <c r="E125" s="2855">
        <v>0.1</v>
      </c>
      <c r="F125" s="2855">
        <v>15</v>
      </c>
    </row>
    <row r="126" spans="1:6" ht="26">
      <c r="A126" s="2855">
        <v>52</v>
      </c>
      <c r="B126" s="3554" t="s">
        <v>2757</v>
      </c>
      <c r="C126" s="2855" t="s">
        <v>2758</v>
      </c>
      <c r="D126" s="2829" t="s">
        <v>2759</v>
      </c>
      <c r="E126" s="2855">
        <v>0.1</v>
      </c>
      <c r="F126" s="2855">
        <v>15</v>
      </c>
    </row>
    <row r="127" spans="1:6" ht="26">
      <c r="A127" s="2855">
        <v>53</v>
      </c>
      <c r="B127" s="3554"/>
      <c r="C127" s="2855" t="s">
        <v>2760</v>
      </c>
      <c r="D127" s="2829" t="s">
        <v>2761</v>
      </c>
      <c r="E127" s="2855">
        <v>0.1</v>
      </c>
      <c r="F127" s="2855">
        <v>15</v>
      </c>
    </row>
    <row r="128" spans="1:6" ht="26">
      <c r="A128" s="2855">
        <v>54</v>
      </c>
      <c r="B128" s="2855" t="s">
        <v>2762</v>
      </c>
      <c r="C128" s="2855" t="s">
        <v>2763</v>
      </c>
      <c r="D128" s="2829" t="s">
        <v>2764</v>
      </c>
      <c r="E128" s="2855">
        <v>0.1</v>
      </c>
      <c r="F128" s="2855">
        <v>15</v>
      </c>
    </row>
    <row r="129" spans="1:6" ht="14">
      <c r="A129" s="2855">
        <v>55</v>
      </c>
      <c r="B129" s="3554" t="s">
        <v>2765</v>
      </c>
      <c r="C129" s="2855" t="s">
        <v>2766</v>
      </c>
      <c r="D129" s="2829" t="s">
        <v>2767</v>
      </c>
      <c r="E129" s="2855">
        <v>0.1</v>
      </c>
      <c r="F129" s="2855">
        <v>15</v>
      </c>
    </row>
    <row r="130" spans="1:6" ht="14">
      <c r="A130" s="2855">
        <v>56</v>
      </c>
      <c r="B130" s="3554"/>
      <c r="C130" s="2855" t="s">
        <v>2768</v>
      </c>
      <c r="D130" s="2829" t="s">
        <v>2769</v>
      </c>
      <c r="E130" s="2855">
        <v>0.1</v>
      </c>
      <c r="F130" s="2855">
        <v>15</v>
      </c>
    </row>
    <row r="131" spans="1:6" ht="26">
      <c r="A131" s="2855">
        <v>57</v>
      </c>
      <c r="B131" s="3554"/>
      <c r="C131" s="2855" t="s">
        <v>2770</v>
      </c>
      <c r="D131" s="2829" t="s">
        <v>2771</v>
      </c>
      <c r="E131" s="2855">
        <v>0.1</v>
      </c>
      <c r="F131" s="2855">
        <v>15</v>
      </c>
    </row>
    <row r="132" spans="1:6" ht="26">
      <c r="A132" s="2855">
        <v>58</v>
      </c>
      <c r="B132" s="3554" t="s">
        <v>2772</v>
      </c>
      <c r="C132" s="2855" t="s">
        <v>2773</v>
      </c>
      <c r="D132" s="2829" t="s">
        <v>2774</v>
      </c>
      <c r="E132" s="2855">
        <v>0.1</v>
      </c>
      <c r="F132" s="2855">
        <v>15</v>
      </c>
    </row>
    <row r="133" spans="1:6" ht="26">
      <c r="A133" s="2855">
        <v>59</v>
      </c>
      <c r="B133" s="3554"/>
      <c r="C133" s="2855" t="s">
        <v>2775</v>
      </c>
      <c r="D133" s="2829" t="s">
        <v>2776</v>
      </c>
      <c r="E133" s="2855">
        <v>0.1</v>
      </c>
      <c r="F133" s="2855">
        <v>15</v>
      </c>
    </row>
    <row r="134" spans="1:6" ht="26">
      <c r="A134" s="2855">
        <v>60</v>
      </c>
      <c r="B134" s="3561" t="s">
        <v>2777</v>
      </c>
      <c r="C134" s="2855" t="s">
        <v>2778</v>
      </c>
      <c r="D134" s="2829" t="s">
        <v>2779</v>
      </c>
      <c r="E134" s="2855">
        <v>0.1</v>
      </c>
      <c r="F134" s="2855">
        <v>15</v>
      </c>
    </row>
    <row r="135" spans="1:6" ht="26">
      <c r="A135" s="2855">
        <v>61</v>
      </c>
      <c r="B135" s="3566"/>
      <c r="C135" s="2855" t="s">
        <v>2780</v>
      </c>
      <c r="D135" s="2829" t="s">
        <v>2781</v>
      </c>
      <c r="E135" s="2855">
        <v>0.1</v>
      </c>
      <c r="F135" s="2855">
        <v>15</v>
      </c>
    </row>
    <row r="136" spans="1:6" ht="26">
      <c r="A136" s="2855">
        <v>62</v>
      </c>
      <c r="B136" s="2855" t="s">
        <v>2782</v>
      </c>
      <c r="C136" s="2855" t="s">
        <v>2783</v>
      </c>
      <c r="D136" s="2829" t="s">
        <v>2784</v>
      </c>
      <c r="E136" s="2855">
        <v>0.1</v>
      </c>
      <c r="F136" s="2855">
        <v>15</v>
      </c>
    </row>
    <row r="137" spans="1:6" ht="26">
      <c r="A137" s="2855">
        <v>63</v>
      </c>
      <c r="B137" s="3554" t="s">
        <v>2785</v>
      </c>
      <c r="C137" s="2855" t="s">
        <v>2786</v>
      </c>
      <c r="D137" s="2829" t="s">
        <v>2787</v>
      </c>
      <c r="E137" s="2855">
        <v>0.1</v>
      </c>
      <c r="F137" s="2855">
        <v>15</v>
      </c>
    </row>
    <row r="138" spans="1:6" ht="14">
      <c r="A138" s="2855">
        <v>64</v>
      </c>
      <c r="B138" s="3554"/>
      <c r="C138" s="2855" t="s">
        <v>2788</v>
      </c>
      <c r="D138" s="2829" t="s">
        <v>2789</v>
      </c>
      <c r="E138" s="2855">
        <v>0.1</v>
      </c>
      <c r="F138" s="2855">
        <v>15</v>
      </c>
    </row>
    <row r="139" spans="1:6" ht="26">
      <c r="A139" s="2855">
        <v>65</v>
      </c>
      <c r="B139" s="2855" t="s">
        <v>2790</v>
      </c>
      <c r="C139" s="2855" t="s">
        <v>2791</v>
      </c>
      <c r="D139" s="2829" t="s">
        <v>2792</v>
      </c>
      <c r="E139" s="2855">
        <v>0.1</v>
      </c>
      <c r="F139" s="2855">
        <v>15</v>
      </c>
    </row>
    <row r="140" spans="1:6" ht="14">
      <c r="A140" s="2855"/>
      <c r="B140" s="2855"/>
      <c r="C140" s="2855"/>
      <c r="D140" s="2855"/>
      <c r="E140" s="2855" t="s">
        <v>2793</v>
      </c>
      <c r="F140" s="2855" t="s">
        <v>2793</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7"/>
  </cols>
  <sheetData>
    <row r="1" spans="1:20" ht="15.5" thickBot="1">
      <c r="A1" s="2863" t="s">
        <v>2794</v>
      </c>
      <c r="B1" s="2863"/>
      <c r="C1" s="2863"/>
      <c r="D1" s="2863"/>
      <c r="E1" s="2863"/>
      <c r="F1" s="2863"/>
      <c r="G1" s="2863"/>
      <c r="H1" s="2863"/>
      <c r="I1" s="2863"/>
      <c r="J1" s="2863"/>
      <c r="K1" s="2863"/>
      <c r="L1" s="2863"/>
      <c r="M1" s="2863"/>
      <c r="N1" s="707"/>
    </row>
    <row r="2" spans="1:20">
      <c r="A2" s="2864" t="s">
        <v>2795</v>
      </c>
      <c r="B2" s="2865" t="s">
        <v>2591</v>
      </c>
      <c r="C2" s="2865" t="s">
        <v>2592</v>
      </c>
      <c r="D2" s="2865" t="s">
        <v>2593</v>
      </c>
      <c r="E2" s="2865" t="s">
        <v>2594</v>
      </c>
      <c r="F2" s="2865" t="s">
        <v>2595</v>
      </c>
      <c r="G2" s="2865" t="s">
        <v>2596</v>
      </c>
      <c r="H2" s="2866" t="s">
        <v>2597</v>
      </c>
      <c r="I2" s="2866" t="s">
        <v>2598</v>
      </c>
      <c r="J2" s="2867" t="s">
        <v>2599</v>
      </c>
      <c r="K2" s="2867" t="s">
        <v>2600</v>
      </c>
      <c r="L2" s="2867" t="s">
        <v>2601</v>
      </c>
      <c r="M2" s="2868" t="s">
        <v>2602</v>
      </c>
      <c r="Q2" s="2878" t="s">
        <v>2800</v>
      </c>
      <c r="R2" s="2878" t="s">
        <v>2801</v>
      </c>
      <c r="S2" s="2878" t="s">
        <v>2802</v>
      </c>
      <c r="T2" s="2878" t="s">
        <v>2803</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5" thickBot="1">
      <c r="A93" s="2863" t="s">
        <v>2796</v>
      </c>
      <c r="B93" s="2863"/>
      <c r="C93" s="2863"/>
      <c r="D93" s="2863"/>
      <c r="E93" s="2863"/>
      <c r="F93" s="2863"/>
      <c r="G93" s="2863"/>
      <c r="H93" s="2863"/>
      <c r="I93" s="2863"/>
      <c r="J93" s="2863"/>
      <c r="K93" s="2863"/>
      <c r="L93" s="2863"/>
      <c r="M93" s="2863"/>
    </row>
    <row r="94" spans="1:20">
      <c r="A94" s="2864" t="s">
        <v>2795</v>
      </c>
      <c r="B94" s="2865" t="s">
        <v>2591</v>
      </c>
      <c r="C94" s="2865" t="s">
        <v>2592</v>
      </c>
      <c r="D94" s="2865" t="s">
        <v>2593</v>
      </c>
      <c r="E94" s="2865" t="s">
        <v>2594</v>
      </c>
      <c r="F94" s="2865" t="s">
        <v>2595</v>
      </c>
      <c r="G94" s="2865" t="s">
        <v>2596</v>
      </c>
      <c r="H94" s="2866" t="s">
        <v>2597</v>
      </c>
      <c r="I94" s="2866" t="s">
        <v>2598</v>
      </c>
      <c r="J94" s="2867" t="s">
        <v>2599</v>
      </c>
      <c r="K94" s="2867" t="s">
        <v>2600</v>
      </c>
      <c r="L94" s="2867" t="s">
        <v>2601</v>
      </c>
      <c r="M94" s="2868" t="s">
        <v>2602</v>
      </c>
      <c r="N94">
        <f>SUMPRODUCT((A95:A184=ROUNDDOWN(基准地价修正!G3,1))*(B94:M94=基准地价修正!G2)*(B95:M184))</f>
        <v>0</v>
      </c>
      <c r="Q94" s="2878" t="s">
        <v>2800</v>
      </c>
      <c r="R94" s="2878" t="s">
        <v>2801</v>
      </c>
      <c r="S94" s="2878" t="s">
        <v>2802</v>
      </c>
      <c r="T94" s="2878" t="s">
        <v>2803</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5" thickBot="1">
      <c r="A185" s="2863" t="s">
        <v>2797</v>
      </c>
      <c r="B185" s="2863"/>
      <c r="C185" s="2863"/>
      <c r="D185" s="2863"/>
      <c r="E185" s="2863"/>
      <c r="F185" s="2863"/>
      <c r="G185" s="2863"/>
      <c r="H185" s="2863"/>
      <c r="I185" s="2863"/>
      <c r="J185" s="2863"/>
      <c r="K185" s="2863"/>
      <c r="L185" s="2863"/>
      <c r="M185" s="2863"/>
    </row>
    <row r="186" spans="1:20">
      <c r="A186" s="2864" t="s">
        <v>2795</v>
      </c>
      <c r="B186" s="2865" t="s">
        <v>2591</v>
      </c>
      <c r="C186" s="2865" t="s">
        <v>2592</v>
      </c>
      <c r="D186" s="2865" t="s">
        <v>2593</v>
      </c>
      <c r="E186" s="2865" t="s">
        <v>2594</v>
      </c>
      <c r="F186" s="2865" t="s">
        <v>2595</v>
      </c>
      <c r="G186" s="2865" t="s">
        <v>2596</v>
      </c>
      <c r="H186" s="2866" t="s">
        <v>2597</v>
      </c>
      <c r="I186" s="2866" t="s">
        <v>2598</v>
      </c>
      <c r="J186" s="2867" t="s">
        <v>2599</v>
      </c>
      <c r="K186" s="2867" t="s">
        <v>2600</v>
      </c>
      <c r="L186" s="2867" t="s">
        <v>2601</v>
      </c>
      <c r="M186" s="2868" t="s">
        <v>2602</v>
      </c>
      <c r="Q186" s="2878" t="s">
        <v>2800</v>
      </c>
      <c r="R186" s="2878" t="s">
        <v>2801</v>
      </c>
      <c r="S186" s="2878" t="s">
        <v>2802</v>
      </c>
      <c r="T186" s="2878" t="s">
        <v>2803</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5" thickBot="1">
      <c r="A277" s="2863" t="s">
        <v>2798</v>
      </c>
      <c r="B277" s="2863"/>
      <c r="C277" s="2863"/>
      <c r="D277" s="2863"/>
      <c r="E277" s="2863"/>
      <c r="F277" s="2863"/>
      <c r="G277" s="2863"/>
      <c r="H277" s="2863"/>
      <c r="I277" s="2863"/>
      <c r="J277" s="2863"/>
      <c r="K277" s="2863"/>
      <c r="L277" s="2863"/>
      <c r="M277" s="2863"/>
    </row>
    <row r="278" spans="1:21">
      <c r="A278" s="2864" t="s">
        <v>2795</v>
      </c>
      <c r="B278" s="2865" t="s">
        <v>2591</v>
      </c>
      <c r="C278" s="2865" t="s">
        <v>2592</v>
      </c>
      <c r="D278" s="2865" t="s">
        <v>2593</v>
      </c>
      <c r="E278" s="2865" t="s">
        <v>2594</v>
      </c>
      <c r="F278" s="2865" t="s">
        <v>2595</v>
      </c>
      <c r="G278" s="2865" t="s">
        <v>2596</v>
      </c>
      <c r="H278" s="2866" t="s">
        <v>2597</v>
      </c>
      <c r="I278" s="2866" t="s">
        <v>2598</v>
      </c>
      <c r="J278" s="2867" t="s">
        <v>2599</v>
      </c>
      <c r="K278" s="2867" t="s">
        <v>2600</v>
      </c>
      <c r="L278" s="2867" t="s">
        <v>2601</v>
      </c>
      <c r="M278" s="2868" t="s">
        <v>2602</v>
      </c>
      <c r="Q278" s="2878" t="s">
        <v>2800</v>
      </c>
      <c r="R278" s="2878" t="s">
        <v>2801</v>
      </c>
      <c r="S278" s="2878" t="s">
        <v>2804</v>
      </c>
      <c r="T278" s="2878" t="s">
        <v>2805</v>
      </c>
      <c r="U278" s="2878" t="s">
        <v>2803</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5" thickBot="1">
      <c r="A369" s="2863" t="s">
        <v>2799</v>
      </c>
      <c r="B369" s="2876"/>
      <c r="C369" s="2876"/>
      <c r="D369" s="2876"/>
      <c r="E369" s="2876"/>
      <c r="F369" s="2876"/>
      <c r="G369" s="2876"/>
      <c r="H369" s="2876"/>
      <c r="I369" s="2876"/>
      <c r="J369" s="2876"/>
      <c r="K369" s="2876"/>
      <c r="L369" s="2876"/>
      <c r="M369" s="2876"/>
    </row>
    <row r="370" spans="1:20">
      <c r="A370" s="2864" t="s">
        <v>2795</v>
      </c>
      <c r="B370" s="2865" t="s">
        <v>2591</v>
      </c>
      <c r="C370" s="2865" t="s">
        <v>2592</v>
      </c>
      <c r="D370" s="2865" t="s">
        <v>2593</v>
      </c>
      <c r="E370" s="2865" t="s">
        <v>2594</v>
      </c>
      <c r="F370" s="2865" t="s">
        <v>2595</v>
      </c>
      <c r="G370" s="2865" t="s">
        <v>2596</v>
      </c>
      <c r="H370" s="2866" t="s">
        <v>2597</v>
      </c>
      <c r="I370" s="2866" t="s">
        <v>2598</v>
      </c>
      <c r="J370" s="2867" t="s">
        <v>2599</v>
      </c>
      <c r="K370" s="2867" t="s">
        <v>2600</v>
      </c>
      <c r="L370" s="2867" t="s">
        <v>2601</v>
      </c>
      <c r="M370" s="2868" t="s">
        <v>2602</v>
      </c>
      <c r="N370">
        <f>SUMPRODUCT((A371:A460=ROUNDDOWN(基准地价修正!G3,1))*(B370:M370=基准地价修正!G2)*(B371:M460))</f>
        <v>0</v>
      </c>
      <c r="Q370" s="2878" t="s">
        <v>2800</v>
      </c>
      <c r="R370" s="2878" t="s">
        <v>2801</v>
      </c>
      <c r="S370" s="2878" t="s">
        <v>2802</v>
      </c>
      <c r="T370" s="2878" t="s">
        <v>2803</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65946</v>
      </c>
      <c r="C2" s="2" t="s">
        <v>106</v>
      </c>
      <c r="D2" s="191"/>
      <c r="E2" s="191"/>
      <c r="F2" s="191"/>
      <c r="G2" s="191"/>
    </row>
    <row r="3" spans="1:7" s="192" customFormat="1" ht="18" customHeight="1" thickBot="1">
      <c r="A3" s="195" t="s">
        <v>58</v>
      </c>
      <c r="B3" s="196">
        <f ca="1">ROUND(B2*10000/'数据-汇总表'!E3,0)</f>
        <v>11806</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1117</v>
      </c>
      <c r="D10" s="795">
        <f>'数据-汇总表'!E6</f>
        <v>55858.959999999992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1117</v>
      </c>
      <c r="D19" s="204">
        <f>'数据-汇总表'!E3</f>
        <v>55858.959999999992</v>
      </c>
      <c r="E19" s="203">
        <f>'数据-取费表'!B31</f>
        <v>200</v>
      </c>
      <c r="F19" s="223"/>
      <c r="G19" s="1" t="s">
        <v>436</v>
      </c>
    </row>
    <row r="20" spans="1:7" s="206" customFormat="1" ht="13.5" customHeight="1">
      <c r="A20" s="731" t="s">
        <v>419</v>
      </c>
      <c r="B20" s="202" t="s">
        <v>77</v>
      </c>
      <c r="C20" s="224">
        <f>ROUND((C5+C19)*F20,0)</f>
        <v>435</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1395</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71</v>
      </c>
      <c r="D24" s="230"/>
      <c r="E24" s="230"/>
      <c r="F24" s="231"/>
      <c r="G24" s="232" t="s">
        <v>82</v>
      </c>
    </row>
    <row r="25" spans="1:7" s="206" customFormat="1" ht="26">
      <c r="A25" s="734" t="s">
        <v>348</v>
      </c>
      <c r="B25" s="207" t="s">
        <v>420</v>
      </c>
      <c r="C25" s="1042">
        <f ca="1">ROUND(IF('数据-取费表'!B22&lt;=1,C20*F22*'数据-取费表'!B23/2,C20*(POWER((1+F22),'数据-取费表'!B23/2)-1)),0)</f>
        <v>14</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3324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3324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29121</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33989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30722</v>
      </c>
      <c r="D34" s="209"/>
      <c r="E34" s="212"/>
      <c r="F34" s="249">
        <f>IF('数据-取费表'!B24=0,1,'数据-取费表'!N16)</f>
        <v>1</v>
      </c>
      <c r="G34" s="211" t="s">
        <v>89</v>
      </c>
    </row>
    <row r="35" spans="1:7" ht="13.5" customHeight="1">
      <c r="A35" s="734" t="s">
        <v>351</v>
      </c>
      <c r="B35" s="207" t="s">
        <v>33</v>
      </c>
      <c r="C35" s="212">
        <f>ROUND(C34*F35,0)</f>
        <v>1536</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1117</v>
      </c>
      <c r="D37" s="209">
        <f>'数据-汇总表'!E3</f>
        <v>55858.959999999992</v>
      </c>
      <c r="E37" s="241">
        <f>'数据-取费表'!B35</f>
        <v>200</v>
      </c>
      <c r="F37" s="251"/>
      <c r="G37" s="253" t="s">
        <v>92</v>
      </c>
    </row>
    <row r="38" spans="1:7" ht="13.5" customHeight="1">
      <c r="A38" s="734" t="s">
        <v>354</v>
      </c>
      <c r="B38" s="207" t="s">
        <v>36</v>
      </c>
      <c r="C38" s="212">
        <f>ROUND(C34*F38,0)</f>
        <v>614</v>
      </c>
      <c r="D38" s="212"/>
      <c r="E38" s="212"/>
      <c r="F38" s="251">
        <f>'数据-取费表'!B36</f>
        <v>0.02</v>
      </c>
      <c r="G38" s="211" t="s">
        <v>90</v>
      </c>
    </row>
    <row r="39" spans="1:7" s="206" customFormat="1" ht="13.5" customHeight="1">
      <c r="A39" s="731" t="s">
        <v>338</v>
      </c>
      <c r="B39" s="202" t="s">
        <v>77</v>
      </c>
      <c r="C39" s="224">
        <f>ROUND(C33*F20,0)</f>
        <v>680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1085</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1064</v>
      </c>
      <c r="D42" s="230"/>
      <c r="E42" s="230"/>
      <c r="F42" s="231"/>
      <c r="G42" s="3428" t="s">
        <v>94</v>
      </c>
    </row>
    <row r="43" spans="1:7" ht="13.5" customHeight="1">
      <c r="A43" s="734" t="s">
        <v>347</v>
      </c>
      <c r="B43" s="207" t="s">
        <v>426</v>
      </c>
      <c r="C43" s="230">
        <f ca="1">ROUND(IF('数据-取费表'!B22&lt;=1,C39*F22*'数据-取费表'!B21/2,C39*(POWER((1+F22),'数据-取费表'!B21/2)-1)),0)</f>
        <v>21</v>
      </c>
      <c r="D43" s="230"/>
      <c r="E43" s="230"/>
      <c r="F43" s="231"/>
      <c r="G43" s="3429"/>
    </row>
    <row r="44" spans="1:7" ht="13.5" customHeight="1">
      <c r="A44" s="734" t="s">
        <v>348</v>
      </c>
      <c r="B44" s="207" t="s">
        <v>428</v>
      </c>
      <c r="C44" s="230">
        <f ca="1">ROUND(IF('数据-取费表'!B22&lt;=1,C40*F22*'数据-取费表'!B21/2,C40*(POWER((1+F22),'数据-取费表'!B21/2)-1)),4)</f>
        <v>5.9999999999999995E-4</v>
      </c>
      <c r="D44" s="230"/>
      <c r="E44" s="230"/>
      <c r="F44" s="231"/>
      <c r="G44" s="3430"/>
    </row>
    <row r="45" spans="1:7" s="206" customFormat="1" ht="13.5" customHeight="1">
      <c r="A45" s="731" t="s">
        <v>341</v>
      </c>
      <c r="B45" s="236" t="s">
        <v>85</v>
      </c>
      <c r="C45" s="237">
        <f>C46</f>
        <v>5200</v>
      </c>
      <c r="D45" s="227">
        <f>C47</f>
        <v>3.0000000000000001E-3</v>
      </c>
      <c r="E45" s="228" t="s">
        <v>102</v>
      </c>
      <c r="F45" s="238"/>
      <c r="G45" s="239" t="s">
        <v>434</v>
      </c>
    </row>
    <row r="46" spans="1:7" s="206" customFormat="1" ht="13.5" customHeight="1">
      <c r="A46" s="734" t="s">
        <v>349</v>
      </c>
      <c r="B46" s="240" t="s">
        <v>427</v>
      </c>
      <c r="C46" s="241">
        <f>ROUND((C33+C39)*F27,0)</f>
        <v>5200</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44367</v>
      </c>
      <c r="D49" s="224"/>
      <c r="E49" s="224"/>
      <c r="F49" s="256"/>
      <c r="G49" s="226" t="s">
        <v>435</v>
      </c>
    </row>
    <row r="50" spans="1:7" s="250" customFormat="1" ht="26">
      <c r="A50" s="731" t="s">
        <v>344</v>
      </c>
      <c r="B50" s="202" t="s">
        <v>97</v>
      </c>
      <c r="C50" s="224"/>
      <c r="D50" s="224"/>
      <c r="E50" s="224"/>
      <c r="F50" s="256">
        <f>IF('数据-取费表'!B24=0,'数据-取费表'!N16,1)</f>
        <v>0.83</v>
      </c>
      <c r="G50" s="239" t="s">
        <v>98</v>
      </c>
    </row>
    <row r="51" spans="1:7" ht="16.5" customHeight="1">
      <c r="A51" s="731" t="s">
        <v>345</v>
      </c>
      <c r="B51" s="202" t="s">
        <v>105</v>
      </c>
      <c r="C51" s="224">
        <f ca="1">ROUND(C49*F50,0)</f>
        <v>36825</v>
      </c>
      <c r="D51" s="224"/>
      <c r="E51" s="224"/>
      <c r="F51" s="256"/>
      <c r="G51" s="226" t="s">
        <v>37</v>
      </c>
    </row>
    <row r="52" spans="1:7" s="200" customFormat="1" ht="16.5" thickBot="1">
      <c r="A52" s="257" t="s">
        <v>38</v>
      </c>
      <c r="B52" s="258"/>
      <c r="C52" s="259">
        <f ca="1">C31+C51</f>
        <v>65946</v>
      </c>
      <c r="D52" s="258"/>
      <c r="E52" s="258"/>
      <c r="F52" s="258"/>
      <c r="G52" s="260"/>
    </row>
    <row r="55" spans="1:7" ht="15.5">
      <c r="B55" s="262" t="s">
        <v>39</v>
      </c>
      <c r="C55" s="263"/>
    </row>
    <row r="56" spans="1:7" ht="13">
      <c r="B56" s="265" t="s">
        <v>40</v>
      </c>
      <c r="C56" s="266">
        <f ca="1">ROUND(C51/C52,3)</f>
        <v>0.55800000000000005</v>
      </c>
    </row>
    <row r="57" spans="1:7" ht="13">
      <c r="B57" s="265" t="s">
        <v>41</v>
      </c>
      <c r="C57" s="267">
        <f ca="1">1-C56</f>
        <v>0.44199999999999995</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2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1"/>
      <c r="C2" s="3251"/>
      <c r="D2" s="3251"/>
      <c r="E2" s="3251"/>
    </row>
    <row r="3" spans="1:5" ht="18">
      <c r="A3" s="3252" t="str">
        <f>IF(项目基本情况!B9="房地产市场价值","估价结果一览表（市场价值不需“结果表-1”）","估价结果一览表")</f>
        <v>估价结果一览表</v>
      </c>
      <c r="B3" s="3252"/>
      <c r="C3" s="3252"/>
      <c r="D3" s="3252"/>
      <c r="E3" s="3252"/>
    </row>
    <row r="4" spans="1:5" ht="18.5" thickBot="1">
      <c r="A4" s="1391"/>
      <c r="B4" s="3250" t="s">
        <v>917</v>
      </c>
      <c r="C4" s="3250"/>
      <c r="D4" s="3250"/>
      <c r="E4" s="1391"/>
    </row>
    <row r="5" spans="1:5" ht="16" thickTop="1">
      <c r="B5" s="3248" t="s">
        <v>909</v>
      </c>
      <c r="C5" s="1392" t="s">
        <v>910</v>
      </c>
      <c r="D5" s="797">
        <f ca="1">结果表!H101</f>
        <v>180656</v>
      </c>
    </row>
    <row r="6" spans="1:5" ht="15.5">
      <c r="B6" s="3248"/>
      <c r="C6" s="1392" t="s">
        <v>911</v>
      </c>
      <c r="D6" s="797" t="str">
        <f ca="1">NUMBERSTRING(INT(D5*10000),2)&amp;"元整"</f>
        <v>壹拾捌亿零陆佰伍拾陆万元整</v>
      </c>
    </row>
    <row r="7" spans="1:5" ht="15.5">
      <c r="B7" s="3253"/>
      <c r="C7" s="1393" t="s">
        <v>912</v>
      </c>
      <c r="D7" s="798">
        <f ca="1">结果表!H102</f>
        <v>32341</v>
      </c>
    </row>
    <row r="8" spans="1:5" ht="15.5">
      <c r="B8" s="3254" t="str">
        <f>结果表!E103</f>
        <v>2.估价师知悉的法定优先受偿款</v>
      </c>
      <c r="C8" s="1394" t="s">
        <v>913</v>
      </c>
      <c r="D8" s="798">
        <f>结果表!H103</f>
        <v>0</v>
      </c>
    </row>
    <row r="9" spans="1:5" ht="15.5">
      <c r="B9" s="3256"/>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247" t="str">
        <f>结果表!E107</f>
        <v>3.房地产抵押价值</v>
      </c>
      <c r="C13" s="1397" t="s">
        <v>910</v>
      </c>
      <c r="D13" s="800">
        <f ca="1">结果表!H107</f>
        <v>180656</v>
      </c>
    </row>
    <row r="14" spans="1:5" ht="15.5">
      <c r="B14" s="3248"/>
      <c r="C14" s="1392" t="s">
        <v>911</v>
      </c>
      <c r="D14" s="797" t="str">
        <f ca="1">NUMBERSTRING(INT(D13*10000),2)&amp;"元整"</f>
        <v>壹拾捌亿零陆佰伍拾陆万元整</v>
      </c>
    </row>
    <row r="15" spans="1:5" ht="15.5">
      <c r="B15" s="3253"/>
      <c r="C15" s="1393" t="s">
        <v>921</v>
      </c>
      <c r="D15" s="806">
        <f ca="1">结果表!H108</f>
        <v>32341</v>
      </c>
    </row>
    <row r="16" spans="1:5" ht="15">
      <c r="B16" s="3254" t="str">
        <f>结果表!E109</f>
        <v>——</v>
      </c>
      <c r="C16" s="1397" t="s">
        <v>922</v>
      </c>
      <c r="D16" s="1398" t="str">
        <f>结果表!H109</f>
        <v>——</v>
      </c>
    </row>
    <row r="17" spans="1:5" ht="15.5">
      <c r="B17" s="3255"/>
      <c r="C17" s="1392" t="s">
        <v>923</v>
      </c>
      <c r="D17" s="797" t="e">
        <f>NUMBERSTRING(INT(D16*10000),2)&amp;"元整"</f>
        <v>#VALUE!</v>
      </c>
    </row>
    <row r="18" spans="1:5" ht="15.5">
      <c r="B18" s="3256"/>
      <c r="C18" s="1393" t="s">
        <v>912</v>
      </c>
      <c r="D18" s="806" t="str">
        <f>结果表!H110</f>
        <v>——</v>
      </c>
    </row>
    <row r="19" spans="1:5" ht="15.5">
      <c r="B19" s="3247" t="str">
        <f>结果表!E111</f>
        <v>——</v>
      </c>
      <c r="C19" s="1397" t="s">
        <v>910</v>
      </c>
      <c r="D19" s="798" t="str">
        <f>结果表!H111</f>
        <v>——</v>
      </c>
    </row>
    <row r="20" spans="1:5" ht="15.5">
      <c r="B20" s="3248"/>
      <c r="C20" s="1392" t="s">
        <v>923</v>
      </c>
      <c r="D20" s="797" t="e">
        <f>NUMBERSTRING(INT(D19*10000),2)&amp;"元整"</f>
        <v>#VALUE!</v>
      </c>
    </row>
    <row r="21" spans="1:5" ht="16" thickBot="1">
      <c r="B21" s="3249"/>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5" customWidth="1"/>
    <col min="2" max="2" width="20" style="2965" customWidth="1"/>
    <col min="3" max="7" width="8.90625" style="2965"/>
    <col min="8" max="16384" width="8.90625" style="2811"/>
  </cols>
  <sheetData>
    <row r="1" spans="1:7">
      <c r="A1" s="3567" t="s">
        <v>3177</v>
      </c>
      <c r="B1" s="3567"/>
    </row>
    <row r="2" spans="1:7" ht="14.5" thickBot="1">
      <c r="A2" s="2966"/>
      <c r="B2" s="2966"/>
    </row>
    <row r="3" spans="1:7" ht="14.5" thickBot="1">
      <c r="A3" s="2966"/>
      <c r="B3" s="2966"/>
      <c r="C3" s="2967" t="s">
        <v>2807</v>
      </c>
      <c r="D3" s="2967" t="s">
        <v>2863</v>
      </c>
      <c r="E3" s="2967" t="s">
        <v>2809</v>
      </c>
      <c r="F3" s="2967" t="s">
        <v>2864</v>
      </c>
      <c r="G3" s="2967" t="s">
        <v>2627</v>
      </c>
    </row>
    <row r="4" spans="1:7" ht="14.5" thickBot="1">
      <c r="A4" s="2968" t="s">
        <v>2862</v>
      </c>
      <c r="B4" s="2969" t="s">
        <v>2868</v>
      </c>
      <c r="C4" s="2967"/>
      <c r="D4" s="2967"/>
      <c r="E4" s="2967"/>
      <c r="F4" s="2967"/>
      <c r="G4" s="2967"/>
    </row>
    <row r="5" spans="1:7">
      <c r="A5" s="2970" t="s">
        <v>2836</v>
      </c>
      <c r="B5" s="2971" t="s">
        <v>2850</v>
      </c>
      <c r="C5" s="2972">
        <v>9.8000000000000004E-2</v>
      </c>
      <c r="D5" s="2972">
        <v>8.6999999999999994E-2</v>
      </c>
      <c r="E5" s="2972">
        <v>8.6999999999999994E-2</v>
      </c>
      <c r="F5" s="2972">
        <v>9.8000000000000004E-2</v>
      </c>
      <c r="G5" s="2973">
        <v>9.5000000000000001E-2</v>
      </c>
    </row>
    <row r="6" spans="1:7">
      <c r="A6" s="2974" t="s">
        <v>144</v>
      </c>
      <c r="B6" s="2975" t="s">
        <v>2865</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5" thickBot="1">
      <c r="A9" s="2978" t="s">
        <v>144</v>
      </c>
      <c r="B9" s="2979" t="s">
        <v>154</v>
      </c>
      <c r="C9" s="2980">
        <v>0.1</v>
      </c>
      <c r="D9" s="2980">
        <v>0.1</v>
      </c>
      <c r="E9" s="2980">
        <v>0.1</v>
      </c>
      <c r="F9" s="2981"/>
      <c r="G9" s="2982">
        <v>0.1</v>
      </c>
    </row>
    <row r="10" spans="1:7">
      <c r="A10" s="2970" t="s">
        <v>184</v>
      </c>
      <c r="B10" s="2971" t="s">
        <v>2851</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2901</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5" thickBot="1">
      <c r="A29" s="2978" t="s">
        <v>184</v>
      </c>
      <c r="B29" s="2979" t="s">
        <v>2919</v>
      </c>
      <c r="C29" s="2984"/>
      <c r="D29" s="2980">
        <v>5.1999999999999998E-2</v>
      </c>
      <c r="E29" s="2980">
        <v>7.0000000000000007E-2</v>
      </c>
      <c r="F29" s="2984"/>
      <c r="G29" s="2982">
        <v>7.0999999999999994E-2</v>
      </c>
    </row>
    <row r="30" spans="1:7">
      <c r="A30" s="2985" t="s">
        <v>296</v>
      </c>
      <c r="B30" s="2971" t="s">
        <v>2852</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2838</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2922</v>
      </c>
      <c r="C50" s="2976">
        <v>9.8000000000000004E-2</v>
      </c>
      <c r="D50" s="2976">
        <v>7.2999999999999995E-2</v>
      </c>
      <c r="E50" s="2976">
        <v>7.0999999999999994E-2</v>
      </c>
      <c r="F50" s="2987"/>
      <c r="G50" s="2977">
        <v>7.2999999999999995E-2</v>
      </c>
    </row>
    <row r="51" spans="1:7">
      <c r="A51" s="2986" t="s">
        <v>296</v>
      </c>
      <c r="B51" s="2975" t="s">
        <v>2924</v>
      </c>
      <c r="C51" s="2976">
        <v>9.9000000000000005E-2</v>
      </c>
      <c r="D51" s="2976">
        <v>8.5000000000000006E-2</v>
      </c>
      <c r="E51" s="2976">
        <v>6.3E-2</v>
      </c>
      <c r="F51" s="2987"/>
      <c r="G51" s="2977">
        <v>9.6000000000000002E-2</v>
      </c>
    </row>
    <row r="52" spans="1:7">
      <c r="A52" s="2986" t="s">
        <v>296</v>
      </c>
      <c r="B52" s="2975" t="s">
        <v>2928</v>
      </c>
      <c r="C52" s="2976">
        <v>7.3999999999999996E-2</v>
      </c>
      <c r="D52" s="2976">
        <v>9.6000000000000002E-2</v>
      </c>
      <c r="E52" s="2976">
        <v>0.05</v>
      </c>
      <c r="F52" s="2987"/>
      <c r="G52" s="2977">
        <v>9.8000000000000004E-2</v>
      </c>
    </row>
    <row r="53" spans="1:7">
      <c r="A53" s="2986" t="s">
        <v>296</v>
      </c>
      <c r="B53" s="2975" t="s">
        <v>2933</v>
      </c>
      <c r="C53" s="2976">
        <v>8.5999999999999993E-2</v>
      </c>
      <c r="D53" s="2987"/>
      <c r="E53" s="2976">
        <v>9.1999999999999998E-2</v>
      </c>
      <c r="F53" s="2987"/>
      <c r="G53" s="2988"/>
    </row>
    <row r="54" spans="1:7" ht="14.5" thickBot="1">
      <c r="A54" s="2989" t="s">
        <v>296</v>
      </c>
      <c r="B54" s="2979" t="s">
        <v>2936</v>
      </c>
      <c r="C54" s="2980">
        <v>9.6000000000000002E-2</v>
      </c>
      <c r="D54" s="2981"/>
      <c r="E54" s="2990"/>
      <c r="F54" s="2981"/>
      <c r="G54" s="2991"/>
    </row>
    <row r="55" spans="1:7">
      <c r="A55" s="2985" t="s">
        <v>110</v>
      </c>
      <c r="B55" s="2971" t="s">
        <v>2853</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2934</v>
      </c>
      <c r="C78" s="2976">
        <v>0.1</v>
      </c>
      <c r="D78" s="2976">
        <v>8.5000000000000006E-2</v>
      </c>
      <c r="E78" s="2976">
        <v>9.6000000000000002E-2</v>
      </c>
      <c r="F78" s="2987"/>
      <c r="G78" s="2977">
        <v>9.6000000000000002E-2</v>
      </c>
    </row>
    <row r="79" spans="1:7">
      <c r="A79" s="2986" t="s">
        <v>110</v>
      </c>
      <c r="B79" s="2975" t="s">
        <v>2937</v>
      </c>
      <c r="C79" s="2976">
        <v>0.05</v>
      </c>
      <c r="D79" s="2976">
        <v>9.6000000000000002E-2</v>
      </c>
      <c r="E79" s="2976">
        <v>9.5000000000000001E-2</v>
      </c>
      <c r="F79" s="2987"/>
      <c r="G79" s="2977">
        <v>9.8000000000000004E-2</v>
      </c>
    </row>
    <row r="80" spans="1:7">
      <c r="A80" s="2986" t="s">
        <v>110</v>
      </c>
      <c r="B80" s="2975" t="s">
        <v>2941</v>
      </c>
      <c r="C80" s="2976">
        <v>8.5999999999999993E-2</v>
      </c>
      <c r="D80" s="2992"/>
      <c r="E80" s="2976">
        <v>0.1</v>
      </c>
      <c r="F80" s="2987"/>
      <c r="G80" s="2988"/>
    </row>
    <row r="81" spans="1:7">
      <c r="A81" s="2986" t="s">
        <v>110</v>
      </c>
      <c r="B81" s="2975" t="s">
        <v>2946</v>
      </c>
      <c r="C81" s="2976">
        <v>9.6000000000000002E-2</v>
      </c>
      <c r="D81" s="2987"/>
      <c r="E81" s="2976">
        <v>9.8000000000000004E-2</v>
      </c>
      <c r="F81" s="2987"/>
      <c r="G81" s="2988"/>
    </row>
    <row r="82" spans="1:7">
      <c r="A82" s="2986" t="s">
        <v>110</v>
      </c>
      <c r="B82" s="2975" t="s">
        <v>2953</v>
      </c>
      <c r="C82" s="2992"/>
      <c r="D82" s="2987"/>
      <c r="E82" s="2976">
        <v>7.6999999999999999E-2</v>
      </c>
      <c r="F82" s="2987"/>
      <c r="G82" s="2988"/>
    </row>
    <row r="83" spans="1:7">
      <c r="A83" s="2986" t="s">
        <v>110</v>
      </c>
      <c r="B83" s="2975" t="s">
        <v>2959</v>
      </c>
      <c r="C83" s="2987"/>
      <c r="D83" s="2987"/>
      <c r="E83" s="2987"/>
      <c r="F83" s="2976">
        <v>0.1</v>
      </c>
      <c r="G83" s="2993"/>
    </row>
    <row r="84" spans="1:7">
      <c r="A84" s="2986" t="s">
        <v>110</v>
      </c>
      <c r="B84" s="2975" t="s">
        <v>2966</v>
      </c>
      <c r="C84" s="2987"/>
      <c r="D84" s="2987"/>
      <c r="E84" s="2987"/>
      <c r="F84" s="2976">
        <v>0.1</v>
      </c>
      <c r="G84" s="2993"/>
    </row>
    <row r="85" spans="1:7">
      <c r="A85" s="2986" t="s">
        <v>110</v>
      </c>
      <c r="B85" s="2975" t="s">
        <v>2973</v>
      </c>
      <c r="C85" s="2987"/>
      <c r="D85" s="2987"/>
      <c r="E85" s="2987"/>
      <c r="F85" s="2976">
        <v>0.1</v>
      </c>
      <c r="G85" s="2993"/>
    </row>
    <row r="86" spans="1:7" ht="14.5" thickBot="1">
      <c r="A86" s="2989" t="s">
        <v>110</v>
      </c>
      <c r="B86" s="2979" t="s">
        <v>2978</v>
      </c>
      <c r="C86" s="2980">
        <v>9.8000000000000004E-2</v>
      </c>
      <c r="D86" s="2980">
        <v>9.8000000000000004E-2</v>
      </c>
      <c r="E86" s="2980">
        <v>9.6000000000000002E-2</v>
      </c>
      <c r="F86" s="2990"/>
      <c r="G86" s="2982">
        <v>0.1</v>
      </c>
    </row>
    <row r="87" spans="1:7">
      <c r="A87" s="2985" t="s">
        <v>303</v>
      </c>
      <c r="B87" s="2971" t="s">
        <v>2854</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2947</v>
      </c>
      <c r="C113" s="2976">
        <v>0.1</v>
      </c>
      <c r="D113" s="2976">
        <v>0.1</v>
      </c>
      <c r="E113" s="2987"/>
      <c r="F113" s="2987"/>
      <c r="G113" s="2977">
        <v>0.1</v>
      </c>
    </row>
    <row r="114" spans="1:7">
      <c r="A114" s="2986" t="s">
        <v>303</v>
      </c>
      <c r="B114" s="2975" t="s">
        <v>2954</v>
      </c>
      <c r="C114" s="2976">
        <v>9.7000000000000003E-2</v>
      </c>
      <c r="D114" s="2976">
        <v>9.7000000000000003E-2</v>
      </c>
      <c r="E114" s="2987"/>
      <c r="F114" s="2987"/>
      <c r="G114" s="2977">
        <v>9.9000000000000005E-2</v>
      </c>
    </row>
    <row r="115" spans="1:7">
      <c r="A115" s="2986" t="s">
        <v>303</v>
      </c>
      <c r="B115" s="2975" t="s">
        <v>2960</v>
      </c>
      <c r="C115" s="2976">
        <v>0.1</v>
      </c>
      <c r="D115" s="2976">
        <v>0.1</v>
      </c>
      <c r="E115" s="2987"/>
      <c r="F115" s="2987"/>
      <c r="G115" s="2977">
        <v>0.1</v>
      </c>
    </row>
    <row r="116" spans="1:7">
      <c r="A116" s="2986" t="s">
        <v>303</v>
      </c>
      <c r="B116" s="2975" t="s">
        <v>2967</v>
      </c>
      <c r="C116" s="2976">
        <v>0.1</v>
      </c>
      <c r="D116" s="2976">
        <v>0.1</v>
      </c>
      <c r="E116" s="2987"/>
      <c r="F116" s="2987"/>
      <c r="G116" s="2977">
        <v>0.1</v>
      </c>
    </row>
    <row r="117" spans="1:7">
      <c r="A117" s="2986" t="s">
        <v>303</v>
      </c>
      <c r="B117" s="2975" t="s">
        <v>2974</v>
      </c>
      <c r="C117" s="2976">
        <v>9.7000000000000003E-2</v>
      </c>
      <c r="D117" s="2976">
        <v>9.7000000000000003E-2</v>
      </c>
      <c r="E117" s="2987"/>
      <c r="F117" s="2987"/>
      <c r="G117" s="2977">
        <v>9.7000000000000003E-2</v>
      </c>
    </row>
    <row r="118" spans="1:7">
      <c r="A118" s="2986" t="s">
        <v>303</v>
      </c>
      <c r="B118" s="2975" t="s">
        <v>2979</v>
      </c>
      <c r="C118" s="2976">
        <v>0.1</v>
      </c>
      <c r="D118" s="2976">
        <v>0.1</v>
      </c>
      <c r="E118" s="2987"/>
      <c r="F118" s="2987"/>
      <c r="G118" s="2977">
        <v>0.1</v>
      </c>
    </row>
    <row r="119" spans="1:7">
      <c r="A119" s="2986" t="s">
        <v>303</v>
      </c>
      <c r="B119" s="2975" t="s">
        <v>2983</v>
      </c>
      <c r="C119" s="2976">
        <v>5.0999999999999997E-2</v>
      </c>
      <c r="D119" s="2976">
        <v>5.1999999999999998E-2</v>
      </c>
      <c r="E119" s="2987"/>
      <c r="F119" s="2992"/>
      <c r="G119" s="2977">
        <v>0.06</v>
      </c>
    </row>
    <row r="120" spans="1:7">
      <c r="A120" s="2986" t="s">
        <v>303</v>
      </c>
      <c r="B120" s="2975" t="s">
        <v>2987</v>
      </c>
      <c r="C120" s="2987"/>
      <c r="D120" s="2987"/>
      <c r="E120" s="2987"/>
      <c r="F120" s="2976">
        <v>0.1</v>
      </c>
      <c r="G120" s="2993"/>
    </row>
    <row r="121" spans="1:7">
      <c r="A121" s="2986" t="s">
        <v>303</v>
      </c>
      <c r="B121" s="2975" t="s">
        <v>2992</v>
      </c>
      <c r="C121" s="2987"/>
      <c r="D121" s="2987"/>
      <c r="E121" s="2987"/>
      <c r="F121" s="2976">
        <v>0.1</v>
      </c>
      <c r="G121" s="2993"/>
    </row>
    <row r="122" spans="1:7">
      <c r="A122" s="2986" t="s">
        <v>303</v>
      </c>
      <c r="B122" s="2975" t="s">
        <v>2997</v>
      </c>
      <c r="C122" s="2976">
        <v>0.1</v>
      </c>
      <c r="D122" s="2976">
        <v>0.1</v>
      </c>
      <c r="E122" s="2976">
        <v>9.8000000000000004E-2</v>
      </c>
      <c r="F122" s="2976">
        <v>0.1</v>
      </c>
      <c r="G122" s="2977">
        <v>0.1</v>
      </c>
    </row>
    <row r="123" spans="1:7">
      <c r="A123" s="2986" t="s">
        <v>303</v>
      </c>
      <c r="B123" s="2975" t="s">
        <v>3002</v>
      </c>
      <c r="C123" s="2976">
        <v>0.1</v>
      </c>
      <c r="D123" s="2976">
        <v>0.1</v>
      </c>
      <c r="E123" s="2976">
        <v>9.8000000000000004E-2</v>
      </c>
      <c r="F123" s="2976">
        <v>0.1</v>
      </c>
      <c r="G123" s="2977">
        <v>0.1</v>
      </c>
    </row>
    <row r="124" spans="1:7">
      <c r="A124" s="2986" t="s">
        <v>303</v>
      </c>
      <c r="B124" s="2975" t="s">
        <v>3007</v>
      </c>
      <c r="C124" s="2976">
        <v>0.1</v>
      </c>
      <c r="D124" s="2976">
        <v>0.1</v>
      </c>
      <c r="E124" s="2976">
        <v>9.8000000000000004E-2</v>
      </c>
      <c r="F124" s="2992"/>
      <c r="G124" s="2977">
        <v>0.1</v>
      </c>
    </row>
    <row r="125" spans="1:7">
      <c r="A125" s="2986" t="s">
        <v>303</v>
      </c>
      <c r="B125" s="2975" t="s">
        <v>3012</v>
      </c>
      <c r="C125" s="2976">
        <v>9.8000000000000004E-2</v>
      </c>
      <c r="D125" s="2976">
        <v>9.8000000000000004E-2</v>
      </c>
      <c r="E125" s="2976">
        <v>9.6000000000000002E-2</v>
      </c>
      <c r="F125" s="2992"/>
      <c r="G125" s="2977">
        <v>0.1</v>
      </c>
    </row>
    <row r="126" spans="1:7" ht="14.5" thickBot="1">
      <c r="A126" s="2989" t="s">
        <v>303</v>
      </c>
      <c r="B126" s="2979" t="s">
        <v>3178</v>
      </c>
      <c r="C126" s="2980">
        <v>0.1</v>
      </c>
      <c r="D126" s="2980">
        <v>0.1</v>
      </c>
      <c r="E126" s="2980">
        <v>9.8000000000000004E-2</v>
      </c>
      <c r="F126" s="2980">
        <v>0.1</v>
      </c>
      <c r="G126" s="2982">
        <v>0.1</v>
      </c>
    </row>
    <row r="127" spans="1:7">
      <c r="A127" s="2985" t="s">
        <v>29</v>
      </c>
      <c r="B127" s="2971" t="s">
        <v>2855</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2925</v>
      </c>
      <c r="C148" s="2976">
        <v>0.13</v>
      </c>
      <c r="D148" s="2976">
        <v>0.13</v>
      </c>
      <c r="E148" s="2976">
        <v>0.13</v>
      </c>
      <c r="F148" s="2987"/>
      <c r="G148" s="2977">
        <v>0.13</v>
      </c>
    </row>
    <row r="149" spans="1:7">
      <c r="A149" s="2986" t="s">
        <v>29</v>
      </c>
      <c r="B149" s="2975" t="s">
        <v>2929</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2948</v>
      </c>
      <c r="C153" s="2976">
        <v>0.13</v>
      </c>
      <c r="D153" s="2976">
        <v>0.13</v>
      </c>
      <c r="E153" s="2976">
        <v>0.13</v>
      </c>
      <c r="F153" s="2976">
        <v>0.13</v>
      </c>
      <c r="G153" s="2977">
        <v>0.13</v>
      </c>
    </row>
    <row r="154" spans="1:7">
      <c r="A154" s="2986" t="s">
        <v>29</v>
      </c>
      <c r="B154" s="2975" t="s">
        <v>2955</v>
      </c>
      <c r="C154" s="2976">
        <v>0.121</v>
      </c>
      <c r="D154" s="2976">
        <v>0.121</v>
      </c>
      <c r="E154" s="2976">
        <v>0.105</v>
      </c>
      <c r="F154" s="2976">
        <v>0.121</v>
      </c>
      <c r="G154" s="2977">
        <v>0.123</v>
      </c>
    </row>
    <row r="155" spans="1:7">
      <c r="A155" s="2986" t="s">
        <v>29</v>
      </c>
      <c r="B155" s="2975" t="s">
        <v>2961</v>
      </c>
      <c r="C155" s="2976">
        <v>0.1</v>
      </c>
      <c r="D155" s="2976">
        <v>0.1</v>
      </c>
      <c r="E155" s="2976">
        <v>0.1</v>
      </c>
      <c r="F155" s="2976">
        <v>0.1</v>
      </c>
      <c r="G155" s="2977">
        <v>0.1</v>
      </c>
    </row>
    <row r="156" spans="1:7">
      <c r="A156" s="2986" t="s">
        <v>29</v>
      </c>
      <c r="B156" s="2975" t="s">
        <v>2968</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2988</v>
      </c>
      <c r="C160" s="2976">
        <v>0.13</v>
      </c>
      <c r="D160" s="2976">
        <v>0.13</v>
      </c>
      <c r="E160" s="2976">
        <v>0.124</v>
      </c>
      <c r="F160" s="2976">
        <v>0.126</v>
      </c>
      <c r="G160" s="2977">
        <v>0.13</v>
      </c>
    </row>
    <row r="161" spans="1:7">
      <c r="A161" s="2986" t="s">
        <v>29</v>
      </c>
      <c r="B161" s="2975" t="s">
        <v>2993</v>
      </c>
      <c r="C161" s="2976">
        <v>0.13</v>
      </c>
      <c r="D161" s="2976">
        <v>0.13</v>
      </c>
      <c r="E161" s="2976">
        <v>0.124</v>
      </c>
      <c r="F161" s="2976">
        <v>0.127</v>
      </c>
      <c r="G161" s="2977">
        <v>0.13</v>
      </c>
    </row>
    <row r="162" spans="1:7">
      <c r="A162" s="2986" t="s">
        <v>29</v>
      </c>
      <c r="B162" s="2975" t="s">
        <v>2998</v>
      </c>
      <c r="C162" s="2976">
        <v>0.1</v>
      </c>
      <c r="D162" s="2976">
        <v>0.1</v>
      </c>
      <c r="E162" s="2976">
        <v>0.1</v>
      </c>
      <c r="F162" s="2976">
        <v>0.121</v>
      </c>
      <c r="G162" s="2977">
        <v>0.105</v>
      </c>
    </row>
    <row r="163" spans="1:7">
      <c r="A163" s="2986" t="s">
        <v>29</v>
      </c>
      <c r="B163" s="2975" t="s">
        <v>3003</v>
      </c>
      <c r="C163" s="2976">
        <v>0.1</v>
      </c>
      <c r="D163" s="2976">
        <v>0.1</v>
      </c>
      <c r="E163" s="2976">
        <v>0.1</v>
      </c>
      <c r="F163" s="2976">
        <v>0.1</v>
      </c>
      <c r="G163" s="2977">
        <v>0.1</v>
      </c>
    </row>
    <row r="164" spans="1:7">
      <c r="A164" s="2986" t="s">
        <v>29</v>
      </c>
      <c r="B164" s="2975" t="s">
        <v>3008</v>
      </c>
      <c r="C164" s="2992"/>
      <c r="D164" s="2992"/>
      <c r="E164" s="2992"/>
      <c r="F164" s="2976">
        <v>0.1</v>
      </c>
      <c r="G164" s="2988"/>
    </row>
    <row r="165" spans="1:7">
      <c r="A165" s="2986" t="s">
        <v>29</v>
      </c>
      <c r="B165" s="2975" t="s">
        <v>3179</v>
      </c>
      <c r="C165" s="2976">
        <v>0.126</v>
      </c>
      <c r="D165" s="2976">
        <v>0.126</v>
      </c>
      <c r="E165" s="2976">
        <v>0.11899999999999999</v>
      </c>
      <c r="F165" s="2976">
        <v>0.13</v>
      </c>
      <c r="G165" s="2977">
        <v>0.128</v>
      </c>
    </row>
    <row r="166" spans="1:7">
      <c r="A166" s="2986" t="s">
        <v>29</v>
      </c>
      <c r="B166" s="2975" t="s">
        <v>3018</v>
      </c>
      <c r="C166" s="2976">
        <v>0.129</v>
      </c>
      <c r="D166" s="2976">
        <v>0.129</v>
      </c>
      <c r="E166" s="2976">
        <v>0.123</v>
      </c>
      <c r="F166" s="2976">
        <v>0.128</v>
      </c>
      <c r="G166" s="2977">
        <v>0.13</v>
      </c>
    </row>
    <row r="167" spans="1:7">
      <c r="A167" s="2986" t="s">
        <v>29</v>
      </c>
      <c r="B167" s="2975" t="s">
        <v>3022</v>
      </c>
      <c r="C167" s="2976">
        <v>0.125</v>
      </c>
      <c r="D167" s="2976">
        <v>0.125</v>
      </c>
      <c r="E167" s="2976">
        <v>0.11700000000000001</v>
      </c>
      <c r="F167" s="2976">
        <v>0.13</v>
      </c>
      <c r="G167" s="2977">
        <v>0.126</v>
      </c>
    </row>
    <row r="168" spans="1:7">
      <c r="A168" s="2986" t="s">
        <v>29</v>
      </c>
      <c r="B168" s="2975" t="s">
        <v>3027</v>
      </c>
      <c r="C168" s="2976">
        <v>0.128</v>
      </c>
      <c r="D168" s="2976">
        <v>0.128</v>
      </c>
      <c r="E168" s="2976">
        <v>0.123</v>
      </c>
      <c r="F168" s="2987"/>
      <c r="G168" s="2977">
        <v>0.13</v>
      </c>
    </row>
    <row r="169" spans="1:7">
      <c r="A169" s="2986" t="s">
        <v>29</v>
      </c>
      <c r="B169" s="2975" t="s">
        <v>3180</v>
      </c>
      <c r="C169" s="2992"/>
      <c r="D169" s="2992"/>
      <c r="E169" s="2992"/>
      <c r="F169" s="2976">
        <v>0.05</v>
      </c>
      <c r="G169" s="2988"/>
    </row>
    <row r="170" spans="1:7">
      <c r="A170" s="2986" t="s">
        <v>29</v>
      </c>
      <c r="B170" s="2975" t="s">
        <v>3181</v>
      </c>
      <c r="C170" s="2992"/>
      <c r="D170" s="2992"/>
      <c r="E170" s="2992"/>
      <c r="F170" s="2976">
        <v>0.05</v>
      </c>
      <c r="G170" s="2988"/>
    </row>
    <row r="171" spans="1:7">
      <c r="A171" s="2986" t="s">
        <v>29</v>
      </c>
      <c r="B171" s="2975" t="s">
        <v>3182</v>
      </c>
      <c r="C171" s="2992"/>
      <c r="D171" s="2992"/>
      <c r="E171" s="2992"/>
      <c r="F171" s="2976">
        <v>0.05</v>
      </c>
      <c r="G171" s="2993"/>
    </row>
    <row r="172" spans="1:7">
      <c r="A172" s="2986" t="s">
        <v>29</v>
      </c>
      <c r="B172" s="2975" t="s">
        <v>3183</v>
      </c>
      <c r="C172" s="2992"/>
      <c r="D172" s="2992"/>
      <c r="E172" s="2992"/>
      <c r="F172" s="2976">
        <v>0.05</v>
      </c>
      <c r="G172" s="2993"/>
    </row>
    <row r="173" spans="1:7">
      <c r="A173" s="2986" t="s">
        <v>29</v>
      </c>
      <c r="B173" s="2975" t="s">
        <v>3184</v>
      </c>
      <c r="C173" s="2992"/>
      <c r="D173" s="2992"/>
      <c r="E173" s="2992"/>
      <c r="F173" s="2976">
        <v>0.05</v>
      </c>
      <c r="G173" s="2988"/>
    </row>
    <row r="174" spans="1:7">
      <c r="A174" s="2986" t="s">
        <v>29</v>
      </c>
      <c r="B174" s="2975" t="s">
        <v>3185</v>
      </c>
      <c r="C174" s="2992"/>
      <c r="D174" s="2992"/>
      <c r="E174" s="2992"/>
      <c r="F174" s="2976">
        <v>0.05</v>
      </c>
      <c r="G174" s="2988"/>
    </row>
    <row r="175" spans="1:7">
      <c r="A175" s="2986" t="s">
        <v>29</v>
      </c>
      <c r="B175" s="2975" t="s">
        <v>3186</v>
      </c>
      <c r="C175" s="2992"/>
      <c r="D175" s="2992"/>
      <c r="E175" s="2992"/>
      <c r="F175" s="2976">
        <v>0.05</v>
      </c>
      <c r="G175" s="2988"/>
    </row>
    <row r="176" spans="1:7">
      <c r="A176" s="2986" t="s">
        <v>29</v>
      </c>
      <c r="B176" s="2975" t="s">
        <v>3187</v>
      </c>
      <c r="C176" s="2992"/>
      <c r="D176" s="2992"/>
      <c r="E176" s="2992"/>
      <c r="F176" s="2976">
        <v>0.05</v>
      </c>
      <c r="G176" s="2988"/>
    </row>
    <row r="177" spans="1:7">
      <c r="A177" s="2986" t="s">
        <v>29</v>
      </c>
      <c r="B177" s="2975" t="s">
        <v>3188</v>
      </c>
      <c r="C177" s="2987"/>
      <c r="D177" s="2987"/>
      <c r="E177" s="2987"/>
      <c r="F177" s="2976">
        <v>0.05</v>
      </c>
      <c r="G177" s="2993"/>
    </row>
    <row r="178" spans="1:7">
      <c r="A178" s="2986" t="s">
        <v>29</v>
      </c>
      <c r="B178" s="2975" t="s">
        <v>3189</v>
      </c>
      <c r="C178" s="2987"/>
      <c r="D178" s="2987"/>
      <c r="E178" s="2987"/>
      <c r="F178" s="2976">
        <v>0.05</v>
      </c>
      <c r="G178" s="2993"/>
    </row>
    <row r="179" spans="1:7">
      <c r="A179" s="2986" t="s">
        <v>29</v>
      </c>
      <c r="B179" s="2975" t="s">
        <v>3190</v>
      </c>
      <c r="C179" s="2987"/>
      <c r="D179" s="2987"/>
      <c r="E179" s="2987"/>
      <c r="F179" s="2976">
        <v>0.05</v>
      </c>
      <c r="G179" s="2993"/>
    </row>
    <row r="180" spans="1:7">
      <c r="A180" s="2986" t="s">
        <v>29</v>
      </c>
      <c r="B180" s="2975" t="s">
        <v>3191</v>
      </c>
      <c r="C180" s="2987"/>
      <c r="D180" s="2987"/>
      <c r="E180" s="2987"/>
      <c r="F180" s="2976">
        <v>0.05</v>
      </c>
      <c r="G180" s="2993"/>
    </row>
    <row r="181" spans="1:7">
      <c r="A181" s="2986" t="s">
        <v>29</v>
      </c>
      <c r="B181" s="2975" t="s">
        <v>3192</v>
      </c>
      <c r="C181" s="2987"/>
      <c r="D181" s="2987"/>
      <c r="E181" s="2987"/>
      <c r="F181" s="2976">
        <v>0.05</v>
      </c>
      <c r="G181" s="2993"/>
    </row>
    <row r="182" spans="1:7">
      <c r="A182" s="2986" t="s">
        <v>29</v>
      </c>
      <c r="B182" s="2975" t="s">
        <v>3193</v>
      </c>
      <c r="C182" s="2987"/>
      <c r="D182" s="2987"/>
      <c r="E182" s="2987"/>
      <c r="F182" s="2976">
        <v>0.05</v>
      </c>
      <c r="G182" s="2993"/>
    </row>
    <row r="183" spans="1:7">
      <c r="A183" s="2986" t="s">
        <v>29</v>
      </c>
      <c r="B183" s="2975" t="s">
        <v>3194</v>
      </c>
      <c r="C183" s="2987"/>
      <c r="D183" s="2987"/>
      <c r="E183" s="2987"/>
      <c r="F183" s="2976">
        <v>0.05</v>
      </c>
      <c r="G183" s="2993"/>
    </row>
    <row r="184" spans="1:7">
      <c r="A184" s="2986" t="s">
        <v>29</v>
      </c>
      <c r="B184" s="2975" t="s">
        <v>3195</v>
      </c>
      <c r="C184" s="2987"/>
      <c r="D184" s="2987"/>
      <c r="E184" s="2987"/>
      <c r="F184" s="2976">
        <v>0.05</v>
      </c>
      <c r="G184" s="2993"/>
    </row>
    <row r="185" spans="1:7">
      <c r="A185" s="2986" t="s">
        <v>29</v>
      </c>
      <c r="B185" s="2975" t="s">
        <v>3196</v>
      </c>
      <c r="C185" s="2987"/>
      <c r="D185" s="2987"/>
      <c r="E185" s="2987"/>
      <c r="F185" s="2976">
        <v>0.05</v>
      </c>
      <c r="G185" s="2993"/>
    </row>
    <row r="186" spans="1:7">
      <c r="A186" s="2986" t="s">
        <v>29</v>
      </c>
      <c r="B186" s="2975" t="s">
        <v>3197</v>
      </c>
      <c r="C186" s="2987"/>
      <c r="D186" s="2987"/>
      <c r="E186" s="2987"/>
      <c r="F186" s="2976">
        <v>0.05</v>
      </c>
      <c r="G186" s="2993"/>
    </row>
    <row r="187" spans="1:7">
      <c r="A187" s="2986" t="s">
        <v>29</v>
      </c>
      <c r="B187" s="2975" t="s">
        <v>3198</v>
      </c>
      <c r="C187" s="2987"/>
      <c r="D187" s="2987"/>
      <c r="E187" s="2987"/>
      <c r="F187" s="2976">
        <v>0.05</v>
      </c>
      <c r="G187" s="2993"/>
    </row>
    <row r="188" spans="1:7">
      <c r="A188" s="2986" t="s">
        <v>29</v>
      </c>
      <c r="B188" s="2975" t="s">
        <v>3199</v>
      </c>
      <c r="C188" s="2987"/>
      <c r="D188" s="2987"/>
      <c r="E188" s="2987"/>
      <c r="F188" s="2976">
        <v>0.05</v>
      </c>
      <c r="G188" s="2993"/>
    </row>
    <row r="189" spans="1:7" ht="14.5" thickBot="1">
      <c r="A189" s="2989" t="s">
        <v>29</v>
      </c>
      <c r="B189" s="2979" t="s">
        <v>3200</v>
      </c>
      <c r="C189" s="2981"/>
      <c r="D189" s="2981"/>
      <c r="E189" s="2981"/>
      <c r="F189" s="2980">
        <v>0.05</v>
      </c>
      <c r="G189" s="2994"/>
    </row>
    <row r="190" spans="1:7">
      <c r="A190" s="2985" t="s">
        <v>304</v>
      </c>
      <c r="B190" s="2971" t="s">
        <v>2856</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2892</v>
      </c>
      <c r="C199" s="2976">
        <v>0.13</v>
      </c>
      <c r="D199" s="2976">
        <v>0.13</v>
      </c>
      <c r="E199" s="2976">
        <v>0.13</v>
      </c>
      <c r="F199" s="2976">
        <v>0.13</v>
      </c>
      <c r="G199" s="2977">
        <v>0.13</v>
      </c>
    </row>
    <row r="200" spans="1:7">
      <c r="A200" s="2986" t="s">
        <v>304</v>
      </c>
      <c r="B200" s="2975" t="s">
        <v>2895</v>
      </c>
      <c r="C200" s="2992"/>
      <c r="D200" s="2992"/>
      <c r="E200" s="2992"/>
      <c r="F200" s="2976">
        <v>0.13</v>
      </c>
      <c r="G200" s="2988"/>
    </row>
    <row r="201" spans="1:7">
      <c r="A201" s="2986" t="s">
        <v>304</v>
      </c>
      <c r="B201" s="2975" t="s">
        <v>2900</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2903</v>
      </c>
      <c r="C203" s="2976">
        <v>0.129</v>
      </c>
      <c r="D203" s="2976">
        <v>0.129</v>
      </c>
      <c r="E203" s="2976">
        <v>0.13</v>
      </c>
      <c r="F203" s="2976">
        <v>0.13</v>
      </c>
      <c r="G203" s="2977">
        <v>0.13</v>
      </c>
    </row>
    <row r="204" spans="1:7">
      <c r="A204" s="2986" t="s">
        <v>304</v>
      </c>
      <c r="B204" s="2975" t="s">
        <v>2906</v>
      </c>
      <c r="C204" s="2976">
        <v>0.129</v>
      </c>
      <c r="D204" s="2976">
        <v>0.129</v>
      </c>
      <c r="E204" s="2976">
        <v>0.123</v>
      </c>
      <c r="F204" s="2976">
        <v>0.13</v>
      </c>
      <c r="G204" s="2977">
        <v>0.13</v>
      </c>
    </row>
    <row r="205" spans="1:7">
      <c r="A205" s="2986" t="s">
        <v>304</v>
      </c>
      <c r="B205" s="2975" t="s">
        <v>2908</v>
      </c>
      <c r="C205" s="2976">
        <v>0.13</v>
      </c>
      <c r="D205" s="2976">
        <v>0.13</v>
      </c>
      <c r="E205" s="2976">
        <v>0.13</v>
      </c>
      <c r="F205" s="2976">
        <v>0.13</v>
      </c>
      <c r="G205" s="2977">
        <v>0.13</v>
      </c>
    </row>
    <row r="206" spans="1:7">
      <c r="A206" s="2986" t="s">
        <v>304</v>
      </c>
      <c r="B206" s="2975" t="s">
        <v>2911</v>
      </c>
      <c r="C206" s="2976">
        <v>0.13</v>
      </c>
      <c r="D206" s="2976">
        <v>0.13</v>
      </c>
      <c r="E206" s="2976">
        <v>0.13</v>
      </c>
      <c r="F206" s="2976">
        <v>0.128</v>
      </c>
      <c r="G206" s="2977">
        <v>0.13</v>
      </c>
    </row>
    <row r="207" spans="1:7">
      <c r="A207" s="2986" t="s">
        <v>304</v>
      </c>
      <c r="B207" s="2975" t="s">
        <v>2913</v>
      </c>
      <c r="C207" s="2976">
        <v>0.13</v>
      </c>
      <c r="D207" s="2976">
        <v>0.13</v>
      </c>
      <c r="E207" s="2976">
        <v>0.13</v>
      </c>
      <c r="F207" s="2976">
        <v>0.13</v>
      </c>
      <c r="G207" s="2977">
        <v>0.13</v>
      </c>
    </row>
    <row r="208" spans="1:7">
      <c r="A208" s="2986" t="s">
        <v>304</v>
      </c>
      <c r="B208" s="2975" t="s">
        <v>2916</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2923</v>
      </c>
      <c r="C210" s="2976">
        <v>0.121</v>
      </c>
      <c r="D210" s="2976">
        <v>0.121</v>
      </c>
      <c r="E210" s="2976">
        <v>0.125</v>
      </c>
      <c r="F210" s="2976">
        <v>0.13</v>
      </c>
      <c r="G210" s="2977">
        <v>0.123</v>
      </c>
    </row>
    <row r="211" spans="1:7">
      <c r="A211" s="2986" t="s">
        <v>304</v>
      </c>
      <c r="B211" s="2975" t="s">
        <v>2926</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2938</v>
      </c>
      <c r="C214" s="2976">
        <v>0.128</v>
      </c>
      <c r="D214" s="2976">
        <v>0.128</v>
      </c>
      <c r="E214" s="2976">
        <v>0.13</v>
      </c>
      <c r="F214" s="2976">
        <v>0.13</v>
      </c>
      <c r="G214" s="2977">
        <v>0.13</v>
      </c>
    </row>
    <row r="215" spans="1:7">
      <c r="A215" s="2986" t="s">
        <v>304</v>
      </c>
      <c r="B215" s="2975" t="s">
        <v>2942</v>
      </c>
      <c r="C215" s="2976">
        <v>0.13</v>
      </c>
      <c r="D215" s="2976">
        <v>0.13</v>
      </c>
      <c r="E215" s="2976">
        <v>0.13</v>
      </c>
      <c r="F215" s="2976">
        <v>0.129</v>
      </c>
      <c r="G215" s="2977">
        <v>0.13</v>
      </c>
    </row>
    <row r="216" spans="1:7">
      <c r="A216" s="2986" t="s">
        <v>304</v>
      </c>
      <c r="B216" s="2975" t="s">
        <v>2949</v>
      </c>
      <c r="C216" s="2976">
        <v>0.13</v>
      </c>
      <c r="D216" s="2976">
        <v>0.13</v>
      </c>
      <c r="E216" s="2976">
        <v>0.13</v>
      </c>
      <c r="F216" s="2976">
        <v>0.13</v>
      </c>
      <c r="G216" s="2977">
        <v>0.13</v>
      </c>
    </row>
    <row r="217" spans="1:7">
      <c r="A217" s="2986" t="s">
        <v>304</v>
      </c>
      <c r="B217" s="2975" t="s">
        <v>2956</v>
      </c>
      <c r="C217" s="2976">
        <v>0.129</v>
      </c>
      <c r="D217" s="2976">
        <v>0.129</v>
      </c>
      <c r="E217" s="2976">
        <v>0.13</v>
      </c>
      <c r="F217" s="2976">
        <v>0.13</v>
      </c>
      <c r="G217" s="2977">
        <v>0.13</v>
      </c>
    </row>
    <row r="218" spans="1:7">
      <c r="A218" s="2986" t="s">
        <v>304</v>
      </c>
      <c r="B218" s="2975" t="s">
        <v>2962</v>
      </c>
      <c r="C218" s="2987"/>
      <c r="D218" s="2987"/>
      <c r="E218" s="2987"/>
      <c r="F218" s="2976">
        <v>0.05</v>
      </c>
      <c r="G218" s="2993"/>
    </row>
    <row r="219" spans="1:7">
      <c r="A219" s="2986" t="s">
        <v>304</v>
      </c>
      <c r="B219" s="2975" t="s">
        <v>2969</v>
      </c>
      <c r="C219" s="2987"/>
      <c r="D219" s="2987"/>
      <c r="E219" s="2987"/>
      <c r="F219" s="2976">
        <v>0.05</v>
      </c>
      <c r="G219" s="2993"/>
    </row>
    <row r="220" spans="1:7">
      <c r="A220" s="2986" t="s">
        <v>304</v>
      </c>
      <c r="B220" s="2975" t="s">
        <v>2975</v>
      </c>
      <c r="C220" s="2987"/>
      <c r="D220" s="2987"/>
      <c r="E220" s="2987"/>
      <c r="F220" s="2976">
        <v>0.05</v>
      </c>
      <c r="G220" s="2993"/>
    </row>
    <row r="221" spans="1:7">
      <c r="A221" s="2986" t="s">
        <v>304</v>
      </c>
      <c r="B221" s="2975" t="s">
        <v>2980</v>
      </c>
      <c r="C221" s="2987"/>
      <c r="D221" s="2987"/>
      <c r="E221" s="2987"/>
      <c r="F221" s="2976">
        <v>0.05</v>
      </c>
      <c r="G221" s="2993"/>
    </row>
    <row r="222" spans="1:7">
      <c r="A222" s="2986" t="s">
        <v>304</v>
      </c>
      <c r="B222" s="2975" t="s">
        <v>2984</v>
      </c>
      <c r="C222" s="2987"/>
      <c r="D222" s="2987"/>
      <c r="E222" s="2987"/>
      <c r="F222" s="2976">
        <v>0.05</v>
      </c>
      <c r="G222" s="2993"/>
    </row>
    <row r="223" spans="1:7">
      <c r="A223" s="2986" t="s">
        <v>304</v>
      </c>
      <c r="B223" s="2975" t="s">
        <v>2989</v>
      </c>
      <c r="C223" s="2987"/>
      <c r="D223" s="2987"/>
      <c r="E223" s="2987"/>
      <c r="F223" s="2976">
        <v>0.05</v>
      </c>
      <c r="G223" s="2993"/>
    </row>
    <row r="224" spans="1:7">
      <c r="A224" s="2986" t="s">
        <v>304</v>
      </c>
      <c r="B224" s="2975" t="s">
        <v>2994</v>
      </c>
      <c r="C224" s="2987"/>
      <c r="D224" s="2987"/>
      <c r="E224" s="2987"/>
      <c r="F224" s="2976">
        <v>0.05</v>
      </c>
      <c r="G224" s="2993"/>
    </row>
    <row r="225" spans="1:7">
      <c r="A225" s="2986" t="s">
        <v>304</v>
      </c>
      <c r="B225" s="2975" t="s">
        <v>2999</v>
      </c>
      <c r="C225" s="2987"/>
      <c r="D225" s="2987"/>
      <c r="E225" s="2987"/>
      <c r="F225" s="2976">
        <v>0.05</v>
      </c>
      <c r="G225" s="2993"/>
    </row>
    <row r="226" spans="1:7">
      <c r="A226" s="2986" t="s">
        <v>304</v>
      </c>
      <c r="B226" s="2975" t="s">
        <v>3201</v>
      </c>
      <c r="C226" s="2987"/>
      <c r="D226" s="2987"/>
      <c r="E226" s="2987"/>
      <c r="F226" s="2976">
        <v>0.05</v>
      </c>
      <c r="G226" s="2993"/>
    </row>
    <row r="227" spans="1:7">
      <c r="A227" s="2986" t="s">
        <v>304</v>
      </c>
      <c r="B227" s="2975" t="s">
        <v>3202</v>
      </c>
      <c r="C227" s="2987"/>
      <c r="D227" s="2987"/>
      <c r="E227" s="2987"/>
      <c r="F227" s="2976">
        <v>0.05</v>
      </c>
      <c r="G227" s="2993"/>
    </row>
    <row r="228" spans="1:7">
      <c r="A228" s="2986" t="s">
        <v>304</v>
      </c>
      <c r="B228" s="2975" t="s">
        <v>3203</v>
      </c>
      <c r="C228" s="2987"/>
      <c r="D228" s="2987"/>
      <c r="E228" s="2987"/>
      <c r="F228" s="2976">
        <v>0.05</v>
      </c>
      <c r="G228" s="2993"/>
    </row>
    <row r="229" spans="1:7">
      <c r="A229" s="2986" t="s">
        <v>304</v>
      </c>
      <c r="B229" s="2975" t="s">
        <v>3204</v>
      </c>
      <c r="C229" s="2987"/>
      <c r="D229" s="2987"/>
      <c r="E229" s="2987"/>
      <c r="F229" s="2976">
        <v>0.05</v>
      </c>
      <c r="G229" s="2993"/>
    </row>
    <row r="230" spans="1:7">
      <c r="A230" s="2986" t="s">
        <v>304</v>
      </c>
      <c r="B230" s="2975" t="s">
        <v>3205</v>
      </c>
      <c r="C230" s="2987"/>
      <c r="D230" s="2987"/>
      <c r="E230" s="2987"/>
      <c r="F230" s="2976">
        <v>0.05</v>
      </c>
      <c r="G230" s="2993"/>
    </row>
    <row r="231" spans="1:7">
      <c r="A231" s="2986" t="s">
        <v>304</v>
      </c>
      <c r="B231" s="2975" t="s">
        <v>3206</v>
      </c>
      <c r="C231" s="2987"/>
      <c r="D231" s="2987"/>
      <c r="E231" s="2987"/>
      <c r="F231" s="2976">
        <v>0.05</v>
      </c>
      <c r="G231" s="2993"/>
    </row>
    <row r="232" spans="1:7">
      <c r="A232" s="2986" t="s">
        <v>304</v>
      </c>
      <c r="B232" s="2975" t="s">
        <v>3207</v>
      </c>
      <c r="C232" s="2987"/>
      <c r="D232" s="2987"/>
      <c r="E232" s="2987"/>
      <c r="F232" s="2976">
        <v>0.05</v>
      </c>
      <c r="G232" s="2993"/>
    </row>
    <row r="233" spans="1:7" ht="14.5" thickBot="1">
      <c r="A233" s="2989" t="s">
        <v>304</v>
      </c>
      <c r="B233" s="2979" t="s">
        <v>3208</v>
      </c>
      <c r="C233" s="2981"/>
      <c r="D233" s="2981"/>
      <c r="E233" s="2981"/>
      <c r="F233" s="2980">
        <v>0.05</v>
      </c>
      <c r="G233" s="2994"/>
    </row>
    <row r="234" spans="1:7">
      <c r="A234" s="2985" t="s">
        <v>305</v>
      </c>
      <c r="B234" s="2971" t="s">
        <v>2857</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2877</v>
      </c>
      <c r="C238" s="2976">
        <v>0.14899999999999999</v>
      </c>
      <c r="D238" s="2976">
        <v>0.14899999999999999</v>
      </c>
      <c r="E238" s="2976">
        <v>0.15</v>
      </c>
      <c r="F238" s="2976">
        <v>0.15</v>
      </c>
      <c r="G238" s="2977">
        <v>0.15</v>
      </c>
    </row>
    <row r="239" spans="1:7">
      <c r="A239" s="2986" t="s">
        <v>305</v>
      </c>
      <c r="B239" s="2975" t="s">
        <v>2881</v>
      </c>
      <c r="C239" s="2976">
        <v>0.15</v>
      </c>
      <c r="D239" s="2976">
        <v>0.15</v>
      </c>
      <c r="E239" s="2976">
        <v>0.15</v>
      </c>
      <c r="F239" s="2976">
        <v>0.15</v>
      </c>
      <c r="G239" s="2977">
        <v>0.15</v>
      </c>
    </row>
    <row r="240" spans="1:7">
      <c r="A240" s="2986" t="s">
        <v>305</v>
      </c>
      <c r="B240" s="2975" t="s">
        <v>2886</v>
      </c>
      <c r="C240" s="2976">
        <v>0.15</v>
      </c>
      <c r="D240" s="2976">
        <v>0.15</v>
      </c>
      <c r="E240" s="2976">
        <v>0.15</v>
      </c>
      <c r="F240" s="2976">
        <v>0.15</v>
      </c>
      <c r="G240" s="2977">
        <v>0.15</v>
      </c>
    </row>
    <row r="241" spans="1:7">
      <c r="A241" s="2986" t="s">
        <v>305</v>
      </c>
      <c r="B241" s="2975" t="s">
        <v>2890</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2896</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2904</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2909</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2917</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2930</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2939</v>
      </c>
      <c r="C258" s="2976">
        <v>0.14299999999999999</v>
      </c>
      <c r="D258" s="2976">
        <v>0.14299999999999999</v>
      </c>
      <c r="E258" s="2976">
        <v>0.15</v>
      </c>
      <c r="F258" s="2976">
        <v>0.14799999999999999</v>
      </c>
      <c r="G258" s="2977">
        <v>0.14599999999999999</v>
      </c>
    </row>
    <row r="259" spans="1:7">
      <c r="A259" s="2986" t="s">
        <v>305</v>
      </c>
      <c r="B259" s="2975" t="s">
        <v>2943</v>
      </c>
      <c r="C259" s="2976">
        <v>0.14399999999999999</v>
      </c>
      <c r="D259" s="2976">
        <v>0.14399999999999999</v>
      </c>
      <c r="E259" s="2976">
        <v>0.14899999999999999</v>
      </c>
      <c r="F259" s="2976">
        <v>0.14699999999999999</v>
      </c>
      <c r="G259" s="2977">
        <v>0.14599999999999999</v>
      </c>
    </row>
    <row r="260" spans="1:7">
      <c r="A260" s="2986" t="s">
        <v>305</v>
      </c>
      <c r="B260" s="2975" t="s">
        <v>2950</v>
      </c>
      <c r="C260" s="2976">
        <v>0.109</v>
      </c>
      <c r="D260" s="2976">
        <v>0.111</v>
      </c>
      <c r="E260" s="2976">
        <v>0.13100000000000001</v>
      </c>
      <c r="F260" s="2976">
        <v>0.126</v>
      </c>
      <c r="G260" s="2977">
        <v>0.11899999999999999</v>
      </c>
    </row>
    <row r="261" spans="1:7">
      <c r="A261" s="2986" t="s">
        <v>305</v>
      </c>
      <c r="B261" s="2975" t="s">
        <v>2957</v>
      </c>
      <c r="C261" s="2976">
        <v>0.1</v>
      </c>
      <c r="D261" s="2976">
        <v>0.1</v>
      </c>
      <c r="E261" s="2976">
        <v>0.11799999999999999</v>
      </c>
      <c r="F261" s="2976">
        <v>0.108</v>
      </c>
      <c r="G261" s="2977">
        <v>0.107</v>
      </c>
    </row>
    <row r="262" spans="1:7">
      <c r="A262" s="2986" t="s">
        <v>305</v>
      </c>
      <c r="B262" s="2975" t="s">
        <v>2963</v>
      </c>
      <c r="C262" s="2976">
        <v>0.1</v>
      </c>
      <c r="D262" s="2976">
        <v>0.1</v>
      </c>
      <c r="E262" s="2976">
        <v>0.1</v>
      </c>
      <c r="F262" s="2976">
        <v>0.14099999999999999</v>
      </c>
      <c r="G262" s="2977">
        <v>0.1</v>
      </c>
    </row>
    <row r="263" spans="1:7">
      <c r="A263" s="2986" t="s">
        <v>305</v>
      </c>
      <c r="B263" s="2975" t="s">
        <v>2970</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2981</v>
      </c>
      <c r="C265" s="2987"/>
      <c r="D265" s="2987"/>
      <c r="E265" s="2987"/>
      <c r="F265" s="2976">
        <v>0.05</v>
      </c>
      <c r="G265" s="2993"/>
    </row>
    <row r="266" spans="1:7">
      <c r="A266" s="2986" t="s">
        <v>305</v>
      </c>
      <c r="B266" s="2975" t="s">
        <v>2985</v>
      </c>
      <c r="C266" s="2987"/>
      <c r="D266" s="2987"/>
      <c r="E266" s="2987"/>
      <c r="F266" s="2976">
        <v>0.05</v>
      </c>
      <c r="G266" s="2993"/>
    </row>
    <row r="267" spans="1:7">
      <c r="A267" s="2986" t="s">
        <v>305</v>
      </c>
      <c r="B267" s="2975" t="s">
        <v>2990</v>
      </c>
      <c r="C267" s="2987"/>
      <c r="D267" s="2987"/>
      <c r="E267" s="2987"/>
      <c r="F267" s="2976">
        <v>0.05</v>
      </c>
      <c r="G267" s="2993"/>
    </row>
    <row r="268" spans="1:7">
      <c r="A268" s="2986" t="s">
        <v>305</v>
      </c>
      <c r="B268" s="2975" t="s">
        <v>2995</v>
      </c>
      <c r="C268" s="2987"/>
      <c r="D268" s="2987"/>
      <c r="E268" s="2987"/>
      <c r="F268" s="2976">
        <v>0.05</v>
      </c>
      <c r="G268" s="2993"/>
    </row>
    <row r="269" spans="1:7">
      <c r="A269" s="2986" t="s">
        <v>305</v>
      </c>
      <c r="B269" s="2975" t="s">
        <v>3000</v>
      </c>
      <c r="C269" s="2987"/>
      <c r="D269" s="2987"/>
      <c r="E269" s="2987"/>
      <c r="F269" s="2976">
        <v>0.05</v>
      </c>
      <c r="G269" s="2993"/>
    </row>
    <row r="270" spans="1:7">
      <c r="A270" s="2986" t="s">
        <v>305</v>
      </c>
      <c r="B270" s="2975" t="s">
        <v>3005</v>
      </c>
      <c r="C270" s="2987"/>
      <c r="D270" s="2987"/>
      <c r="E270" s="2987"/>
      <c r="F270" s="2976">
        <v>0.05</v>
      </c>
      <c r="G270" s="2993"/>
    </row>
    <row r="271" spans="1:7">
      <c r="A271" s="2986" t="s">
        <v>305</v>
      </c>
      <c r="B271" s="2975" t="s">
        <v>3209</v>
      </c>
      <c r="C271" s="2987"/>
      <c r="D271" s="2987"/>
      <c r="E271" s="2987"/>
      <c r="F271" s="2976">
        <v>0.05</v>
      </c>
      <c r="G271" s="2993"/>
    </row>
    <row r="272" spans="1:7">
      <c r="A272" s="2986" t="s">
        <v>305</v>
      </c>
      <c r="B272" s="2975" t="s">
        <v>3210</v>
      </c>
      <c r="C272" s="2987"/>
      <c r="D272" s="2987"/>
      <c r="E272" s="2987"/>
      <c r="F272" s="2976">
        <v>0.05</v>
      </c>
      <c r="G272" s="2993"/>
    </row>
    <row r="273" spans="1:7">
      <c r="A273" s="2986" t="s">
        <v>305</v>
      </c>
      <c r="B273" s="2975" t="s">
        <v>3211</v>
      </c>
      <c r="C273" s="2987"/>
      <c r="D273" s="2987"/>
      <c r="E273" s="2987"/>
      <c r="F273" s="2976">
        <v>0.05</v>
      </c>
      <c r="G273" s="2993"/>
    </row>
    <row r="274" spans="1:7">
      <c r="A274" s="2986" t="s">
        <v>305</v>
      </c>
      <c r="B274" s="2975" t="s">
        <v>3212</v>
      </c>
      <c r="C274" s="2987"/>
      <c r="D274" s="2987"/>
      <c r="E274" s="2987"/>
      <c r="F274" s="2976">
        <v>0.05</v>
      </c>
      <c r="G274" s="2993"/>
    </row>
    <row r="275" spans="1:7">
      <c r="A275" s="2986" t="s">
        <v>305</v>
      </c>
      <c r="B275" s="2975" t="s">
        <v>3213</v>
      </c>
      <c r="C275" s="2987"/>
      <c r="D275" s="2987"/>
      <c r="E275" s="2987"/>
      <c r="F275" s="2976">
        <v>0.05</v>
      </c>
      <c r="G275" s="2993"/>
    </row>
    <row r="276" spans="1:7" ht="14.5" thickBot="1">
      <c r="A276" s="2989" t="s">
        <v>305</v>
      </c>
      <c r="B276" s="2979" t="s">
        <v>3214</v>
      </c>
      <c r="C276" s="2981"/>
      <c r="D276" s="2981"/>
      <c r="E276" s="2981"/>
      <c r="F276" s="2980">
        <v>0.05</v>
      </c>
      <c r="G276" s="2994"/>
    </row>
    <row r="277" spans="1:7">
      <c r="A277" s="2985" t="s">
        <v>306</v>
      </c>
      <c r="B277" s="2971" t="s">
        <v>2858</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2870</v>
      </c>
      <c r="C279" s="2976">
        <v>0.15</v>
      </c>
      <c r="D279" s="2976">
        <v>0.15</v>
      </c>
      <c r="E279" s="2976">
        <v>0.15</v>
      </c>
      <c r="F279" s="2976">
        <v>0.15</v>
      </c>
      <c r="G279" s="2977">
        <v>0.15</v>
      </c>
    </row>
    <row r="280" spans="1:7">
      <c r="A280" s="2986" t="s">
        <v>306</v>
      </c>
      <c r="B280" s="2975" t="s">
        <v>2874</v>
      </c>
      <c r="C280" s="2976">
        <v>0.15</v>
      </c>
      <c r="D280" s="2976">
        <v>0.15</v>
      </c>
      <c r="E280" s="2976">
        <v>0.15</v>
      </c>
      <c r="F280" s="2976">
        <v>0.15</v>
      </c>
      <c r="G280" s="2977">
        <v>0.15</v>
      </c>
    </row>
    <row r="281" spans="1:7">
      <c r="A281" s="2986" t="s">
        <v>306</v>
      </c>
      <c r="B281" s="2975" t="s">
        <v>2878</v>
      </c>
      <c r="C281" s="2976">
        <v>0.15</v>
      </c>
      <c r="D281" s="2976">
        <v>0.15</v>
      </c>
      <c r="E281" s="2976">
        <v>0.15</v>
      </c>
      <c r="F281" s="2976">
        <v>0.15</v>
      </c>
      <c r="G281" s="2977">
        <v>0.15</v>
      </c>
    </row>
    <row r="282" spans="1:7">
      <c r="A282" s="2986" t="s">
        <v>306</v>
      </c>
      <c r="B282" s="2975" t="s">
        <v>2882</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2897</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2902</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2912</v>
      </c>
      <c r="C293" s="2976">
        <v>0.15</v>
      </c>
      <c r="D293" s="2976">
        <v>0.15</v>
      </c>
      <c r="E293" s="2976">
        <v>0.15</v>
      </c>
      <c r="F293" s="2976">
        <v>0.14499999999999999</v>
      </c>
      <c r="G293" s="2977">
        <v>0.15</v>
      </c>
    </row>
    <row r="294" spans="1:7">
      <c r="A294" s="2986" t="s">
        <v>306</v>
      </c>
      <c r="B294" s="2975" t="s">
        <v>2914</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2931</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2944</v>
      </c>
      <c r="C302" s="2976">
        <v>0.15</v>
      </c>
      <c r="D302" s="2976">
        <v>0.15</v>
      </c>
      <c r="E302" s="2976">
        <v>0.15</v>
      </c>
      <c r="F302" s="2976">
        <v>0.14699999999999999</v>
      </c>
      <c r="G302" s="2977">
        <v>0.15</v>
      </c>
    </row>
    <row r="303" spans="1:7">
      <c r="A303" s="2986" t="s">
        <v>306</v>
      </c>
      <c r="B303" s="2975" t="s">
        <v>2951</v>
      </c>
      <c r="C303" s="2976">
        <v>0.15</v>
      </c>
      <c r="D303" s="2976">
        <v>0.15</v>
      </c>
      <c r="E303" s="2976">
        <v>0.15</v>
      </c>
      <c r="F303" s="2976">
        <v>0.14199999999999999</v>
      </c>
      <c r="G303" s="2977">
        <v>0.15</v>
      </c>
    </row>
    <row r="304" spans="1:7">
      <c r="A304" s="2986" t="s">
        <v>306</v>
      </c>
      <c r="B304" s="2975" t="s">
        <v>2958</v>
      </c>
      <c r="C304" s="2976">
        <v>0.15</v>
      </c>
      <c r="D304" s="2976">
        <v>0.15</v>
      </c>
      <c r="E304" s="2976">
        <v>0.15</v>
      </c>
      <c r="F304" s="2976">
        <v>0.14499999999999999</v>
      </c>
      <c r="G304" s="2977">
        <v>0.15</v>
      </c>
    </row>
    <row r="305" spans="1:7">
      <c r="A305" s="2986" t="s">
        <v>306</v>
      </c>
      <c r="B305" s="2975" t="s">
        <v>2964</v>
      </c>
      <c r="C305" s="2976">
        <v>0.15</v>
      </c>
      <c r="D305" s="2976">
        <v>0.15</v>
      </c>
      <c r="E305" s="2976">
        <v>0.15</v>
      </c>
      <c r="F305" s="2976">
        <v>0.111</v>
      </c>
      <c r="G305" s="2977">
        <v>0.15</v>
      </c>
    </row>
    <row r="306" spans="1:7">
      <c r="A306" s="2986" t="s">
        <v>306</v>
      </c>
      <c r="B306" s="2975" t="s">
        <v>2971</v>
      </c>
      <c r="C306" s="2976">
        <v>0.15</v>
      </c>
      <c r="D306" s="2976">
        <v>0.15</v>
      </c>
      <c r="E306" s="2976">
        <v>0.15</v>
      </c>
      <c r="F306" s="2976">
        <v>0.126</v>
      </c>
      <c r="G306" s="2977">
        <v>0.15</v>
      </c>
    </row>
    <row r="307" spans="1:7">
      <c r="A307" s="2986" t="s">
        <v>306</v>
      </c>
      <c r="B307" s="2975" t="s">
        <v>2976</v>
      </c>
      <c r="C307" s="2976">
        <v>0.15</v>
      </c>
      <c r="D307" s="2976">
        <v>0.15</v>
      </c>
      <c r="E307" s="2976">
        <v>0.15</v>
      </c>
      <c r="F307" s="2976">
        <v>0.12</v>
      </c>
      <c r="G307" s="2977">
        <v>0.15</v>
      </c>
    </row>
    <row r="308" spans="1:7">
      <c r="A308" s="2986" t="s">
        <v>306</v>
      </c>
      <c r="B308" s="2975" t="s">
        <v>2982</v>
      </c>
      <c r="C308" s="2976">
        <v>0.15</v>
      </c>
      <c r="D308" s="2976">
        <v>0.15</v>
      </c>
      <c r="E308" s="2976">
        <v>0.15</v>
      </c>
      <c r="F308" s="2976">
        <v>0.13</v>
      </c>
      <c r="G308" s="2977">
        <v>0.15</v>
      </c>
    </row>
    <row r="309" spans="1:7">
      <c r="A309" s="2986" t="s">
        <v>306</v>
      </c>
      <c r="B309" s="2975" t="s">
        <v>2986</v>
      </c>
      <c r="C309" s="2976">
        <v>0.15</v>
      </c>
      <c r="D309" s="2976">
        <v>0.15</v>
      </c>
      <c r="E309" s="2976">
        <v>0.15</v>
      </c>
      <c r="F309" s="2976">
        <v>0.14099999999999999</v>
      </c>
      <c r="G309" s="2977">
        <v>0.15</v>
      </c>
    </row>
    <row r="310" spans="1:7">
      <c r="A310" s="2986" t="s">
        <v>306</v>
      </c>
      <c r="B310" s="2975" t="s">
        <v>2991</v>
      </c>
      <c r="C310" s="2976">
        <v>0.15</v>
      </c>
      <c r="D310" s="2976">
        <v>0.15</v>
      </c>
      <c r="E310" s="2976">
        <v>0.15</v>
      </c>
      <c r="F310" s="2976">
        <v>0.15</v>
      </c>
      <c r="G310" s="2977">
        <v>0.15</v>
      </c>
    </row>
    <row r="311" spans="1:7">
      <c r="A311" s="2986" t="s">
        <v>306</v>
      </c>
      <c r="B311" s="2975" t="s">
        <v>2996</v>
      </c>
      <c r="C311" s="2976">
        <v>0.13200000000000001</v>
      </c>
      <c r="D311" s="2976">
        <v>0.13300000000000001</v>
      </c>
      <c r="E311" s="2976">
        <v>0.14499999999999999</v>
      </c>
      <c r="F311" s="2976">
        <v>0.14199999999999999</v>
      </c>
      <c r="G311" s="2977">
        <v>0.14000000000000001</v>
      </c>
    </row>
    <row r="312" spans="1:7">
      <c r="A312" s="2986" t="s">
        <v>306</v>
      </c>
      <c r="B312" s="2975" t="s">
        <v>3001</v>
      </c>
      <c r="C312" s="2976">
        <v>0.13800000000000001</v>
      </c>
      <c r="D312" s="2976">
        <v>0.14000000000000001</v>
      </c>
      <c r="E312" s="2976">
        <v>0.14599999999999999</v>
      </c>
      <c r="F312" s="2976">
        <v>0.14899999999999999</v>
      </c>
      <c r="G312" s="2977">
        <v>0.14199999999999999</v>
      </c>
    </row>
    <row r="313" spans="1:7">
      <c r="A313" s="2986" t="s">
        <v>306</v>
      </c>
      <c r="B313" s="2975" t="s">
        <v>3006</v>
      </c>
      <c r="C313" s="2976">
        <v>0.125</v>
      </c>
      <c r="D313" s="2976">
        <v>0.127</v>
      </c>
      <c r="E313" s="2976">
        <v>0.14399999999999999</v>
      </c>
      <c r="F313" s="2976">
        <v>0.115</v>
      </c>
      <c r="G313" s="2977">
        <v>0.13600000000000001</v>
      </c>
    </row>
    <row r="314" spans="1:7">
      <c r="A314" s="2986" t="s">
        <v>306</v>
      </c>
      <c r="B314" s="2975" t="s">
        <v>3215</v>
      </c>
      <c r="C314" s="2992"/>
      <c r="D314" s="2992"/>
      <c r="E314" s="2992"/>
      <c r="F314" s="2976">
        <v>0.05</v>
      </c>
      <c r="G314" s="2993"/>
    </row>
    <row r="315" spans="1:7">
      <c r="A315" s="2986" t="s">
        <v>306</v>
      </c>
      <c r="B315" s="2975" t="s">
        <v>3216</v>
      </c>
      <c r="C315" s="2992"/>
      <c r="D315" s="2992"/>
      <c r="E315" s="2992"/>
      <c r="F315" s="2976">
        <v>0.05</v>
      </c>
      <c r="G315" s="2993"/>
    </row>
    <row r="316" spans="1:7">
      <c r="A316" s="2986" t="s">
        <v>306</v>
      </c>
      <c r="B316" s="2975" t="s">
        <v>3217</v>
      </c>
      <c r="C316" s="2987"/>
      <c r="D316" s="2987"/>
      <c r="E316" s="2987"/>
      <c r="F316" s="2976">
        <v>0.05</v>
      </c>
      <c r="G316" s="2993"/>
    </row>
    <row r="317" spans="1:7">
      <c r="A317" s="2986" t="s">
        <v>306</v>
      </c>
      <c r="B317" s="2975" t="s">
        <v>3218</v>
      </c>
      <c r="C317" s="2987"/>
      <c r="D317" s="2987"/>
      <c r="E317" s="2987"/>
      <c r="F317" s="2976">
        <v>0.05</v>
      </c>
      <c r="G317" s="2993"/>
    </row>
    <row r="318" spans="1:7">
      <c r="A318" s="2986" t="s">
        <v>306</v>
      </c>
      <c r="B318" s="2975" t="s">
        <v>3219</v>
      </c>
      <c r="C318" s="2987"/>
      <c r="D318" s="2987"/>
      <c r="E318" s="2987"/>
      <c r="F318" s="2976">
        <v>0.05</v>
      </c>
      <c r="G318" s="2993"/>
    </row>
    <row r="319" spans="1:7">
      <c r="A319" s="2986" t="s">
        <v>306</v>
      </c>
      <c r="B319" s="2975" t="s">
        <v>3220</v>
      </c>
      <c r="C319" s="2987"/>
      <c r="D319" s="2987"/>
      <c r="E319" s="2987"/>
      <c r="F319" s="2976">
        <v>0.05</v>
      </c>
      <c r="G319" s="2993"/>
    </row>
    <row r="320" spans="1:7">
      <c r="A320" s="2986" t="s">
        <v>306</v>
      </c>
      <c r="B320" s="2975" t="s">
        <v>3221</v>
      </c>
      <c r="C320" s="2987"/>
      <c r="D320" s="2987"/>
      <c r="E320" s="2987"/>
      <c r="F320" s="2976">
        <v>0.05</v>
      </c>
      <c r="G320" s="2993"/>
    </row>
    <row r="321" spans="1:7">
      <c r="A321" s="2986" t="s">
        <v>306</v>
      </c>
      <c r="B321" s="2975" t="s">
        <v>3222</v>
      </c>
      <c r="C321" s="2987"/>
      <c r="D321" s="2987"/>
      <c r="E321" s="2987"/>
      <c r="F321" s="2976">
        <v>0.05</v>
      </c>
      <c r="G321" s="2993"/>
    </row>
    <row r="322" spans="1:7">
      <c r="A322" s="2986" t="s">
        <v>306</v>
      </c>
      <c r="B322" s="2975" t="s">
        <v>3223</v>
      </c>
      <c r="C322" s="2987"/>
      <c r="D322" s="2987"/>
      <c r="E322" s="2987"/>
      <c r="F322" s="2976">
        <v>0.05</v>
      </c>
      <c r="G322" s="2993"/>
    </row>
    <row r="323" spans="1:7">
      <c r="A323" s="2986" t="s">
        <v>306</v>
      </c>
      <c r="B323" s="2975" t="s">
        <v>3224</v>
      </c>
      <c r="C323" s="2987"/>
      <c r="D323" s="2987"/>
      <c r="E323" s="2987"/>
      <c r="F323" s="2976">
        <v>0.05</v>
      </c>
      <c r="G323" s="2993"/>
    </row>
    <row r="324" spans="1:7">
      <c r="A324" s="2986" t="s">
        <v>306</v>
      </c>
      <c r="B324" s="2975" t="s">
        <v>3225</v>
      </c>
      <c r="C324" s="2987"/>
      <c r="D324" s="2987"/>
      <c r="E324" s="2987"/>
      <c r="F324" s="2976">
        <v>0.05</v>
      </c>
      <c r="G324" s="2993"/>
    </row>
    <row r="325" spans="1:7">
      <c r="A325" s="2986" t="s">
        <v>306</v>
      </c>
      <c r="B325" s="2975" t="s">
        <v>3226</v>
      </c>
      <c r="C325" s="2987"/>
      <c r="D325" s="2987"/>
      <c r="E325" s="2987"/>
      <c r="F325" s="2976">
        <v>0.05</v>
      </c>
      <c r="G325" s="2993"/>
    </row>
    <row r="326" spans="1:7" ht="14.5" thickBot="1">
      <c r="A326" s="2989" t="s">
        <v>306</v>
      </c>
      <c r="B326" s="2979" t="s">
        <v>3227</v>
      </c>
      <c r="C326" s="2981"/>
      <c r="D326" s="2981"/>
      <c r="E326" s="2981"/>
      <c r="F326" s="2980">
        <v>0.05</v>
      </c>
      <c r="G326" s="2994"/>
    </row>
    <row r="327" spans="1:7">
      <c r="A327" s="2985" t="s">
        <v>307</v>
      </c>
      <c r="B327" s="2971" t="s">
        <v>2859</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2871</v>
      </c>
      <c r="C329" s="2976">
        <v>0.15</v>
      </c>
      <c r="D329" s="2976">
        <v>0.15</v>
      </c>
      <c r="E329" s="2976">
        <v>0.15</v>
      </c>
      <c r="F329" s="2976">
        <v>0.15</v>
      </c>
      <c r="G329" s="2977">
        <v>0.15</v>
      </c>
    </row>
    <row r="330" spans="1:7">
      <c r="A330" s="2986" t="s">
        <v>307</v>
      </c>
      <c r="B330" s="2975" t="s">
        <v>2875</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2883</v>
      </c>
      <c r="C332" s="2976">
        <v>0.15</v>
      </c>
      <c r="D332" s="2976">
        <v>0.15</v>
      </c>
      <c r="E332" s="2976">
        <v>0.15</v>
      </c>
      <c r="F332" s="2976">
        <v>0.15</v>
      </c>
      <c r="G332" s="2977">
        <v>0.15</v>
      </c>
    </row>
    <row r="333" spans="1:7">
      <c r="A333" s="2986" t="s">
        <v>307</v>
      </c>
      <c r="B333" s="2975" t="s">
        <v>2887</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2893</v>
      </c>
      <c r="C336" s="2976">
        <v>0.15</v>
      </c>
      <c r="D336" s="2976">
        <v>0.15</v>
      </c>
      <c r="E336" s="2976">
        <v>0.15</v>
      </c>
      <c r="F336" s="2976">
        <v>0.14199999999999999</v>
      </c>
      <c r="G336" s="2977">
        <v>0.15</v>
      </c>
    </row>
    <row r="337" spans="1:7">
      <c r="A337" s="2986" t="s">
        <v>307</v>
      </c>
      <c r="B337" s="2975" t="s">
        <v>2898</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2905</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2910</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2918</v>
      </c>
      <c r="C345" s="2976">
        <v>0.15</v>
      </c>
      <c r="D345" s="2976">
        <v>0.15</v>
      </c>
      <c r="E345" s="2976">
        <v>0.15</v>
      </c>
      <c r="F345" s="2976">
        <v>0.13800000000000001</v>
      </c>
      <c r="G345" s="2977">
        <v>0.15</v>
      </c>
    </row>
    <row r="346" spans="1:7">
      <c r="A346" s="2986" t="s">
        <v>307</v>
      </c>
      <c r="B346" s="2975" t="s">
        <v>2920</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2927</v>
      </c>
      <c r="C348" s="2976">
        <v>0.15</v>
      </c>
      <c r="D348" s="2976">
        <v>0.15</v>
      </c>
      <c r="E348" s="2976">
        <v>0.15</v>
      </c>
      <c r="F348" s="2976">
        <v>0.14399999999999999</v>
      </c>
      <c r="G348" s="2977">
        <v>0.15</v>
      </c>
    </row>
    <row r="349" spans="1:7">
      <c r="A349" s="2986" t="s">
        <v>307</v>
      </c>
      <c r="B349" s="2975" t="s">
        <v>2932</v>
      </c>
      <c r="C349" s="2976">
        <v>0.15</v>
      </c>
      <c r="D349" s="2976">
        <v>0.15</v>
      </c>
      <c r="E349" s="2976">
        <v>0.15</v>
      </c>
      <c r="F349" s="2976">
        <v>0.15</v>
      </c>
      <c r="G349" s="2977">
        <v>0.15</v>
      </c>
    </row>
    <row r="350" spans="1:7">
      <c r="A350" s="2986" t="s">
        <v>307</v>
      </c>
      <c r="B350" s="2975" t="s">
        <v>2935</v>
      </c>
      <c r="C350" s="2976">
        <v>0.15</v>
      </c>
      <c r="D350" s="2976">
        <v>0.15</v>
      </c>
      <c r="E350" s="2976">
        <v>0.15</v>
      </c>
      <c r="F350" s="2976">
        <v>0.14699999999999999</v>
      </c>
      <c r="G350" s="2977">
        <v>0.15</v>
      </c>
    </row>
    <row r="351" spans="1:7">
      <c r="A351" s="2986" t="s">
        <v>307</v>
      </c>
      <c r="B351" s="2975" t="s">
        <v>2940</v>
      </c>
      <c r="C351" s="2976">
        <v>0.15</v>
      </c>
      <c r="D351" s="2976">
        <v>0.15</v>
      </c>
      <c r="E351" s="2976">
        <v>0.15</v>
      </c>
      <c r="F351" s="2976">
        <v>0.13</v>
      </c>
      <c r="G351" s="2977">
        <v>0.15</v>
      </c>
    </row>
    <row r="352" spans="1:7">
      <c r="A352" s="2986" t="s">
        <v>307</v>
      </c>
      <c r="B352" s="2975" t="s">
        <v>2945</v>
      </c>
      <c r="C352" s="2976">
        <v>0.15</v>
      </c>
      <c r="D352" s="2976">
        <v>0.15</v>
      </c>
      <c r="E352" s="2976">
        <v>0.15</v>
      </c>
      <c r="F352" s="2976">
        <v>0.14599999999999999</v>
      </c>
      <c r="G352" s="2977">
        <v>0.15</v>
      </c>
    </row>
    <row r="353" spans="1:7">
      <c r="A353" s="2986" t="s">
        <v>307</v>
      </c>
      <c r="B353" s="2975" t="s">
        <v>2952</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2965</v>
      </c>
      <c r="C355" s="2976">
        <v>0.15</v>
      </c>
      <c r="D355" s="2976">
        <v>0.15</v>
      </c>
      <c r="E355" s="2976">
        <v>0.15</v>
      </c>
      <c r="F355" s="2976">
        <v>0.15</v>
      </c>
      <c r="G355" s="2977">
        <v>0.15</v>
      </c>
    </row>
    <row r="356" spans="1:7">
      <c r="A356" s="2986" t="s">
        <v>307</v>
      </c>
      <c r="B356" s="2975" t="s">
        <v>2972</v>
      </c>
      <c r="C356" s="2976">
        <v>0.15</v>
      </c>
      <c r="D356" s="2976">
        <v>0.15</v>
      </c>
      <c r="E356" s="2976">
        <v>0.15</v>
      </c>
      <c r="F356" s="2976">
        <v>0.15</v>
      </c>
      <c r="G356" s="2977">
        <v>0.15</v>
      </c>
    </row>
    <row r="357" spans="1:7" ht="14.5" thickBot="1">
      <c r="A357" s="2989" t="s">
        <v>307</v>
      </c>
      <c r="B357" s="2979" t="s">
        <v>2977</v>
      </c>
      <c r="C357" s="2980">
        <v>0.126</v>
      </c>
      <c r="D357" s="2980">
        <v>0.127</v>
      </c>
      <c r="E357" s="2980">
        <v>0.14299999999999999</v>
      </c>
      <c r="F357" s="2980">
        <v>0.125</v>
      </c>
      <c r="G357" s="2982">
        <v>0.129</v>
      </c>
    </row>
    <row r="358" spans="1:7">
      <c r="A358" s="2985" t="s">
        <v>2846</v>
      </c>
      <c r="B358" s="2971" t="s">
        <v>2860</v>
      </c>
      <c r="C358" s="2972">
        <v>0.15</v>
      </c>
      <c r="D358" s="2972">
        <v>0.15</v>
      </c>
      <c r="E358" s="2972">
        <v>0.15</v>
      </c>
      <c r="F358" s="2972">
        <v>0.15</v>
      </c>
      <c r="G358" s="2973">
        <v>0.15</v>
      </c>
    </row>
    <row r="359" spans="1:7">
      <c r="A359" s="2986" t="s">
        <v>2846</v>
      </c>
      <c r="B359" s="2975" t="s">
        <v>2866</v>
      </c>
      <c r="C359" s="2976">
        <v>0.1</v>
      </c>
      <c r="D359" s="2976">
        <v>0.1</v>
      </c>
      <c r="E359" s="2976">
        <v>0.1</v>
      </c>
      <c r="F359" s="2976">
        <v>0.1</v>
      </c>
      <c r="G359" s="2977">
        <v>0.1</v>
      </c>
    </row>
    <row r="360" spans="1:7">
      <c r="A360" s="2986" t="s">
        <v>2846</v>
      </c>
      <c r="B360" s="2975" t="s">
        <v>2872</v>
      </c>
      <c r="C360" s="2976">
        <v>0.15</v>
      </c>
      <c r="D360" s="2976">
        <v>0.15</v>
      </c>
      <c r="E360" s="2976">
        <v>0.15</v>
      </c>
      <c r="F360" s="2976">
        <v>0.14899999999999999</v>
      </c>
      <c r="G360" s="2977">
        <v>0.15</v>
      </c>
    </row>
    <row r="361" spans="1:7">
      <c r="A361" s="2986" t="s">
        <v>2846</v>
      </c>
      <c r="B361" s="2975" t="s">
        <v>153</v>
      </c>
      <c r="C361" s="2976">
        <v>0.15</v>
      </c>
      <c r="D361" s="2976">
        <v>0.15</v>
      </c>
      <c r="E361" s="2976">
        <v>0.15</v>
      </c>
      <c r="F361" s="2976">
        <v>0.115</v>
      </c>
      <c r="G361" s="2977">
        <v>0.15</v>
      </c>
    </row>
    <row r="362" spans="1:7">
      <c r="A362" s="2986" t="s">
        <v>2846</v>
      </c>
      <c r="B362" s="2975" t="s">
        <v>2879</v>
      </c>
      <c r="C362" s="2976">
        <v>0.15</v>
      </c>
      <c r="D362" s="2976">
        <v>0.15</v>
      </c>
      <c r="E362" s="2976">
        <v>0.15</v>
      </c>
      <c r="F362" s="2976">
        <v>0.106</v>
      </c>
      <c r="G362" s="2977">
        <v>0.15</v>
      </c>
    </row>
    <row r="363" spans="1:7">
      <c r="A363" s="2986" t="s">
        <v>2846</v>
      </c>
      <c r="B363" s="2975" t="s">
        <v>2884</v>
      </c>
      <c r="C363" s="2976">
        <v>0.15</v>
      </c>
      <c r="D363" s="2976">
        <v>0.15</v>
      </c>
      <c r="E363" s="2976">
        <v>0.15</v>
      </c>
      <c r="F363" s="2976">
        <v>0.14699999999999999</v>
      </c>
      <c r="G363" s="2977">
        <v>0.15</v>
      </c>
    </row>
    <row r="364" spans="1:7">
      <c r="A364" s="2986" t="s">
        <v>2846</v>
      </c>
      <c r="B364" s="2975" t="s">
        <v>2888</v>
      </c>
      <c r="C364" s="2976">
        <v>0.15</v>
      </c>
      <c r="D364" s="2976">
        <v>0.15</v>
      </c>
      <c r="E364" s="2976">
        <v>0.15</v>
      </c>
      <c r="F364" s="2976">
        <v>0.14799999999999999</v>
      </c>
      <c r="G364" s="2977">
        <v>0.15</v>
      </c>
    </row>
    <row r="365" spans="1:7">
      <c r="A365" s="2986" t="s">
        <v>2846</v>
      </c>
      <c r="B365" s="2975" t="s">
        <v>200</v>
      </c>
      <c r="C365" s="2976">
        <v>0.15</v>
      </c>
      <c r="D365" s="2976">
        <v>0.15</v>
      </c>
      <c r="E365" s="2976">
        <v>0.15</v>
      </c>
      <c r="F365" s="2976">
        <v>0.15</v>
      </c>
      <c r="G365" s="2977">
        <v>0.15</v>
      </c>
    </row>
    <row r="366" spans="1:7">
      <c r="A366" s="2986" t="s">
        <v>2846</v>
      </c>
      <c r="B366" s="2975" t="s">
        <v>2891</v>
      </c>
      <c r="C366" s="2976">
        <v>0.15</v>
      </c>
      <c r="D366" s="2976">
        <v>0.15</v>
      </c>
      <c r="E366" s="2976">
        <v>0.15</v>
      </c>
      <c r="F366" s="2976">
        <v>0.15</v>
      </c>
      <c r="G366" s="2977">
        <v>0.15</v>
      </c>
    </row>
    <row r="367" spans="1:7">
      <c r="A367" s="2986" t="s">
        <v>2846</v>
      </c>
      <c r="B367" s="2975" t="s">
        <v>2894</v>
      </c>
      <c r="C367" s="2976">
        <v>0.15</v>
      </c>
      <c r="D367" s="2976">
        <v>0.15</v>
      </c>
      <c r="E367" s="2976">
        <v>0.15</v>
      </c>
      <c r="F367" s="2976">
        <v>0.14699999999999999</v>
      </c>
      <c r="G367" s="2977">
        <v>0.15</v>
      </c>
    </row>
    <row r="368" spans="1:7">
      <c r="A368" s="2986" t="s">
        <v>2846</v>
      </c>
      <c r="B368" s="2975" t="s">
        <v>2899</v>
      </c>
      <c r="C368" s="2976">
        <v>0.15</v>
      </c>
      <c r="D368" s="2976">
        <v>0.15</v>
      </c>
      <c r="E368" s="2976">
        <v>0.15</v>
      </c>
      <c r="F368" s="2976">
        <v>0.13600000000000001</v>
      </c>
      <c r="G368" s="2977">
        <v>0.15</v>
      </c>
    </row>
    <row r="369" spans="1:7">
      <c r="A369" s="2986" t="s">
        <v>2846</v>
      </c>
      <c r="B369" s="2975" t="s">
        <v>214</v>
      </c>
      <c r="C369" s="2976">
        <v>0.15</v>
      </c>
      <c r="D369" s="2976">
        <v>0.15</v>
      </c>
      <c r="E369" s="2976">
        <v>0.15</v>
      </c>
      <c r="F369" s="2976">
        <v>0.14399999999999999</v>
      </c>
      <c r="G369" s="2977">
        <v>0.15</v>
      </c>
    </row>
    <row r="370" spans="1:7">
      <c r="A370" s="2986" t="s">
        <v>2846</v>
      </c>
      <c r="B370" s="2975" t="s">
        <v>221</v>
      </c>
      <c r="C370" s="2976">
        <v>0.15</v>
      </c>
      <c r="D370" s="2976">
        <v>0.15</v>
      </c>
      <c r="E370" s="2976">
        <v>0.15</v>
      </c>
      <c r="F370" s="2976">
        <v>0.14599999999999999</v>
      </c>
      <c r="G370" s="2977">
        <v>0.15</v>
      </c>
    </row>
    <row r="371" spans="1:7">
      <c r="A371" s="2986" t="s">
        <v>2846</v>
      </c>
      <c r="B371" s="2975" t="s">
        <v>229</v>
      </c>
      <c r="C371" s="2976">
        <v>0.15</v>
      </c>
      <c r="D371" s="2976">
        <v>0.15</v>
      </c>
      <c r="E371" s="2976">
        <v>0.15</v>
      </c>
      <c r="F371" s="2976">
        <v>0.12</v>
      </c>
      <c r="G371" s="2977">
        <v>0.15</v>
      </c>
    </row>
    <row r="372" spans="1:7">
      <c r="A372" s="2986" t="s">
        <v>2846</v>
      </c>
      <c r="B372" s="2975" t="s">
        <v>2907</v>
      </c>
      <c r="C372" s="2976">
        <v>0.15</v>
      </c>
      <c r="D372" s="2976">
        <v>0.15</v>
      </c>
      <c r="E372" s="2976">
        <v>0.15</v>
      </c>
      <c r="F372" s="2976">
        <v>0.14299999999999999</v>
      </c>
      <c r="G372" s="2977">
        <v>0.15</v>
      </c>
    </row>
    <row r="373" spans="1:7">
      <c r="A373" s="2986" t="s">
        <v>2846</v>
      </c>
      <c r="B373" s="2975" t="s">
        <v>258</v>
      </c>
      <c r="C373" s="2976">
        <v>0.15</v>
      </c>
      <c r="D373" s="2976">
        <v>0.15</v>
      </c>
      <c r="E373" s="2976">
        <v>0.15</v>
      </c>
      <c r="F373" s="2976">
        <v>0.14599999999999999</v>
      </c>
      <c r="G373" s="2977">
        <v>0.15</v>
      </c>
    </row>
    <row r="374" spans="1:7">
      <c r="A374" s="2986" t="s">
        <v>2846</v>
      </c>
      <c r="B374" s="2975" t="s">
        <v>266</v>
      </c>
      <c r="C374" s="2976">
        <v>0.15</v>
      </c>
      <c r="D374" s="2976">
        <v>0.15</v>
      </c>
      <c r="E374" s="2976">
        <v>0.15</v>
      </c>
      <c r="F374" s="2976">
        <v>0.14399999999999999</v>
      </c>
      <c r="G374" s="2977">
        <v>0.15</v>
      </c>
    </row>
    <row r="375" spans="1:7">
      <c r="A375" s="2986" t="s">
        <v>2846</v>
      </c>
      <c r="B375" s="2975" t="s">
        <v>2915</v>
      </c>
      <c r="C375" s="2976">
        <v>0.15</v>
      </c>
      <c r="D375" s="2976">
        <v>0.15</v>
      </c>
      <c r="E375" s="2976">
        <v>0.15</v>
      </c>
      <c r="F375" s="2976">
        <v>0.13</v>
      </c>
      <c r="G375" s="2977">
        <v>0.15</v>
      </c>
    </row>
    <row r="376" spans="1:7">
      <c r="A376" s="2986" t="s">
        <v>2846</v>
      </c>
      <c r="B376" s="2975" t="s">
        <v>277</v>
      </c>
      <c r="C376" s="2976">
        <v>0.15</v>
      </c>
      <c r="D376" s="2976">
        <v>0.15</v>
      </c>
      <c r="E376" s="2976">
        <v>0.15</v>
      </c>
      <c r="F376" s="2976">
        <v>0.14199999999999999</v>
      </c>
      <c r="G376" s="2977">
        <v>0.15</v>
      </c>
    </row>
    <row r="377" spans="1:7" ht="14.5" thickBot="1">
      <c r="A377" s="2989" t="s">
        <v>2846</v>
      </c>
      <c r="B377" s="2979" t="s">
        <v>2921</v>
      </c>
      <c r="C377" s="2980">
        <v>0.15</v>
      </c>
      <c r="D377" s="2980">
        <v>0.15</v>
      </c>
      <c r="E377" s="2980">
        <v>0.15</v>
      </c>
      <c r="F377" s="2980">
        <v>0.14000000000000001</v>
      </c>
      <c r="G377" s="2982">
        <v>0.15</v>
      </c>
    </row>
    <row r="378" spans="1:7">
      <c r="A378" s="2985" t="s">
        <v>2847</v>
      </c>
      <c r="B378" s="2971" t="s">
        <v>2861</v>
      </c>
      <c r="C378" s="2972">
        <v>0.15</v>
      </c>
      <c r="D378" s="2972">
        <v>0.15</v>
      </c>
      <c r="E378" s="2972">
        <v>0.15</v>
      </c>
      <c r="F378" s="2972">
        <v>0.107</v>
      </c>
      <c r="G378" s="2973">
        <v>0.15</v>
      </c>
    </row>
    <row r="379" spans="1:7">
      <c r="A379" s="2986" t="s">
        <v>2847</v>
      </c>
      <c r="B379" s="2975" t="s">
        <v>2867</v>
      </c>
      <c r="C379" s="2976">
        <v>0.15</v>
      </c>
      <c r="D379" s="2976">
        <v>0.15</v>
      </c>
      <c r="E379" s="2976">
        <v>0.15</v>
      </c>
      <c r="F379" s="2976">
        <v>0.115</v>
      </c>
      <c r="G379" s="2977">
        <v>0.14899999999999999</v>
      </c>
    </row>
    <row r="380" spans="1:7">
      <c r="A380" s="2986" t="s">
        <v>2847</v>
      </c>
      <c r="B380" s="2975" t="s">
        <v>2873</v>
      </c>
      <c r="C380" s="2976">
        <v>0.15</v>
      </c>
      <c r="D380" s="2976">
        <v>0.15</v>
      </c>
      <c r="E380" s="2976">
        <v>0.15</v>
      </c>
      <c r="F380" s="2976">
        <v>0.1</v>
      </c>
      <c r="G380" s="2977">
        <v>0.14799999999999999</v>
      </c>
    </row>
    <row r="381" spans="1:7">
      <c r="A381" s="2986" t="s">
        <v>2847</v>
      </c>
      <c r="B381" s="2975" t="s">
        <v>2876</v>
      </c>
      <c r="C381" s="2976">
        <v>0.15</v>
      </c>
      <c r="D381" s="2976">
        <v>0.15</v>
      </c>
      <c r="E381" s="2976">
        <v>0.15</v>
      </c>
      <c r="F381" s="2976">
        <v>0.126</v>
      </c>
      <c r="G381" s="2977">
        <v>0.15</v>
      </c>
    </row>
    <row r="382" spans="1:7">
      <c r="A382" s="2986" t="s">
        <v>2847</v>
      </c>
      <c r="B382" s="2975" t="s">
        <v>2880</v>
      </c>
      <c r="C382" s="2976">
        <v>0.15</v>
      </c>
      <c r="D382" s="2976">
        <v>0.15</v>
      </c>
      <c r="E382" s="2976">
        <v>0.15</v>
      </c>
      <c r="F382" s="2976">
        <v>0.15</v>
      </c>
      <c r="G382" s="2977">
        <v>0.15</v>
      </c>
    </row>
    <row r="383" spans="1:7">
      <c r="A383" s="2986" t="s">
        <v>2847</v>
      </c>
      <c r="B383" s="2975" t="s">
        <v>2885</v>
      </c>
      <c r="C383" s="2976">
        <v>0.15</v>
      </c>
      <c r="D383" s="2976">
        <v>0.15</v>
      </c>
      <c r="E383" s="2976">
        <v>0.15</v>
      </c>
      <c r="F383" s="2976">
        <v>0.14699999999999999</v>
      </c>
      <c r="G383" s="2977">
        <v>0.15</v>
      </c>
    </row>
    <row r="384" spans="1:7" ht="14.5" thickBot="1">
      <c r="A384" s="2996" t="s">
        <v>2847</v>
      </c>
      <c r="B384" s="2997" t="s">
        <v>2889</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1"/>
  </cols>
  <sheetData>
    <row r="1" spans="1:6">
      <c r="A1" s="3568" t="s">
        <v>3228</v>
      </c>
      <c r="B1" s="3568"/>
      <c r="C1" s="3568"/>
      <c r="D1" s="3568"/>
      <c r="E1" s="3568"/>
      <c r="F1" s="3569"/>
    </row>
    <row r="2" spans="1:6">
      <c r="A2" s="3000" t="s">
        <v>3229</v>
      </c>
    </row>
    <row r="3" spans="1:6">
      <c r="A3" s="3000" t="s">
        <v>3230</v>
      </c>
      <c r="F3" s="3001" t="s">
        <v>3231</v>
      </c>
    </row>
    <row r="4" spans="1:6">
      <c r="A4" s="3002" t="s">
        <v>672</v>
      </c>
      <c r="B4" s="3002" t="s">
        <v>673</v>
      </c>
      <c r="C4" s="3002" t="s">
        <v>21</v>
      </c>
      <c r="D4" s="3002" t="s">
        <v>674</v>
      </c>
      <c r="E4" s="3002" t="s">
        <v>3</v>
      </c>
      <c r="F4" s="3002" t="s">
        <v>3232</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0675B-7FAD-4507-8FFF-5ABC31D47EAA}">
  <sheetPr>
    <tabColor rgb="FF7030A0"/>
  </sheetPr>
  <dimension ref="A1:U49"/>
  <sheetViews>
    <sheetView topLeftCell="A34" workbookViewId="0">
      <selection activeCell="D22" sqref="D22"/>
    </sheetView>
  </sheetViews>
  <sheetFormatPr defaultRowHeight="14"/>
  <cols>
    <col min="1" max="1" width="4.453125" customWidth="1"/>
    <col min="2" max="2" width="21" customWidth="1"/>
    <col min="3" max="3" width="12.08984375" customWidth="1"/>
    <col min="4" max="4" width="21.90625" customWidth="1"/>
    <col min="5" max="5" width="10.54296875" customWidth="1"/>
    <col min="6" max="6" width="8" customWidth="1"/>
    <col min="7" max="7" width="11.6328125" customWidth="1"/>
    <col min="8" max="8" width="11.453125" customWidth="1"/>
    <col min="9" max="9" width="5.90625" customWidth="1"/>
    <col min="11" max="11" width="11.6328125" customWidth="1"/>
    <col min="12" max="12" width="12.1796875" customWidth="1"/>
    <col min="13" max="13" width="26" customWidth="1"/>
    <col min="14" max="14" width="17.36328125" customWidth="1"/>
    <col min="15" max="15" width="13.08984375" customWidth="1"/>
    <col min="16" max="16" width="14.1796875" customWidth="1"/>
  </cols>
  <sheetData>
    <row r="1" spans="1:21">
      <c r="B1" s="1405" t="s">
        <v>3423</v>
      </c>
      <c r="L1" s="3570" t="s">
        <v>3424</v>
      </c>
      <c r="M1" s="3169" t="s">
        <v>3382</v>
      </c>
      <c r="N1" s="3169" t="s">
        <v>3425</v>
      </c>
    </row>
    <row r="2" spans="1:21">
      <c r="B2" s="3169" t="s">
        <v>3426</v>
      </c>
      <c r="C2" s="3169" t="s">
        <v>3427</v>
      </c>
      <c r="D2" s="3169" t="s">
        <v>3428</v>
      </c>
      <c r="E2" s="3169" t="s">
        <v>3429</v>
      </c>
      <c r="F2" s="3169" t="s">
        <v>3430</v>
      </c>
      <c r="G2" s="3169" t="s">
        <v>3431</v>
      </c>
      <c r="H2" s="3169" t="s">
        <v>3432</v>
      </c>
      <c r="L2" s="3570"/>
      <c r="M2" s="3169" t="s">
        <v>3433</v>
      </c>
      <c r="N2" s="3170">
        <v>30100</v>
      </c>
      <c r="P2" s="1405" t="s">
        <v>3434</v>
      </c>
      <c r="Q2">
        <f>ROUND(O9/N2,2)</f>
        <v>2.16</v>
      </c>
    </row>
    <row r="3" spans="1:21" s="3171" customFormat="1" ht="84">
      <c r="B3" s="3172" t="s">
        <v>3435</v>
      </c>
      <c r="C3" s="3172" t="s">
        <v>3436</v>
      </c>
      <c r="D3" s="3172" t="s">
        <v>3437</v>
      </c>
      <c r="E3" s="3172" t="s">
        <v>3438</v>
      </c>
      <c r="F3" s="3172" t="s">
        <v>3439</v>
      </c>
      <c r="G3" s="3173">
        <v>58268</v>
      </c>
      <c r="H3" s="3174">
        <v>30086.78</v>
      </c>
    </row>
    <row r="4" spans="1:21">
      <c r="L4" s="3571" t="s">
        <v>3440</v>
      </c>
      <c r="M4" s="3571"/>
      <c r="N4" s="3571"/>
      <c r="O4" s="3571"/>
      <c r="P4" s="3571"/>
      <c r="Q4" s="3571"/>
      <c r="R4" s="3571"/>
      <c r="S4" s="3571"/>
      <c r="T4" s="3571"/>
      <c r="U4" s="3571"/>
    </row>
    <row r="5" spans="1:21">
      <c r="C5" s="1405" t="s">
        <v>3383</v>
      </c>
      <c r="D5" s="1405" t="s">
        <v>654</v>
      </c>
      <c r="L5" s="3170"/>
      <c r="M5" s="3170"/>
      <c r="N5" s="3170"/>
      <c r="O5" s="3571" t="s">
        <v>3441</v>
      </c>
      <c r="P5" s="3571"/>
      <c r="Q5" s="3571" t="s">
        <v>3442</v>
      </c>
      <c r="R5" s="3571"/>
      <c r="S5" s="3571" t="s">
        <v>3443</v>
      </c>
      <c r="T5" s="3571"/>
      <c r="U5" s="3170"/>
    </row>
    <row r="6" spans="1:21">
      <c r="B6" s="1405" t="s">
        <v>3444</v>
      </c>
      <c r="C6" s="1405">
        <f>K16</f>
        <v>5336.6</v>
      </c>
      <c r="D6" s="3175"/>
      <c r="E6" s="3175"/>
      <c r="L6" s="3169" t="s">
        <v>3445</v>
      </c>
      <c r="M6" s="3169" t="s">
        <v>3446</v>
      </c>
      <c r="N6" s="3169" t="s">
        <v>3447</v>
      </c>
      <c r="O6" s="3169" t="s">
        <v>3387</v>
      </c>
      <c r="P6" s="3169" t="s">
        <v>3388</v>
      </c>
      <c r="Q6" s="3169" t="s">
        <v>3387</v>
      </c>
      <c r="R6" s="3169" t="s">
        <v>3388</v>
      </c>
      <c r="S6" s="3169" t="s">
        <v>3387</v>
      </c>
      <c r="T6" s="3169" t="s">
        <v>3388</v>
      </c>
      <c r="U6" s="3169" t="s">
        <v>3448</v>
      </c>
    </row>
    <row r="7" spans="1:21">
      <c r="B7" s="1405" t="s">
        <v>3449</v>
      </c>
      <c r="C7">
        <f>K17</f>
        <v>2854.99</v>
      </c>
      <c r="D7" s="3175"/>
      <c r="E7" s="3175"/>
      <c r="L7" s="3170">
        <v>1</v>
      </c>
      <c r="M7" s="3169" t="s">
        <v>3450</v>
      </c>
      <c r="N7" s="3170">
        <v>88738.77</v>
      </c>
      <c r="O7" s="3170">
        <v>64930.559999999998</v>
      </c>
      <c r="P7" s="3170">
        <v>23808.21</v>
      </c>
      <c r="Q7" s="3170">
        <v>8</v>
      </c>
      <c r="R7" s="3170">
        <v>2</v>
      </c>
      <c r="S7" s="3170">
        <v>36</v>
      </c>
      <c r="T7" s="3170">
        <v>-8.6999999999999993</v>
      </c>
      <c r="U7" s="3170">
        <v>1</v>
      </c>
    </row>
    <row r="8" spans="1:21">
      <c r="B8" s="1405" t="s">
        <v>3451</v>
      </c>
      <c r="C8" s="1405">
        <f>K18+K19+K20+K21+K22</f>
        <v>4892.34</v>
      </c>
      <c r="D8" s="3175">
        <v>7.5</v>
      </c>
      <c r="E8" s="3175">
        <f>D8*C8</f>
        <v>36692.550000000003</v>
      </c>
      <c r="L8" s="3170">
        <v>2</v>
      </c>
      <c r="M8" s="3169" t="s">
        <v>3452</v>
      </c>
      <c r="N8" s="3170">
        <v>202</v>
      </c>
      <c r="O8" s="3170">
        <v>56.71</v>
      </c>
      <c r="P8" s="3170">
        <v>145.29</v>
      </c>
      <c r="Q8" s="3170">
        <v>1</v>
      </c>
      <c r="R8" s="3170">
        <v>2</v>
      </c>
      <c r="S8" s="3170">
        <v>3.7</v>
      </c>
      <c r="T8" s="3170">
        <v>-8.6999999999999993</v>
      </c>
      <c r="U8" s="3170">
        <v>1</v>
      </c>
    </row>
    <row r="9" spans="1:21">
      <c r="B9" s="1405" t="s">
        <v>3453</v>
      </c>
      <c r="C9">
        <f>SUM(K23:K48)</f>
        <v>42775.029999999984</v>
      </c>
      <c r="D9" s="3175">
        <v>4.88</v>
      </c>
      <c r="E9" s="3175">
        <f>D9*C9</f>
        <v>208742.14639999991</v>
      </c>
      <c r="L9" s="3170"/>
      <c r="M9" s="3169" t="s">
        <v>3454</v>
      </c>
      <c r="N9" s="3170">
        <f>SUM(N7:N8)</f>
        <v>88940.77</v>
      </c>
      <c r="O9" s="3170">
        <f t="shared" ref="O9:U9" si="0">SUM(O7:O8)</f>
        <v>64987.27</v>
      </c>
      <c r="P9" s="3170">
        <f t="shared" si="0"/>
        <v>23953.5</v>
      </c>
      <c r="Q9" s="3169" t="s">
        <v>3455</v>
      </c>
      <c r="R9" s="3169" t="s">
        <v>3455</v>
      </c>
      <c r="S9" s="3169" t="s">
        <v>3455</v>
      </c>
      <c r="T9" s="3169" t="s">
        <v>3455</v>
      </c>
      <c r="U9" s="3170">
        <f t="shared" si="0"/>
        <v>2</v>
      </c>
    </row>
    <row r="10" spans="1:21">
      <c r="B10" s="1405" t="s">
        <v>3454</v>
      </c>
      <c r="C10">
        <f>SUM(C6:C9)</f>
        <v>55858.959999999985</v>
      </c>
      <c r="D10" s="3175"/>
      <c r="E10" s="3175"/>
      <c r="O10" s="3176"/>
    </row>
    <row r="11" spans="1:21">
      <c r="O11" s="3176"/>
    </row>
    <row r="14" spans="1:21" ht="15">
      <c r="A14" s="3572" t="s">
        <v>3456</v>
      </c>
      <c r="B14" s="3572"/>
      <c r="C14" s="3572"/>
      <c r="D14" s="3572"/>
      <c r="E14" s="3572"/>
      <c r="F14" s="3572"/>
      <c r="G14" s="3572"/>
      <c r="H14" s="3572"/>
      <c r="I14" s="3572"/>
      <c r="J14" s="3572"/>
      <c r="K14" s="3572"/>
      <c r="L14" s="3572"/>
    </row>
    <row r="15" spans="1:21" s="3171" customFormat="1" ht="28">
      <c r="A15" s="3172" t="s">
        <v>3445</v>
      </c>
      <c r="B15" s="3172" t="s">
        <v>3426</v>
      </c>
      <c r="C15" s="3172" t="s">
        <v>3457</v>
      </c>
      <c r="D15" s="3172" t="s">
        <v>3428</v>
      </c>
      <c r="E15" s="3172" t="s">
        <v>3458</v>
      </c>
      <c r="F15" s="3172" t="s">
        <v>3459</v>
      </c>
      <c r="G15" s="3172" t="s">
        <v>2539</v>
      </c>
      <c r="H15" s="3172" t="s">
        <v>3460</v>
      </c>
      <c r="I15" s="3172" t="s">
        <v>3461</v>
      </c>
      <c r="J15" s="3172" t="s">
        <v>3462</v>
      </c>
      <c r="K15" s="3172" t="s">
        <v>3383</v>
      </c>
      <c r="L15" s="3172" t="s">
        <v>3463</v>
      </c>
    </row>
    <row r="16" spans="1:21" ht="28">
      <c r="A16" s="3170">
        <v>1</v>
      </c>
      <c r="B16" s="3172" t="s">
        <v>3464</v>
      </c>
      <c r="C16" s="3570" t="s">
        <v>3465</v>
      </c>
      <c r="D16" s="3172" t="s">
        <v>3466</v>
      </c>
      <c r="E16" s="3570" t="s">
        <v>3467</v>
      </c>
      <c r="F16" s="3570" t="s">
        <v>3468</v>
      </c>
      <c r="G16" s="3172" t="s">
        <v>3469</v>
      </c>
      <c r="H16" s="3570" t="s">
        <v>3470</v>
      </c>
      <c r="I16" s="3174">
        <v>-2</v>
      </c>
      <c r="J16" s="3174">
        <v>-204</v>
      </c>
      <c r="K16" s="3174">
        <v>5336.6</v>
      </c>
      <c r="L16" s="3570" t="s">
        <v>3471</v>
      </c>
    </row>
    <row r="17" spans="1:17" ht="28">
      <c r="A17" s="3170">
        <v>2</v>
      </c>
      <c r="B17" s="3172" t="s">
        <v>3472</v>
      </c>
      <c r="C17" s="3570"/>
      <c r="D17" s="3172" t="s">
        <v>3473</v>
      </c>
      <c r="E17" s="3570"/>
      <c r="F17" s="3570"/>
      <c r="G17" s="3172" t="s">
        <v>3469</v>
      </c>
      <c r="H17" s="3570"/>
      <c r="I17" s="3174">
        <v>-1</v>
      </c>
      <c r="J17" s="3170">
        <v>-106</v>
      </c>
      <c r="K17" s="3170">
        <v>2854.99</v>
      </c>
      <c r="L17" s="3570"/>
      <c r="M17" s="1405"/>
      <c r="N17" s="1405" t="s">
        <v>3474</v>
      </c>
      <c r="O17">
        <f>K16+K17</f>
        <v>8191.59</v>
      </c>
      <c r="P17" s="1405" t="s">
        <v>3475</v>
      </c>
      <c r="Q17">
        <f>ROUND(O17/O19,2)</f>
        <v>0.15</v>
      </c>
    </row>
    <row r="18" spans="1:17" ht="28">
      <c r="A18" s="3170">
        <v>3</v>
      </c>
      <c r="B18" s="3172" t="s">
        <v>3476</v>
      </c>
      <c r="C18" s="3570"/>
      <c r="D18" s="3172" t="s">
        <v>3477</v>
      </c>
      <c r="E18" s="3570"/>
      <c r="F18" s="3570"/>
      <c r="G18" s="3571" t="s">
        <v>3478</v>
      </c>
      <c r="H18" s="3570"/>
      <c r="I18" s="3170">
        <v>1</v>
      </c>
      <c r="J18" s="3170">
        <v>103</v>
      </c>
      <c r="K18" s="3170">
        <v>948.03</v>
      </c>
      <c r="L18" s="3570"/>
      <c r="M18" s="1405"/>
      <c r="N18" s="3177" t="s">
        <v>3479</v>
      </c>
      <c r="O18" s="3171">
        <f>SUM(K18:K48)</f>
        <v>47667.369999999981</v>
      </c>
      <c r="P18" s="1405" t="s">
        <v>3480</v>
      </c>
      <c r="Q18">
        <f>ROUND(O18/O19,2)</f>
        <v>0.85</v>
      </c>
    </row>
    <row r="19" spans="1:17" ht="28">
      <c r="A19" s="3170">
        <v>4</v>
      </c>
      <c r="B19" s="3172" t="s">
        <v>3481</v>
      </c>
      <c r="C19" s="3570"/>
      <c r="D19" s="3172" t="s">
        <v>3482</v>
      </c>
      <c r="E19" s="3570"/>
      <c r="F19" s="3570"/>
      <c r="G19" s="3571"/>
      <c r="H19" s="3570"/>
      <c r="I19" s="3170">
        <v>1</v>
      </c>
      <c r="J19" s="3170">
        <v>104</v>
      </c>
      <c r="K19" s="3170">
        <v>934.94</v>
      </c>
      <c r="L19" s="3570"/>
      <c r="N19" s="3177" t="s">
        <v>3454</v>
      </c>
      <c r="O19">
        <f>O17+O18</f>
        <v>55858.959999999977</v>
      </c>
    </row>
    <row r="20" spans="1:17" ht="28">
      <c r="A20" s="3170">
        <v>5</v>
      </c>
      <c r="B20" s="3172" t="s">
        <v>3483</v>
      </c>
      <c r="C20" s="3570"/>
      <c r="D20" s="3172" t="s">
        <v>3484</v>
      </c>
      <c r="E20" s="3570"/>
      <c r="F20" s="3570"/>
      <c r="G20" s="3571"/>
      <c r="H20" s="3570"/>
      <c r="I20" s="3170">
        <v>1</v>
      </c>
      <c r="J20" s="3170">
        <v>105</v>
      </c>
      <c r="K20" s="3170">
        <v>257.68</v>
      </c>
      <c r="L20" s="3570"/>
      <c r="N20" s="3171"/>
    </row>
    <row r="21" spans="1:17" ht="28">
      <c r="A21" s="3170">
        <v>6</v>
      </c>
      <c r="B21" s="3172" t="s">
        <v>3485</v>
      </c>
      <c r="C21" s="3570"/>
      <c r="D21" s="3172" t="s">
        <v>3486</v>
      </c>
      <c r="E21" s="3570"/>
      <c r="F21" s="3570"/>
      <c r="G21" s="3571"/>
      <c r="H21" s="3570"/>
      <c r="I21" s="3170">
        <v>1</v>
      </c>
      <c r="J21" s="3170">
        <v>106</v>
      </c>
      <c r="K21" s="3170">
        <v>1754.23</v>
      </c>
      <c r="L21" s="3570"/>
      <c r="N21" s="3171"/>
    </row>
    <row r="22" spans="1:17" ht="28">
      <c r="A22" s="3170">
        <v>7</v>
      </c>
      <c r="B22" s="3172" t="s">
        <v>3487</v>
      </c>
      <c r="C22" s="3570"/>
      <c r="D22" s="3172" t="s">
        <v>3488</v>
      </c>
      <c r="E22" s="3570"/>
      <c r="F22" s="3570"/>
      <c r="G22" s="3571"/>
      <c r="H22" s="3570"/>
      <c r="I22" s="3170">
        <v>1</v>
      </c>
      <c r="J22" s="3170">
        <v>107</v>
      </c>
      <c r="K22" s="3170">
        <v>997.46</v>
      </c>
      <c r="L22" s="3570"/>
      <c r="N22" s="3171"/>
    </row>
    <row r="23" spans="1:17" ht="28">
      <c r="A23" s="3170">
        <v>8</v>
      </c>
      <c r="B23" s="3172" t="s">
        <v>3489</v>
      </c>
      <c r="C23" s="3570"/>
      <c r="D23" s="3172" t="s">
        <v>3490</v>
      </c>
      <c r="E23" s="3570"/>
      <c r="F23" s="3570"/>
      <c r="G23" s="3571"/>
      <c r="H23" s="3570"/>
      <c r="I23" s="3170">
        <v>2</v>
      </c>
      <c r="J23" s="3170">
        <v>202</v>
      </c>
      <c r="K23" s="3170">
        <v>2037.18</v>
      </c>
      <c r="L23" s="3570"/>
      <c r="N23" s="3171"/>
    </row>
    <row r="24" spans="1:17" ht="28.25" customHeight="1">
      <c r="A24" s="3170">
        <v>9</v>
      </c>
      <c r="B24" s="3172" t="s">
        <v>3491</v>
      </c>
      <c r="C24" s="3570"/>
      <c r="D24" s="3172" t="s">
        <v>3492</v>
      </c>
      <c r="E24" s="3570"/>
      <c r="F24" s="3570"/>
      <c r="G24" s="3571"/>
      <c r="H24" s="3570"/>
      <c r="I24" s="3170">
        <v>2</v>
      </c>
      <c r="J24" s="3170">
        <v>203</v>
      </c>
      <c r="K24" s="3170">
        <v>1368.79</v>
      </c>
      <c r="L24" s="3570"/>
      <c r="N24" s="3171"/>
    </row>
    <row r="25" spans="1:17" ht="28">
      <c r="A25" s="3170">
        <v>10</v>
      </c>
      <c r="B25" s="3172" t="s">
        <v>3493</v>
      </c>
      <c r="C25" s="3570"/>
      <c r="D25" s="3172" t="s">
        <v>3494</v>
      </c>
      <c r="E25" s="3570"/>
      <c r="F25" s="3570"/>
      <c r="G25" s="3571"/>
      <c r="H25" s="3570"/>
      <c r="I25" s="3170">
        <v>2</v>
      </c>
      <c r="J25" s="3170">
        <v>204</v>
      </c>
      <c r="K25" s="3170">
        <v>1809.21</v>
      </c>
      <c r="L25" s="3570"/>
      <c r="M25" s="1405"/>
      <c r="N25" s="3171"/>
    </row>
    <row r="26" spans="1:17" ht="28">
      <c r="A26" s="3170">
        <v>11</v>
      </c>
      <c r="B26" s="3172" t="s">
        <v>3495</v>
      </c>
      <c r="C26" s="3570"/>
      <c r="D26" s="3172" t="s">
        <v>3496</v>
      </c>
      <c r="E26" s="3570"/>
      <c r="F26" s="3570"/>
      <c r="G26" s="3571"/>
      <c r="H26" s="3570"/>
      <c r="I26" s="3170">
        <v>2</v>
      </c>
      <c r="J26" s="3170">
        <v>205</v>
      </c>
      <c r="K26" s="3170">
        <v>1045.6199999999999</v>
      </c>
      <c r="L26" s="3570"/>
      <c r="N26" s="3171"/>
    </row>
    <row r="27" spans="1:17" ht="28">
      <c r="A27" s="3170">
        <v>12</v>
      </c>
      <c r="B27" s="3172" t="s">
        <v>3497</v>
      </c>
      <c r="C27" s="3570"/>
      <c r="D27" s="3172" t="s">
        <v>3498</v>
      </c>
      <c r="E27" s="3570"/>
      <c r="F27" s="3570"/>
      <c r="G27" s="3571"/>
      <c r="H27" s="3570"/>
      <c r="I27" s="3170">
        <v>3</v>
      </c>
      <c r="J27" s="3170">
        <v>302</v>
      </c>
      <c r="K27" s="3170">
        <v>2053.8200000000002</v>
      </c>
      <c r="L27" s="3570"/>
      <c r="N27" s="3171"/>
    </row>
    <row r="28" spans="1:17" ht="28">
      <c r="A28" s="3170">
        <v>13</v>
      </c>
      <c r="B28" s="3172" t="s">
        <v>3499</v>
      </c>
      <c r="C28" s="3570"/>
      <c r="D28" s="3172" t="s">
        <v>3500</v>
      </c>
      <c r="E28" s="3570"/>
      <c r="F28" s="3570"/>
      <c r="G28" s="3571"/>
      <c r="H28" s="3570"/>
      <c r="I28" s="3170">
        <v>3</v>
      </c>
      <c r="J28" s="3170">
        <v>303</v>
      </c>
      <c r="K28" s="3170">
        <v>4410.37</v>
      </c>
      <c r="L28" s="3570"/>
      <c r="N28" s="3171"/>
    </row>
    <row r="29" spans="1:17" ht="28">
      <c r="A29" s="3170">
        <v>14</v>
      </c>
      <c r="B29" s="3172" t="s">
        <v>3501</v>
      </c>
      <c r="C29" s="3570"/>
      <c r="D29" s="3172" t="s">
        <v>3502</v>
      </c>
      <c r="E29" s="3570"/>
      <c r="F29" s="3570"/>
      <c r="G29" s="3571"/>
      <c r="H29" s="3570"/>
      <c r="I29" s="3170">
        <v>3</v>
      </c>
      <c r="J29" s="3170">
        <v>304</v>
      </c>
      <c r="K29" s="3170">
        <v>1045.6199999999999</v>
      </c>
      <c r="L29" s="3570"/>
      <c r="N29" s="3171"/>
    </row>
    <row r="30" spans="1:17" ht="28">
      <c r="A30" s="3170">
        <v>15</v>
      </c>
      <c r="B30" s="3172" t="s">
        <v>3503</v>
      </c>
      <c r="C30" s="3570"/>
      <c r="D30" s="3172" t="s">
        <v>3504</v>
      </c>
      <c r="E30" s="3570"/>
      <c r="F30" s="3570"/>
      <c r="G30" s="3571"/>
      <c r="H30" s="3570"/>
      <c r="I30" s="3170">
        <v>4</v>
      </c>
      <c r="J30" s="3170">
        <v>402</v>
      </c>
      <c r="K30" s="3170">
        <v>1981.75</v>
      </c>
      <c r="L30" s="3570"/>
      <c r="M30" s="1405" t="s">
        <v>3505</v>
      </c>
      <c r="N30" s="3171"/>
    </row>
    <row r="31" spans="1:17" ht="28">
      <c r="A31" s="3170">
        <v>16</v>
      </c>
      <c r="B31" s="3172" t="s">
        <v>3506</v>
      </c>
      <c r="C31" s="3570"/>
      <c r="D31" s="3172" t="s">
        <v>3507</v>
      </c>
      <c r="E31" s="3570"/>
      <c r="F31" s="3570"/>
      <c r="G31" s="3571"/>
      <c r="H31" s="3570"/>
      <c r="I31" s="3170">
        <v>4</v>
      </c>
      <c r="J31" s="3170">
        <v>403</v>
      </c>
      <c r="K31" s="3170">
        <v>51.71</v>
      </c>
      <c r="L31" s="3570"/>
      <c r="N31" s="3171"/>
    </row>
    <row r="32" spans="1:17" ht="28">
      <c r="A32" s="3170">
        <v>17</v>
      </c>
      <c r="B32" s="3172" t="s">
        <v>3508</v>
      </c>
      <c r="C32" s="3570"/>
      <c r="D32" s="3172" t="s">
        <v>3509</v>
      </c>
      <c r="E32" s="3570"/>
      <c r="F32" s="3570"/>
      <c r="G32" s="3571"/>
      <c r="H32" s="3570"/>
      <c r="I32" s="3170">
        <v>4</v>
      </c>
      <c r="J32" s="3170">
        <v>404</v>
      </c>
      <c r="K32" s="3170">
        <v>4410.03</v>
      </c>
      <c r="L32" s="3570"/>
      <c r="N32" s="3171"/>
    </row>
    <row r="33" spans="1:14" ht="28">
      <c r="A33" s="3170">
        <v>18</v>
      </c>
      <c r="B33" s="3172" t="s">
        <v>3510</v>
      </c>
      <c r="C33" s="3570"/>
      <c r="D33" s="3172" t="s">
        <v>3511</v>
      </c>
      <c r="E33" s="3570"/>
      <c r="F33" s="3570"/>
      <c r="G33" s="3571"/>
      <c r="H33" s="3570"/>
      <c r="I33" s="3170">
        <v>4</v>
      </c>
      <c r="J33" s="3170">
        <v>405</v>
      </c>
      <c r="K33" s="3170">
        <v>1969.87</v>
      </c>
      <c r="L33" s="3570"/>
      <c r="N33" s="3171"/>
    </row>
    <row r="34" spans="1:14" ht="28">
      <c r="A34" s="3170">
        <v>19</v>
      </c>
      <c r="B34" s="3172" t="s">
        <v>3512</v>
      </c>
      <c r="C34" s="3570"/>
      <c r="D34" s="3172" t="s">
        <v>3513</v>
      </c>
      <c r="E34" s="3570"/>
      <c r="F34" s="3570"/>
      <c r="G34" s="3571"/>
      <c r="H34" s="3570"/>
      <c r="I34" s="3170">
        <v>5</v>
      </c>
      <c r="J34" s="3170">
        <v>502</v>
      </c>
      <c r="K34" s="3170">
        <v>4410.26</v>
      </c>
      <c r="L34" s="3570"/>
      <c r="N34" s="3171"/>
    </row>
    <row r="35" spans="1:14" ht="28">
      <c r="A35" s="3170">
        <v>20</v>
      </c>
      <c r="B35" s="3172" t="s">
        <v>3514</v>
      </c>
      <c r="C35" s="3570"/>
      <c r="D35" s="3172" t="s">
        <v>3515</v>
      </c>
      <c r="E35" s="3570"/>
      <c r="F35" s="3570"/>
      <c r="G35" s="3571"/>
      <c r="H35" s="3570"/>
      <c r="I35" s="3170">
        <v>5</v>
      </c>
      <c r="J35" s="3170">
        <v>503</v>
      </c>
      <c r="K35" s="3170">
        <v>51.71</v>
      </c>
      <c r="L35" s="3570"/>
      <c r="N35" s="3171"/>
    </row>
    <row r="36" spans="1:14" ht="28">
      <c r="A36" s="3170">
        <v>21</v>
      </c>
      <c r="B36" s="3172" t="s">
        <v>3516</v>
      </c>
      <c r="C36" s="3570"/>
      <c r="D36" s="3172" t="s">
        <v>3517</v>
      </c>
      <c r="E36" s="3570"/>
      <c r="F36" s="3570"/>
      <c r="G36" s="3571"/>
      <c r="H36" s="3570"/>
      <c r="I36" s="3170">
        <v>5</v>
      </c>
      <c r="J36" s="3170">
        <v>504</v>
      </c>
      <c r="K36" s="3170">
        <v>1969.87</v>
      </c>
      <c r="L36" s="3570"/>
      <c r="N36" s="3171"/>
    </row>
    <row r="37" spans="1:14" ht="28">
      <c r="A37" s="3170">
        <v>22</v>
      </c>
      <c r="B37" s="3172" t="s">
        <v>3518</v>
      </c>
      <c r="C37" s="3570"/>
      <c r="D37" s="3172" t="s">
        <v>3519</v>
      </c>
      <c r="E37" s="3570"/>
      <c r="F37" s="3570"/>
      <c r="G37" s="3571"/>
      <c r="H37" s="3570"/>
      <c r="I37" s="3170">
        <v>6</v>
      </c>
      <c r="J37" s="3170">
        <v>602</v>
      </c>
      <c r="K37" s="3170">
        <v>60.18</v>
      </c>
      <c r="L37" s="3570"/>
      <c r="N37" s="3171"/>
    </row>
    <row r="38" spans="1:14" ht="28">
      <c r="A38" s="3170">
        <v>23</v>
      </c>
      <c r="B38" s="3172" t="s">
        <v>3520</v>
      </c>
      <c r="C38" s="3570"/>
      <c r="D38" s="3172" t="s">
        <v>3521</v>
      </c>
      <c r="E38" s="3570"/>
      <c r="F38" s="3570"/>
      <c r="G38" s="3571"/>
      <c r="H38" s="3570"/>
      <c r="I38" s="3170">
        <v>6</v>
      </c>
      <c r="J38" s="3170">
        <v>603</v>
      </c>
      <c r="K38" s="3170">
        <v>38.43</v>
      </c>
      <c r="L38" s="3570"/>
      <c r="N38" s="3171"/>
    </row>
    <row r="39" spans="1:14" ht="28">
      <c r="A39" s="3170">
        <v>24</v>
      </c>
      <c r="B39" s="3172" t="s">
        <v>3522</v>
      </c>
      <c r="C39" s="3570"/>
      <c r="D39" s="3172" t="s">
        <v>3523</v>
      </c>
      <c r="E39" s="3570"/>
      <c r="F39" s="3570"/>
      <c r="G39" s="3571"/>
      <c r="H39" s="3570"/>
      <c r="I39" s="3170">
        <v>6</v>
      </c>
      <c r="J39" s="3170">
        <v>604</v>
      </c>
      <c r="K39" s="3170">
        <v>2594.02</v>
      </c>
      <c r="L39" s="3570"/>
      <c r="N39" s="3171"/>
    </row>
    <row r="40" spans="1:14" ht="28">
      <c r="A40" s="3170">
        <v>25</v>
      </c>
      <c r="B40" s="3172" t="s">
        <v>3524</v>
      </c>
      <c r="C40" s="3570"/>
      <c r="D40" s="3172" t="s">
        <v>3525</v>
      </c>
      <c r="E40" s="3570"/>
      <c r="F40" s="3570"/>
      <c r="G40" s="3571"/>
      <c r="H40" s="3570"/>
      <c r="I40" s="3170">
        <v>6</v>
      </c>
      <c r="J40" s="3170">
        <v>605</v>
      </c>
      <c r="K40" s="3170">
        <v>1970.49</v>
      </c>
      <c r="L40" s="3570"/>
      <c r="N40" s="3171"/>
    </row>
    <row r="41" spans="1:14" ht="28">
      <c r="A41" s="3170">
        <v>26</v>
      </c>
      <c r="B41" s="3172" t="s">
        <v>3526</v>
      </c>
      <c r="C41" s="3570"/>
      <c r="D41" s="3172" t="s">
        <v>3527</v>
      </c>
      <c r="E41" s="3570"/>
      <c r="F41" s="3570"/>
      <c r="G41" s="3571"/>
      <c r="H41" s="3570"/>
      <c r="I41" s="3170">
        <v>7</v>
      </c>
      <c r="J41" s="3170">
        <v>702</v>
      </c>
      <c r="K41" s="3170">
        <v>60.18</v>
      </c>
      <c r="L41" s="3570"/>
      <c r="N41" s="3171"/>
    </row>
    <row r="42" spans="1:14" ht="28">
      <c r="A42" s="3170">
        <v>27</v>
      </c>
      <c r="B42" s="3172" t="s">
        <v>3528</v>
      </c>
      <c r="C42" s="3570"/>
      <c r="D42" s="3172" t="s">
        <v>3529</v>
      </c>
      <c r="E42" s="3570"/>
      <c r="F42" s="3570"/>
      <c r="G42" s="3571"/>
      <c r="H42" s="3570"/>
      <c r="I42" s="3170">
        <v>7</v>
      </c>
      <c r="J42" s="3170">
        <v>703</v>
      </c>
      <c r="K42" s="3170">
        <v>38.43</v>
      </c>
      <c r="L42" s="3570"/>
      <c r="N42" s="3171"/>
    </row>
    <row r="43" spans="1:14" ht="28">
      <c r="A43" s="3170">
        <v>28</v>
      </c>
      <c r="B43" s="3172" t="s">
        <v>3530</v>
      </c>
      <c r="C43" s="3570"/>
      <c r="D43" s="3172" t="s">
        <v>3531</v>
      </c>
      <c r="E43" s="3570"/>
      <c r="F43" s="3570"/>
      <c r="G43" s="3571"/>
      <c r="H43" s="3570"/>
      <c r="I43" s="3170">
        <v>7</v>
      </c>
      <c r="J43" s="3170">
        <v>704</v>
      </c>
      <c r="K43" s="3170">
        <v>2678.95</v>
      </c>
      <c r="L43" s="3570"/>
      <c r="N43" s="3171"/>
    </row>
    <row r="44" spans="1:14" ht="28">
      <c r="A44" s="3170">
        <v>29</v>
      </c>
      <c r="B44" s="3172" t="s">
        <v>3532</v>
      </c>
      <c r="C44" s="3570"/>
      <c r="D44" s="3172" t="s">
        <v>3533</v>
      </c>
      <c r="E44" s="3570"/>
      <c r="F44" s="3570"/>
      <c r="G44" s="3571"/>
      <c r="H44" s="3570"/>
      <c r="I44" s="3170">
        <v>7</v>
      </c>
      <c r="J44" s="3170">
        <v>705</v>
      </c>
      <c r="K44" s="3170">
        <v>1970.49</v>
      </c>
      <c r="L44" s="3570"/>
      <c r="N44" s="3171"/>
    </row>
    <row r="45" spans="1:14" ht="28">
      <c r="A45" s="3170">
        <v>30</v>
      </c>
      <c r="B45" s="3172" t="s">
        <v>3534</v>
      </c>
      <c r="C45" s="3570"/>
      <c r="D45" s="3172" t="s">
        <v>3535</v>
      </c>
      <c r="E45" s="3570"/>
      <c r="F45" s="3570"/>
      <c r="G45" s="3571"/>
      <c r="H45" s="3570"/>
      <c r="I45" s="3170">
        <v>8</v>
      </c>
      <c r="J45" s="3170">
        <v>802</v>
      </c>
      <c r="K45" s="3170">
        <v>60.18</v>
      </c>
      <c r="L45" s="3570"/>
      <c r="N45" s="3171"/>
    </row>
    <row r="46" spans="1:14" ht="28">
      <c r="A46" s="3170">
        <v>31</v>
      </c>
      <c r="B46" s="3172" t="s">
        <v>3536</v>
      </c>
      <c r="C46" s="3570"/>
      <c r="D46" s="3172" t="s">
        <v>3537</v>
      </c>
      <c r="E46" s="3570"/>
      <c r="F46" s="3570"/>
      <c r="G46" s="3571"/>
      <c r="H46" s="3570"/>
      <c r="I46" s="3170">
        <v>8</v>
      </c>
      <c r="J46" s="3170">
        <v>803</v>
      </c>
      <c r="K46" s="3170">
        <v>38.43</v>
      </c>
      <c r="L46" s="3570"/>
      <c r="N46" s="3171"/>
    </row>
    <row r="47" spans="1:14" ht="28">
      <c r="A47" s="3170">
        <v>32</v>
      </c>
      <c r="B47" s="3172" t="s">
        <v>3538</v>
      </c>
      <c r="C47" s="3570"/>
      <c r="D47" s="3172" t="s">
        <v>3539</v>
      </c>
      <c r="E47" s="3570"/>
      <c r="F47" s="3570"/>
      <c r="G47" s="3571"/>
      <c r="H47" s="3570"/>
      <c r="I47" s="3170">
        <v>8</v>
      </c>
      <c r="J47" s="3170">
        <v>804</v>
      </c>
      <c r="K47" s="3170">
        <v>2678.95</v>
      </c>
      <c r="L47" s="3570"/>
      <c r="N47" s="3171"/>
    </row>
    <row r="48" spans="1:14" ht="28">
      <c r="A48" s="3170">
        <v>33</v>
      </c>
      <c r="B48" s="3172" t="s">
        <v>3540</v>
      </c>
      <c r="C48" s="3570"/>
      <c r="D48" s="3172" t="s">
        <v>3541</v>
      </c>
      <c r="E48" s="3570"/>
      <c r="F48" s="3570"/>
      <c r="G48" s="3571"/>
      <c r="H48" s="3570"/>
      <c r="I48" s="3170">
        <v>8</v>
      </c>
      <c r="J48" s="3170">
        <v>805</v>
      </c>
      <c r="K48" s="3170">
        <v>1970.49</v>
      </c>
      <c r="L48" s="3570"/>
      <c r="N48" s="3171"/>
    </row>
    <row r="49" spans="1:14">
      <c r="A49" s="3170"/>
      <c r="B49" s="3170"/>
      <c r="C49" s="3170"/>
      <c r="D49" s="3170"/>
      <c r="E49" s="3170"/>
      <c r="F49" s="3170"/>
      <c r="G49" s="3170"/>
      <c r="H49" s="3170"/>
      <c r="I49" s="3170"/>
      <c r="J49" s="3169" t="s">
        <v>2588</v>
      </c>
      <c r="K49" s="3170">
        <f>SUM(K16:K48)</f>
        <v>55858.959999999992</v>
      </c>
      <c r="L49" s="3170"/>
      <c r="N49" s="3171"/>
    </row>
  </sheetData>
  <mergeCells count="12">
    <mergeCell ref="A14:L14"/>
    <mergeCell ref="L1:L2"/>
    <mergeCell ref="L4:U4"/>
    <mergeCell ref="O5:P5"/>
    <mergeCell ref="Q5:R5"/>
    <mergeCell ref="S5:T5"/>
    <mergeCell ref="C16:C48"/>
    <mergeCell ref="E16:E48"/>
    <mergeCell ref="F16:F48"/>
    <mergeCell ref="H16:H48"/>
    <mergeCell ref="L16:L48"/>
    <mergeCell ref="G18:G48"/>
  </mergeCells>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26C9A-8EA2-48BF-BCDE-155FF1142E29}">
  <sheetPr>
    <tabColor rgb="FF7030A0"/>
  </sheetPr>
  <dimension ref="A1:Q31"/>
  <sheetViews>
    <sheetView workbookViewId="0">
      <selection activeCell="L11" sqref="L11"/>
    </sheetView>
  </sheetViews>
  <sheetFormatPr defaultColWidth="9.81640625" defaultRowHeight="13"/>
  <cols>
    <col min="1" max="1" width="6" style="3235" customWidth="1"/>
    <col min="2" max="2" width="9.90625" style="3235" customWidth="1"/>
    <col min="3" max="3" width="28.54296875" style="3235" customWidth="1"/>
    <col min="4" max="4" width="34.08984375" style="3235" customWidth="1"/>
    <col min="5" max="6" width="12.36328125" style="3235" customWidth="1"/>
    <col min="7" max="7" width="21.6328125" style="3235" customWidth="1"/>
    <col min="8" max="8" width="17.08984375" style="3235" customWidth="1"/>
    <col min="9" max="9" width="12.36328125" style="3239" customWidth="1"/>
    <col min="10" max="10" width="15.453125" style="3239" customWidth="1"/>
    <col min="11" max="12" width="15.26953125" style="3239" customWidth="1"/>
    <col min="13" max="13" width="9.81640625" style="3235"/>
    <col min="14" max="14" width="15.7265625" style="3235" customWidth="1"/>
    <col min="15" max="15" width="16.26953125" style="3235" customWidth="1"/>
    <col min="16" max="16" width="14.6328125" style="3235" customWidth="1"/>
    <col min="17" max="17" width="17.6328125" style="3240" bestFit="1" customWidth="1"/>
    <col min="18" max="256" width="9.81640625" style="3235"/>
    <col min="257" max="257" width="6" style="3235" customWidth="1"/>
    <col min="258" max="258" width="9.90625" style="3235" customWidth="1"/>
    <col min="259" max="259" width="28.54296875" style="3235" customWidth="1"/>
    <col min="260" max="260" width="34.08984375" style="3235" customWidth="1"/>
    <col min="261" max="262" width="12.36328125" style="3235" customWidth="1"/>
    <col min="263" max="263" width="21.6328125" style="3235" customWidth="1"/>
    <col min="264" max="264" width="17.08984375" style="3235" customWidth="1"/>
    <col min="265" max="265" width="12.36328125" style="3235" customWidth="1"/>
    <col min="266" max="266" width="15.453125" style="3235" customWidth="1"/>
    <col min="267" max="268" width="15.26953125" style="3235" customWidth="1"/>
    <col min="269" max="269" width="9.81640625" style="3235"/>
    <col min="270" max="270" width="15.7265625" style="3235" customWidth="1"/>
    <col min="271" max="271" width="16.26953125" style="3235" customWidth="1"/>
    <col min="272" max="272" width="14.6328125" style="3235" customWidth="1"/>
    <col min="273" max="273" width="17.6328125" style="3235" bestFit="1" customWidth="1"/>
    <col min="274" max="512" width="9.81640625" style="3235"/>
    <col min="513" max="513" width="6" style="3235" customWidth="1"/>
    <col min="514" max="514" width="9.90625" style="3235" customWidth="1"/>
    <col min="515" max="515" width="28.54296875" style="3235" customWidth="1"/>
    <col min="516" max="516" width="34.08984375" style="3235" customWidth="1"/>
    <col min="517" max="518" width="12.36328125" style="3235" customWidth="1"/>
    <col min="519" max="519" width="21.6328125" style="3235" customWidth="1"/>
    <col min="520" max="520" width="17.08984375" style="3235" customWidth="1"/>
    <col min="521" max="521" width="12.36328125" style="3235" customWidth="1"/>
    <col min="522" max="522" width="15.453125" style="3235" customWidth="1"/>
    <col min="523" max="524" width="15.26953125" style="3235" customWidth="1"/>
    <col min="525" max="525" width="9.81640625" style="3235"/>
    <col min="526" max="526" width="15.7265625" style="3235" customWidth="1"/>
    <col min="527" max="527" width="16.26953125" style="3235" customWidth="1"/>
    <col min="528" max="528" width="14.6328125" style="3235" customWidth="1"/>
    <col min="529" max="529" width="17.6328125" style="3235" bestFit="1" customWidth="1"/>
    <col min="530" max="768" width="9.81640625" style="3235"/>
    <col min="769" max="769" width="6" style="3235" customWidth="1"/>
    <col min="770" max="770" width="9.90625" style="3235" customWidth="1"/>
    <col min="771" max="771" width="28.54296875" style="3235" customWidth="1"/>
    <col min="772" max="772" width="34.08984375" style="3235" customWidth="1"/>
    <col min="773" max="774" width="12.36328125" style="3235" customWidth="1"/>
    <col min="775" max="775" width="21.6328125" style="3235" customWidth="1"/>
    <col min="776" max="776" width="17.08984375" style="3235" customWidth="1"/>
    <col min="777" max="777" width="12.36328125" style="3235" customWidth="1"/>
    <col min="778" max="778" width="15.453125" style="3235" customWidth="1"/>
    <col min="779" max="780" width="15.26953125" style="3235" customWidth="1"/>
    <col min="781" max="781" width="9.81640625" style="3235"/>
    <col min="782" max="782" width="15.7265625" style="3235" customWidth="1"/>
    <col min="783" max="783" width="16.26953125" style="3235" customWidth="1"/>
    <col min="784" max="784" width="14.6328125" style="3235" customWidth="1"/>
    <col min="785" max="785" width="17.6328125" style="3235" bestFit="1" customWidth="1"/>
    <col min="786" max="1024" width="9.81640625" style="3235"/>
    <col min="1025" max="1025" width="6" style="3235" customWidth="1"/>
    <col min="1026" max="1026" width="9.90625" style="3235" customWidth="1"/>
    <col min="1027" max="1027" width="28.54296875" style="3235" customWidth="1"/>
    <col min="1028" max="1028" width="34.08984375" style="3235" customWidth="1"/>
    <col min="1029" max="1030" width="12.36328125" style="3235" customWidth="1"/>
    <col min="1031" max="1031" width="21.6328125" style="3235" customWidth="1"/>
    <col min="1032" max="1032" width="17.08984375" style="3235" customWidth="1"/>
    <col min="1033" max="1033" width="12.36328125" style="3235" customWidth="1"/>
    <col min="1034" max="1034" width="15.453125" style="3235" customWidth="1"/>
    <col min="1035" max="1036" width="15.26953125" style="3235" customWidth="1"/>
    <col min="1037" max="1037" width="9.81640625" style="3235"/>
    <col min="1038" max="1038" width="15.7265625" style="3235" customWidth="1"/>
    <col min="1039" max="1039" width="16.26953125" style="3235" customWidth="1"/>
    <col min="1040" max="1040" width="14.6328125" style="3235" customWidth="1"/>
    <col min="1041" max="1041" width="17.6328125" style="3235" bestFit="1" customWidth="1"/>
    <col min="1042" max="1280" width="9.81640625" style="3235"/>
    <col min="1281" max="1281" width="6" style="3235" customWidth="1"/>
    <col min="1282" max="1282" width="9.90625" style="3235" customWidth="1"/>
    <col min="1283" max="1283" width="28.54296875" style="3235" customWidth="1"/>
    <col min="1284" max="1284" width="34.08984375" style="3235" customWidth="1"/>
    <col min="1285" max="1286" width="12.36328125" style="3235" customWidth="1"/>
    <col min="1287" max="1287" width="21.6328125" style="3235" customWidth="1"/>
    <col min="1288" max="1288" width="17.08984375" style="3235" customWidth="1"/>
    <col min="1289" max="1289" width="12.36328125" style="3235" customWidth="1"/>
    <col min="1290" max="1290" width="15.453125" style="3235" customWidth="1"/>
    <col min="1291" max="1292" width="15.26953125" style="3235" customWidth="1"/>
    <col min="1293" max="1293" width="9.81640625" style="3235"/>
    <col min="1294" max="1294" width="15.7265625" style="3235" customWidth="1"/>
    <col min="1295" max="1295" width="16.26953125" style="3235" customWidth="1"/>
    <col min="1296" max="1296" width="14.6328125" style="3235" customWidth="1"/>
    <col min="1297" max="1297" width="17.6328125" style="3235" bestFit="1" customWidth="1"/>
    <col min="1298" max="1536" width="9.81640625" style="3235"/>
    <col min="1537" max="1537" width="6" style="3235" customWidth="1"/>
    <col min="1538" max="1538" width="9.90625" style="3235" customWidth="1"/>
    <col min="1539" max="1539" width="28.54296875" style="3235" customWidth="1"/>
    <col min="1540" max="1540" width="34.08984375" style="3235" customWidth="1"/>
    <col min="1541" max="1542" width="12.36328125" style="3235" customWidth="1"/>
    <col min="1543" max="1543" width="21.6328125" style="3235" customWidth="1"/>
    <col min="1544" max="1544" width="17.08984375" style="3235" customWidth="1"/>
    <col min="1545" max="1545" width="12.36328125" style="3235" customWidth="1"/>
    <col min="1546" max="1546" width="15.453125" style="3235" customWidth="1"/>
    <col min="1547" max="1548" width="15.26953125" style="3235" customWidth="1"/>
    <col min="1549" max="1549" width="9.81640625" style="3235"/>
    <col min="1550" max="1550" width="15.7265625" style="3235" customWidth="1"/>
    <col min="1551" max="1551" width="16.26953125" style="3235" customWidth="1"/>
    <col min="1552" max="1552" width="14.6328125" style="3235" customWidth="1"/>
    <col min="1553" max="1553" width="17.6328125" style="3235" bestFit="1" customWidth="1"/>
    <col min="1554" max="1792" width="9.81640625" style="3235"/>
    <col min="1793" max="1793" width="6" style="3235" customWidth="1"/>
    <col min="1794" max="1794" width="9.90625" style="3235" customWidth="1"/>
    <col min="1795" max="1795" width="28.54296875" style="3235" customWidth="1"/>
    <col min="1796" max="1796" width="34.08984375" style="3235" customWidth="1"/>
    <col min="1797" max="1798" width="12.36328125" style="3235" customWidth="1"/>
    <col min="1799" max="1799" width="21.6328125" style="3235" customWidth="1"/>
    <col min="1800" max="1800" width="17.08984375" style="3235" customWidth="1"/>
    <col min="1801" max="1801" width="12.36328125" style="3235" customWidth="1"/>
    <col min="1802" max="1802" width="15.453125" style="3235" customWidth="1"/>
    <col min="1803" max="1804" width="15.26953125" style="3235" customWidth="1"/>
    <col min="1805" max="1805" width="9.81640625" style="3235"/>
    <col min="1806" max="1806" width="15.7265625" style="3235" customWidth="1"/>
    <col min="1807" max="1807" width="16.26953125" style="3235" customWidth="1"/>
    <col min="1808" max="1808" width="14.6328125" style="3235" customWidth="1"/>
    <col min="1809" max="1809" width="17.6328125" style="3235" bestFit="1" customWidth="1"/>
    <col min="1810" max="2048" width="9.81640625" style="3235"/>
    <col min="2049" max="2049" width="6" style="3235" customWidth="1"/>
    <col min="2050" max="2050" width="9.90625" style="3235" customWidth="1"/>
    <col min="2051" max="2051" width="28.54296875" style="3235" customWidth="1"/>
    <col min="2052" max="2052" width="34.08984375" style="3235" customWidth="1"/>
    <col min="2053" max="2054" width="12.36328125" style="3235" customWidth="1"/>
    <col min="2055" max="2055" width="21.6328125" style="3235" customWidth="1"/>
    <col min="2056" max="2056" width="17.08984375" style="3235" customWidth="1"/>
    <col min="2057" max="2057" width="12.36328125" style="3235" customWidth="1"/>
    <col min="2058" max="2058" width="15.453125" style="3235" customWidth="1"/>
    <col min="2059" max="2060" width="15.26953125" style="3235" customWidth="1"/>
    <col min="2061" max="2061" width="9.81640625" style="3235"/>
    <col min="2062" max="2062" width="15.7265625" style="3235" customWidth="1"/>
    <col min="2063" max="2063" width="16.26953125" style="3235" customWidth="1"/>
    <col min="2064" max="2064" width="14.6328125" style="3235" customWidth="1"/>
    <col min="2065" max="2065" width="17.6328125" style="3235" bestFit="1" customWidth="1"/>
    <col min="2066" max="2304" width="9.81640625" style="3235"/>
    <col min="2305" max="2305" width="6" style="3235" customWidth="1"/>
    <col min="2306" max="2306" width="9.90625" style="3235" customWidth="1"/>
    <col min="2307" max="2307" width="28.54296875" style="3235" customWidth="1"/>
    <col min="2308" max="2308" width="34.08984375" style="3235" customWidth="1"/>
    <col min="2309" max="2310" width="12.36328125" style="3235" customWidth="1"/>
    <col min="2311" max="2311" width="21.6328125" style="3235" customWidth="1"/>
    <col min="2312" max="2312" width="17.08984375" style="3235" customWidth="1"/>
    <col min="2313" max="2313" width="12.36328125" style="3235" customWidth="1"/>
    <col min="2314" max="2314" width="15.453125" style="3235" customWidth="1"/>
    <col min="2315" max="2316" width="15.26953125" style="3235" customWidth="1"/>
    <col min="2317" max="2317" width="9.81640625" style="3235"/>
    <col min="2318" max="2318" width="15.7265625" style="3235" customWidth="1"/>
    <col min="2319" max="2319" width="16.26953125" style="3235" customWidth="1"/>
    <col min="2320" max="2320" width="14.6328125" style="3235" customWidth="1"/>
    <col min="2321" max="2321" width="17.6328125" style="3235" bestFit="1" customWidth="1"/>
    <col min="2322" max="2560" width="9.81640625" style="3235"/>
    <col min="2561" max="2561" width="6" style="3235" customWidth="1"/>
    <col min="2562" max="2562" width="9.90625" style="3235" customWidth="1"/>
    <col min="2563" max="2563" width="28.54296875" style="3235" customWidth="1"/>
    <col min="2564" max="2564" width="34.08984375" style="3235" customWidth="1"/>
    <col min="2565" max="2566" width="12.36328125" style="3235" customWidth="1"/>
    <col min="2567" max="2567" width="21.6328125" style="3235" customWidth="1"/>
    <col min="2568" max="2568" width="17.08984375" style="3235" customWidth="1"/>
    <col min="2569" max="2569" width="12.36328125" style="3235" customWidth="1"/>
    <col min="2570" max="2570" width="15.453125" style="3235" customWidth="1"/>
    <col min="2571" max="2572" width="15.26953125" style="3235" customWidth="1"/>
    <col min="2573" max="2573" width="9.81640625" style="3235"/>
    <col min="2574" max="2574" width="15.7265625" style="3235" customWidth="1"/>
    <col min="2575" max="2575" width="16.26953125" style="3235" customWidth="1"/>
    <col min="2576" max="2576" width="14.6328125" style="3235" customWidth="1"/>
    <col min="2577" max="2577" width="17.6328125" style="3235" bestFit="1" customWidth="1"/>
    <col min="2578" max="2816" width="9.81640625" style="3235"/>
    <col min="2817" max="2817" width="6" style="3235" customWidth="1"/>
    <col min="2818" max="2818" width="9.90625" style="3235" customWidth="1"/>
    <col min="2819" max="2819" width="28.54296875" style="3235" customWidth="1"/>
    <col min="2820" max="2820" width="34.08984375" style="3235" customWidth="1"/>
    <col min="2821" max="2822" width="12.36328125" style="3235" customWidth="1"/>
    <col min="2823" max="2823" width="21.6328125" style="3235" customWidth="1"/>
    <col min="2824" max="2824" width="17.08984375" style="3235" customWidth="1"/>
    <col min="2825" max="2825" width="12.36328125" style="3235" customWidth="1"/>
    <col min="2826" max="2826" width="15.453125" style="3235" customWidth="1"/>
    <col min="2827" max="2828" width="15.26953125" style="3235" customWidth="1"/>
    <col min="2829" max="2829" width="9.81640625" style="3235"/>
    <col min="2830" max="2830" width="15.7265625" style="3235" customWidth="1"/>
    <col min="2831" max="2831" width="16.26953125" style="3235" customWidth="1"/>
    <col min="2832" max="2832" width="14.6328125" style="3235" customWidth="1"/>
    <col min="2833" max="2833" width="17.6328125" style="3235" bestFit="1" customWidth="1"/>
    <col min="2834" max="3072" width="9.81640625" style="3235"/>
    <col min="3073" max="3073" width="6" style="3235" customWidth="1"/>
    <col min="3074" max="3074" width="9.90625" style="3235" customWidth="1"/>
    <col min="3075" max="3075" width="28.54296875" style="3235" customWidth="1"/>
    <col min="3076" max="3076" width="34.08984375" style="3235" customWidth="1"/>
    <col min="3077" max="3078" width="12.36328125" style="3235" customWidth="1"/>
    <col min="3079" max="3079" width="21.6328125" style="3235" customWidth="1"/>
    <col min="3080" max="3080" width="17.08984375" style="3235" customWidth="1"/>
    <col min="3081" max="3081" width="12.36328125" style="3235" customWidth="1"/>
    <col min="3082" max="3082" width="15.453125" style="3235" customWidth="1"/>
    <col min="3083" max="3084" width="15.26953125" style="3235" customWidth="1"/>
    <col min="3085" max="3085" width="9.81640625" style="3235"/>
    <col min="3086" max="3086" width="15.7265625" style="3235" customWidth="1"/>
    <col min="3087" max="3087" width="16.26953125" style="3235" customWidth="1"/>
    <col min="3088" max="3088" width="14.6328125" style="3235" customWidth="1"/>
    <col min="3089" max="3089" width="17.6328125" style="3235" bestFit="1" customWidth="1"/>
    <col min="3090" max="3328" width="9.81640625" style="3235"/>
    <col min="3329" max="3329" width="6" style="3235" customWidth="1"/>
    <col min="3330" max="3330" width="9.90625" style="3235" customWidth="1"/>
    <col min="3331" max="3331" width="28.54296875" style="3235" customWidth="1"/>
    <col min="3332" max="3332" width="34.08984375" style="3235" customWidth="1"/>
    <col min="3333" max="3334" width="12.36328125" style="3235" customWidth="1"/>
    <col min="3335" max="3335" width="21.6328125" style="3235" customWidth="1"/>
    <col min="3336" max="3336" width="17.08984375" style="3235" customWidth="1"/>
    <col min="3337" max="3337" width="12.36328125" style="3235" customWidth="1"/>
    <col min="3338" max="3338" width="15.453125" style="3235" customWidth="1"/>
    <col min="3339" max="3340" width="15.26953125" style="3235" customWidth="1"/>
    <col min="3341" max="3341" width="9.81640625" style="3235"/>
    <col min="3342" max="3342" width="15.7265625" style="3235" customWidth="1"/>
    <col min="3343" max="3343" width="16.26953125" style="3235" customWidth="1"/>
    <col min="3344" max="3344" width="14.6328125" style="3235" customWidth="1"/>
    <col min="3345" max="3345" width="17.6328125" style="3235" bestFit="1" customWidth="1"/>
    <col min="3346" max="3584" width="9.81640625" style="3235"/>
    <col min="3585" max="3585" width="6" style="3235" customWidth="1"/>
    <col min="3586" max="3586" width="9.90625" style="3235" customWidth="1"/>
    <col min="3587" max="3587" width="28.54296875" style="3235" customWidth="1"/>
    <col min="3588" max="3588" width="34.08984375" style="3235" customWidth="1"/>
    <col min="3589" max="3590" width="12.36328125" style="3235" customWidth="1"/>
    <col min="3591" max="3591" width="21.6328125" style="3235" customWidth="1"/>
    <col min="3592" max="3592" width="17.08984375" style="3235" customWidth="1"/>
    <col min="3593" max="3593" width="12.36328125" style="3235" customWidth="1"/>
    <col min="3594" max="3594" width="15.453125" style="3235" customWidth="1"/>
    <col min="3595" max="3596" width="15.26953125" style="3235" customWidth="1"/>
    <col min="3597" max="3597" width="9.81640625" style="3235"/>
    <col min="3598" max="3598" width="15.7265625" style="3235" customWidth="1"/>
    <col min="3599" max="3599" width="16.26953125" style="3235" customWidth="1"/>
    <col min="3600" max="3600" width="14.6328125" style="3235" customWidth="1"/>
    <col min="3601" max="3601" width="17.6328125" style="3235" bestFit="1" customWidth="1"/>
    <col min="3602" max="3840" width="9.81640625" style="3235"/>
    <col min="3841" max="3841" width="6" style="3235" customWidth="1"/>
    <col min="3842" max="3842" width="9.90625" style="3235" customWidth="1"/>
    <col min="3843" max="3843" width="28.54296875" style="3235" customWidth="1"/>
    <col min="3844" max="3844" width="34.08984375" style="3235" customWidth="1"/>
    <col min="3845" max="3846" width="12.36328125" style="3235" customWidth="1"/>
    <col min="3847" max="3847" width="21.6328125" style="3235" customWidth="1"/>
    <col min="3848" max="3848" width="17.08984375" style="3235" customWidth="1"/>
    <col min="3849" max="3849" width="12.36328125" style="3235" customWidth="1"/>
    <col min="3850" max="3850" width="15.453125" style="3235" customWidth="1"/>
    <col min="3851" max="3852" width="15.26953125" style="3235" customWidth="1"/>
    <col min="3853" max="3853" width="9.81640625" style="3235"/>
    <col min="3854" max="3854" width="15.7265625" style="3235" customWidth="1"/>
    <col min="3855" max="3855" width="16.26953125" style="3235" customWidth="1"/>
    <col min="3856" max="3856" width="14.6328125" style="3235" customWidth="1"/>
    <col min="3857" max="3857" width="17.6328125" style="3235" bestFit="1" customWidth="1"/>
    <col min="3858" max="4096" width="9.81640625" style="3235"/>
    <col min="4097" max="4097" width="6" style="3235" customWidth="1"/>
    <col min="4098" max="4098" width="9.90625" style="3235" customWidth="1"/>
    <col min="4099" max="4099" width="28.54296875" style="3235" customWidth="1"/>
    <col min="4100" max="4100" width="34.08984375" style="3235" customWidth="1"/>
    <col min="4101" max="4102" width="12.36328125" style="3235" customWidth="1"/>
    <col min="4103" max="4103" width="21.6328125" style="3235" customWidth="1"/>
    <col min="4104" max="4104" width="17.08984375" style="3235" customWidth="1"/>
    <col min="4105" max="4105" width="12.36328125" style="3235" customWidth="1"/>
    <col min="4106" max="4106" width="15.453125" style="3235" customWidth="1"/>
    <col min="4107" max="4108" width="15.26953125" style="3235" customWidth="1"/>
    <col min="4109" max="4109" width="9.81640625" style="3235"/>
    <col min="4110" max="4110" width="15.7265625" style="3235" customWidth="1"/>
    <col min="4111" max="4111" width="16.26953125" style="3235" customWidth="1"/>
    <col min="4112" max="4112" width="14.6328125" style="3235" customWidth="1"/>
    <col min="4113" max="4113" width="17.6328125" style="3235" bestFit="1" customWidth="1"/>
    <col min="4114" max="4352" width="9.81640625" style="3235"/>
    <col min="4353" max="4353" width="6" style="3235" customWidth="1"/>
    <col min="4354" max="4354" width="9.90625" style="3235" customWidth="1"/>
    <col min="4355" max="4355" width="28.54296875" style="3235" customWidth="1"/>
    <col min="4356" max="4356" width="34.08984375" style="3235" customWidth="1"/>
    <col min="4357" max="4358" width="12.36328125" style="3235" customWidth="1"/>
    <col min="4359" max="4359" width="21.6328125" style="3235" customWidth="1"/>
    <col min="4360" max="4360" width="17.08984375" style="3235" customWidth="1"/>
    <col min="4361" max="4361" width="12.36328125" style="3235" customWidth="1"/>
    <col min="4362" max="4362" width="15.453125" style="3235" customWidth="1"/>
    <col min="4363" max="4364" width="15.26953125" style="3235" customWidth="1"/>
    <col min="4365" max="4365" width="9.81640625" style="3235"/>
    <col min="4366" max="4366" width="15.7265625" style="3235" customWidth="1"/>
    <col min="4367" max="4367" width="16.26953125" style="3235" customWidth="1"/>
    <col min="4368" max="4368" width="14.6328125" style="3235" customWidth="1"/>
    <col min="4369" max="4369" width="17.6328125" style="3235" bestFit="1" customWidth="1"/>
    <col min="4370" max="4608" width="9.81640625" style="3235"/>
    <col min="4609" max="4609" width="6" style="3235" customWidth="1"/>
    <col min="4610" max="4610" width="9.90625" style="3235" customWidth="1"/>
    <col min="4611" max="4611" width="28.54296875" style="3235" customWidth="1"/>
    <col min="4612" max="4612" width="34.08984375" style="3235" customWidth="1"/>
    <col min="4613" max="4614" width="12.36328125" style="3235" customWidth="1"/>
    <col min="4615" max="4615" width="21.6328125" style="3235" customWidth="1"/>
    <col min="4616" max="4616" width="17.08984375" style="3235" customWidth="1"/>
    <col min="4617" max="4617" width="12.36328125" style="3235" customWidth="1"/>
    <col min="4618" max="4618" width="15.453125" style="3235" customWidth="1"/>
    <col min="4619" max="4620" width="15.26953125" style="3235" customWidth="1"/>
    <col min="4621" max="4621" width="9.81640625" style="3235"/>
    <col min="4622" max="4622" width="15.7265625" style="3235" customWidth="1"/>
    <col min="4623" max="4623" width="16.26953125" style="3235" customWidth="1"/>
    <col min="4624" max="4624" width="14.6328125" style="3235" customWidth="1"/>
    <col min="4625" max="4625" width="17.6328125" style="3235" bestFit="1" customWidth="1"/>
    <col min="4626" max="4864" width="9.81640625" style="3235"/>
    <col min="4865" max="4865" width="6" style="3235" customWidth="1"/>
    <col min="4866" max="4866" width="9.90625" style="3235" customWidth="1"/>
    <col min="4867" max="4867" width="28.54296875" style="3235" customWidth="1"/>
    <col min="4868" max="4868" width="34.08984375" style="3235" customWidth="1"/>
    <col min="4869" max="4870" width="12.36328125" style="3235" customWidth="1"/>
    <col min="4871" max="4871" width="21.6328125" style="3235" customWidth="1"/>
    <col min="4872" max="4872" width="17.08984375" style="3235" customWidth="1"/>
    <col min="4873" max="4873" width="12.36328125" style="3235" customWidth="1"/>
    <col min="4874" max="4874" width="15.453125" style="3235" customWidth="1"/>
    <col min="4875" max="4876" width="15.26953125" style="3235" customWidth="1"/>
    <col min="4877" max="4877" width="9.81640625" style="3235"/>
    <col min="4878" max="4878" width="15.7265625" style="3235" customWidth="1"/>
    <col min="4879" max="4879" width="16.26953125" style="3235" customWidth="1"/>
    <col min="4880" max="4880" width="14.6328125" style="3235" customWidth="1"/>
    <col min="4881" max="4881" width="17.6328125" style="3235" bestFit="1" customWidth="1"/>
    <col min="4882" max="5120" width="9.81640625" style="3235"/>
    <col min="5121" max="5121" width="6" style="3235" customWidth="1"/>
    <col min="5122" max="5122" width="9.90625" style="3235" customWidth="1"/>
    <col min="5123" max="5123" width="28.54296875" style="3235" customWidth="1"/>
    <col min="5124" max="5124" width="34.08984375" style="3235" customWidth="1"/>
    <col min="5125" max="5126" width="12.36328125" style="3235" customWidth="1"/>
    <col min="5127" max="5127" width="21.6328125" style="3235" customWidth="1"/>
    <col min="5128" max="5128" width="17.08984375" style="3235" customWidth="1"/>
    <col min="5129" max="5129" width="12.36328125" style="3235" customWidth="1"/>
    <col min="5130" max="5130" width="15.453125" style="3235" customWidth="1"/>
    <col min="5131" max="5132" width="15.26953125" style="3235" customWidth="1"/>
    <col min="5133" max="5133" width="9.81640625" style="3235"/>
    <col min="5134" max="5134" width="15.7265625" style="3235" customWidth="1"/>
    <col min="5135" max="5135" width="16.26953125" style="3235" customWidth="1"/>
    <col min="5136" max="5136" width="14.6328125" style="3235" customWidth="1"/>
    <col min="5137" max="5137" width="17.6328125" style="3235" bestFit="1" customWidth="1"/>
    <col min="5138" max="5376" width="9.81640625" style="3235"/>
    <col min="5377" max="5377" width="6" style="3235" customWidth="1"/>
    <col min="5378" max="5378" width="9.90625" style="3235" customWidth="1"/>
    <col min="5379" max="5379" width="28.54296875" style="3235" customWidth="1"/>
    <col min="5380" max="5380" width="34.08984375" style="3235" customWidth="1"/>
    <col min="5381" max="5382" width="12.36328125" style="3235" customWidth="1"/>
    <col min="5383" max="5383" width="21.6328125" style="3235" customWidth="1"/>
    <col min="5384" max="5384" width="17.08984375" style="3235" customWidth="1"/>
    <col min="5385" max="5385" width="12.36328125" style="3235" customWidth="1"/>
    <col min="5386" max="5386" width="15.453125" style="3235" customWidth="1"/>
    <col min="5387" max="5388" width="15.26953125" style="3235" customWidth="1"/>
    <col min="5389" max="5389" width="9.81640625" style="3235"/>
    <col min="5390" max="5390" width="15.7265625" style="3235" customWidth="1"/>
    <col min="5391" max="5391" width="16.26953125" style="3235" customWidth="1"/>
    <col min="5392" max="5392" width="14.6328125" style="3235" customWidth="1"/>
    <col min="5393" max="5393" width="17.6328125" style="3235" bestFit="1" customWidth="1"/>
    <col min="5394" max="5632" width="9.81640625" style="3235"/>
    <col min="5633" max="5633" width="6" style="3235" customWidth="1"/>
    <col min="5634" max="5634" width="9.90625" style="3235" customWidth="1"/>
    <col min="5635" max="5635" width="28.54296875" style="3235" customWidth="1"/>
    <col min="5636" max="5636" width="34.08984375" style="3235" customWidth="1"/>
    <col min="5637" max="5638" width="12.36328125" style="3235" customWidth="1"/>
    <col min="5639" max="5639" width="21.6328125" style="3235" customWidth="1"/>
    <col min="5640" max="5640" width="17.08984375" style="3235" customWidth="1"/>
    <col min="5641" max="5641" width="12.36328125" style="3235" customWidth="1"/>
    <col min="5642" max="5642" width="15.453125" style="3235" customWidth="1"/>
    <col min="5643" max="5644" width="15.26953125" style="3235" customWidth="1"/>
    <col min="5645" max="5645" width="9.81640625" style="3235"/>
    <col min="5646" max="5646" width="15.7265625" style="3235" customWidth="1"/>
    <col min="5647" max="5647" width="16.26953125" style="3235" customWidth="1"/>
    <col min="5648" max="5648" width="14.6328125" style="3235" customWidth="1"/>
    <col min="5649" max="5649" width="17.6328125" style="3235" bestFit="1" customWidth="1"/>
    <col min="5650" max="5888" width="9.81640625" style="3235"/>
    <col min="5889" max="5889" width="6" style="3235" customWidth="1"/>
    <col min="5890" max="5890" width="9.90625" style="3235" customWidth="1"/>
    <col min="5891" max="5891" width="28.54296875" style="3235" customWidth="1"/>
    <col min="5892" max="5892" width="34.08984375" style="3235" customWidth="1"/>
    <col min="5893" max="5894" width="12.36328125" style="3235" customWidth="1"/>
    <col min="5895" max="5895" width="21.6328125" style="3235" customWidth="1"/>
    <col min="5896" max="5896" width="17.08984375" style="3235" customWidth="1"/>
    <col min="5897" max="5897" width="12.36328125" style="3235" customWidth="1"/>
    <col min="5898" max="5898" width="15.453125" style="3235" customWidth="1"/>
    <col min="5899" max="5900" width="15.26953125" style="3235" customWidth="1"/>
    <col min="5901" max="5901" width="9.81640625" style="3235"/>
    <col min="5902" max="5902" width="15.7265625" style="3235" customWidth="1"/>
    <col min="5903" max="5903" width="16.26953125" style="3235" customWidth="1"/>
    <col min="5904" max="5904" width="14.6328125" style="3235" customWidth="1"/>
    <col min="5905" max="5905" width="17.6328125" style="3235" bestFit="1" customWidth="1"/>
    <col min="5906" max="6144" width="9.81640625" style="3235"/>
    <col min="6145" max="6145" width="6" style="3235" customWidth="1"/>
    <col min="6146" max="6146" width="9.90625" style="3235" customWidth="1"/>
    <col min="6147" max="6147" width="28.54296875" style="3235" customWidth="1"/>
    <col min="6148" max="6148" width="34.08984375" style="3235" customWidth="1"/>
    <col min="6149" max="6150" width="12.36328125" style="3235" customWidth="1"/>
    <col min="6151" max="6151" width="21.6328125" style="3235" customWidth="1"/>
    <col min="6152" max="6152" width="17.08984375" style="3235" customWidth="1"/>
    <col min="6153" max="6153" width="12.36328125" style="3235" customWidth="1"/>
    <col min="6154" max="6154" width="15.453125" style="3235" customWidth="1"/>
    <col min="6155" max="6156" width="15.26953125" style="3235" customWidth="1"/>
    <col min="6157" max="6157" width="9.81640625" style="3235"/>
    <col min="6158" max="6158" width="15.7265625" style="3235" customWidth="1"/>
    <col min="6159" max="6159" width="16.26953125" style="3235" customWidth="1"/>
    <col min="6160" max="6160" width="14.6328125" style="3235" customWidth="1"/>
    <col min="6161" max="6161" width="17.6328125" style="3235" bestFit="1" customWidth="1"/>
    <col min="6162" max="6400" width="9.81640625" style="3235"/>
    <col min="6401" max="6401" width="6" style="3235" customWidth="1"/>
    <col min="6402" max="6402" width="9.90625" style="3235" customWidth="1"/>
    <col min="6403" max="6403" width="28.54296875" style="3235" customWidth="1"/>
    <col min="6404" max="6404" width="34.08984375" style="3235" customWidth="1"/>
    <col min="6405" max="6406" width="12.36328125" style="3235" customWidth="1"/>
    <col min="6407" max="6407" width="21.6328125" style="3235" customWidth="1"/>
    <col min="6408" max="6408" width="17.08984375" style="3235" customWidth="1"/>
    <col min="6409" max="6409" width="12.36328125" style="3235" customWidth="1"/>
    <col min="6410" max="6410" width="15.453125" style="3235" customWidth="1"/>
    <col min="6411" max="6412" width="15.26953125" style="3235" customWidth="1"/>
    <col min="6413" max="6413" width="9.81640625" style="3235"/>
    <col min="6414" max="6414" width="15.7265625" style="3235" customWidth="1"/>
    <col min="6415" max="6415" width="16.26953125" style="3235" customWidth="1"/>
    <col min="6416" max="6416" width="14.6328125" style="3235" customWidth="1"/>
    <col min="6417" max="6417" width="17.6328125" style="3235" bestFit="1" customWidth="1"/>
    <col min="6418" max="6656" width="9.81640625" style="3235"/>
    <col min="6657" max="6657" width="6" style="3235" customWidth="1"/>
    <col min="6658" max="6658" width="9.90625" style="3235" customWidth="1"/>
    <col min="6659" max="6659" width="28.54296875" style="3235" customWidth="1"/>
    <col min="6660" max="6660" width="34.08984375" style="3235" customWidth="1"/>
    <col min="6661" max="6662" width="12.36328125" style="3235" customWidth="1"/>
    <col min="6663" max="6663" width="21.6328125" style="3235" customWidth="1"/>
    <col min="6664" max="6664" width="17.08984375" style="3235" customWidth="1"/>
    <col min="6665" max="6665" width="12.36328125" style="3235" customWidth="1"/>
    <col min="6666" max="6666" width="15.453125" style="3235" customWidth="1"/>
    <col min="6667" max="6668" width="15.26953125" style="3235" customWidth="1"/>
    <col min="6669" max="6669" width="9.81640625" style="3235"/>
    <col min="6670" max="6670" width="15.7265625" style="3235" customWidth="1"/>
    <col min="6671" max="6671" width="16.26953125" style="3235" customWidth="1"/>
    <col min="6672" max="6672" width="14.6328125" style="3235" customWidth="1"/>
    <col min="6673" max="6673" width="17.6328125" style="3235" bestFit="1" customWidth="1"/>
    <col min="6674" max="6912" width="9.81640625" style="3235"/>
    <col min="6913" max="6913" width="6" style="3235" customWidth="1"/>
    <col min="6914" max="6914" width="9.90625" style="3235" customWidth="1"/>
    <col min="6915" max="6915" width="28.54296875" style="3235" customWidth="1"/>
    <col min="6916" max="6916" width="34.08984375" style="3235" customWidth="1"/>
    <col min="6917" max="6918" width="12.36328125" style="3235" customWidth="1"/>
    <col min="6919" max="6919" width="21.6328125" style="3235" customWidth="1"/>
    <col min="6920" max="6920" width="17.08984375" style="3235" customWidth="1"/>
    <col min="6921" max="6921" width="12.36328125" style="3235" customWidth="1"/>
    <col min="6922" max="6922" width="15.453125" style="3235" customWidth="1"/>
    <col min="6923" max="6924" width="15.26953125" style="3235" customWidth="1"/>
    <col min="6925" max="6925" width="9.81640625" style="3235"/>
    <col min="6926" max="6926" width="15.7265625" style="3235" customWidth="1"/>
    <col min="6927" max="6927" width="16.26953125" style="3235" customWidth="1"/>
    <col min="6928" max="6928" width="14.6328125" style="3235" customWidth="1"/>
    <col min="6929" max="6929" width="17.6328125" style="3235" bestFit="1" customWidth="1"/>
    <col min="6930" max="7168" width="9.81640625" style="3235"/>
    <col min="7169" max="7169" width="6" style="3235" customWidth="1"/>
    <col min="7170" max="7170" width="9.90625" style="3235" customWidth="1"/>
    <col min="7171" max="7171" width="28.54296875" style="3235" customWidth="1"/>
    <col min="7172" max="7172" width="34.08984375" style="3235" customWidth="1"/>
    <col min="7173" max="7174" width="12.36328125" style="3235" customWidth="1"/>
    <col min="7175" max="7175" width="21.6328125" style="3235" customWidth="1"/>
    <col min="7176" max="7176" width="17.08984375" style="3235" customWidth="1"/>
    <col min="7177" max="7177" width="12.36328125" style="3235" customWidth="1"/>
    <col min="7178" max="7178" width="15.453125" style="3235" customWidth="1"/>
    <col min="7179" max="7180" width="15.26953125" style="3235" customWidth="1"/>
    <col min="7181" max="7181" width="9.81640625" style="3235"/>
    <col min="7182" max="7182" width="15.7265625" style="3235" customWidth="1"/>
    <col min="7183" max="7183" width="16.26953125" style="3235" customWidth="1"/>
    <col min="7184" max="7184" width="14.6328125" style="3235" customWidth="1"/>
    <col min="7185" max="7185" width="17.6328125" style="3235" bestFit="1" customWidth="1"/>
    <col min="7186" max="7424" width="9.81640625" style="3235"/>
    <col min="7425" max="7425" width="6" style="3235" customWidth="1"/>
    <col min="7426" max="7426" width="9.90625" style="3235" customWidth="1"/>
    <col min="7427" max="7427" width="28.54296875" style="3235" customWidth="1"/>
    <col min="7428" max="7428" width="34.08984375" style="3235" customWidth="1"/>
    <col min="7429" max="7430" width="12.36328125" style="3235" customWidth="1"/>
    <col min="7431" max="7431" width="21.6328125" style="3235" customWidth="1"/>
    <col min="7432" max="7432" width="17.08984375" style="3235" customWidth="1"/>
    <col min="7433" max="7433" width="12.36328125" style="3235" customWidth="1"/>
    <col min="7434" max="7434" width="15.453125" style="3235" customWidth="1"/>
    <col min="7435" max="7436" width="15.26953125" style="3235" customWidth="1"/>
    <col min="7437" max="7437" width="9.81640625" style="3235"/>
    <col min="7438" max="7438" width="15.7265625" style="3235" customWidth="1"/>
    <col min="7439" max="7439" width="16.26953125" style="3235" customWidth="1"/>
    <col min="7440" max="7440" width="14.6328125" style="3235" customWidth="1"/>
    <col min="7441" max="7441" width="17.6328125" style="3235" bestFit="1" customWidth="1"/>
    <col min="7442" max="7680" width="9.81640625" style="3235"/>
    <col min="7681" max="7681" width="6" style="3235" customWidth="1"/>
    <col min="7682" max="7682" width="9.90625" style="3235" customWidth="1"/>
    <col min="7683" max="7683" width="28.54296875" style="3235" customWidth="1"/>
    <col min="7684" max="7684" width="34.08984375" style="3235" customWidth="1"/>
    <col min="7685" max="7686" width="12.36328125" style="3235" customWidth="1"/>
    <col min="7687" max="7687" width="21.6328125" style="3235" customWidth="1"/>
    <col min="7688" max="7688" width="17.08984375" style="3235" customWidth="1"/>
    <col min="7689" max="7689" width="12.36328125" style="3235" customWidth="1"/>
    <col min="7690" max="7690" width="15.453125" style="3235" customWidth="1"/>
    <col min="7691" max="7692" width="15.26953125" style="3235" customWidth="1"/>
    <col min="7693" max="7693" width="9.81640625" style="3235"/>
    <col min="7694" max="7694" width="15.7265625" style="3235" customWidth="1"/>
    <col min="7695" max="7695" width="16.26953125" style="3235" customWidth="1"/>
    <col min="7696" max="7696" width="14.6328125" style="3235" customWidth="1"/>
    <col min="7697" max="7697" width="17.6328125" style="3235" bestFit="1" customWidth="1"/>
    <col min="7698" max="7936" width="9.81640625" style="3235"/>
    <col min="7937" max="7937" width="6" style="3235" customWidth="1"/>
    <col min="7938" max="7938" width="9.90625" style="3235" customWidth="1"/>
    <col min="7939" max="7939" width="28.54296875" style="3235" customWidth="1"/>
    <col min="7940" max="7940" width="34.08984375" style="3235" customWidth="1"/>
    <col min="7941" max="7942" width="12.36328125" style="3235" customWidth="1"/>
    <col min="7943" max="7943" width="21.6328125" style="3235" customWidth="1"/>
    <col min="7944" max="7944" width="17.08984375" style="3235" customWidth="1"/>
    <col min="7945" max="7945" width="12.36328125" style="3235" customWidth="1"/>
    <col min="7946" max="7946" width="15.453125" style="3235" customWidth="1"/>
    <col min="7947" max="7948" width="15.26953125" style="3235" customWidth="1"/>
    <col min="7949" max="7949" width="9.81640625" style="3235"/>
    <col min="7950" max="7950" width="15.7265625" style="3235" customWidth="1"/>
    <col min="7951" max="7951" width="16.26953125" style="3235" customWidth="1"/>
    <col min="7952" max="7952" width="14.6328125" style="3235" customWidth="1"/>
    <col min="7953" max="7953" width="17.6328125" style="3235" bestFit="1" customWidth="1"/>
    <col min="7954" max="8192" width="9.81640625" style="3235"/>
    <col min="8193" max="8193" width="6" style="3235" customWidth="1"/>
    <col min="8194" max="8194" width="9.90625" style="3235" customWidth="1"/>
    <col min="8195" max="8195" width="28.54296875" style="3235" customWidth="1"/>
    <col min="8196" max="8196" width="34.08984375" style="3235" customWidth="1"/>
    <col min="8197" max="8198" width="12.36328125" style="3235" customWidth="1"/>
    <col min="8199" max="8199" width="21.6328125" style="3235" customWidth="1"/>
    <col min="8200" max="8200" width="17.08984375" style="3235" customWidth="1"/>
    <col min="8201" max="8201" width="12.36328125" style="3235" customWidth="1"/>
    <col min="8202" max="8202" width="15.453125" style="3235" customWidth="1"/>
    <col min="8203" max="8204" width="15.26953125" style="3235" customWidth="1"/>
    <col min="8205" max="8205" width="9.81640625" style="3235"/>
    <col min="8206" max="8206" width="15.7265625" style="3235" customWidth="1"/>
    <col min="8207" max="8207" width="16.26953125" style="3235" customWidth="1"/>
    <col min="8208" max="8208" width="14.6328125" style="3235" customWidth="1"/>
    <col min="8209" max="8209" width="17.6328125" style="3235" bestFit="1" customWidth="1"/>
    <col min="8210" max="8448" width="9.81640625" style="3235"/>
    <col min="8449" max="8449" width="6" style="3235" customWidth="1"/>
    <col min="8450" max="8450" width="9.90625" style="3235" customWidth="1"/>
    <col min="8451" max="8451" width="28.54296875" style="3235" customWidth="1"/>
    <col min="8452" max="8452" width="34.08984375" style="3235" customWidth="1"/>
    <col min="8453" max="8454" width="12.36328125" style="3235" customWidth="1"/>
    <col min="8455" max="8455" width="21.6328125" style="3235" customWidth="1"/>
    <col min="8456" max="8456" width="17.08984375" style="3235" customWidth="1"/>
    <col min="8457" max="8457" width="12.36328125" style="3235" customWidth="1"/>
    <col min="8458" max="8458" width="15.453125" style="3235" customWidth="1"/>
    <col min="8459" max="8460" width="15.26953125" style="3235" customWidth="1"/>
    <col min="8461" max="8461" width="9.81640625" style="3235"/>
    <col min="8462" max="8462" width="15.7265625" style="3235" customWidth="1"/>
    <col min="8463" max="8463" width="16.26953125" style="3235" customWidth="1"/>
    <col min="8464" max="8464" width="14.6328125" style="3235" customWidth="1"/>
    <col min="8465" max="8465" width="17.6328125" style="3235" bestFit="1" customWidth="1"/>
    <col min="8466" max="8704" width="9.81640625" style="3235"/>
    <col min="8705" max="8705" width="6" style="3235" customWidth="1"/>
    <col min="8706" max="8706" width="9.90625" style="3235" customWidth="1"/>
    <col min="8707" max="8707" width="28.54296875" style="3235" customWidth="1"/>
    <col min="8708" max="8708" width="34.08984375" style="3235" customWidth="1"/>
    <col min="8709" max="8710" width="12.36328125" style="3235" customWidth="1"/>
    <col min="8711" max="8711" width="21.6328125" style="3235" customWidth="1"/>
    <col min="8712" max="8712" width="17.08984375" style="3235" customWidth="1"/>
    <col min="8713" max="8713" width="12.36328125" style="3235" customWidth="1"/>
    <col min="8714" max="8714" width="15.453125" style="3235" customWidth="1"/>
    <col min="8715" max="8716" width="15.26953125" style="3235" customWidth="1"/>
    <col min="8717" max="8717" width="9.81640625" style="3235"/>
    <col min="8718" max="8718" width="15.7265625" style="3235" customWidth="1"/>
    <col min="8719" max="8719" width="16.26953125" style="3235" customWidth="1"/>
    <col min="8720" max="8720" width="14.6328125" style="3235" customWidth="1"/>
    <col min="8721" max="8721" width="17.6328125" style="3235" bestFit="1" customWidth="1"/>
    <col min="8722" max="8960" width="9.81640625" style="3235"/>
    <col min="8961" max="8961" width="6" style="3235" customWidth="1"/>
    <col min="8962" max="8962" width="9.90625" style="3235" customWidth="1"/>
    <col min="8963" max="8963" width="28.54296875" style="3235" customWidth="1"/>
    <col min="8964" max="8964" width="34.08984375" style="3235" customWidth="1"/>
    <col min="8965" max="8966" width="12.36328125" style="3235" customWidth="1"/>
    <col min="8967" max="8967" width="21.6328125" style="3235" customWidth="1"/>
    <col min="8968" max="8968" width="17.08984375" style="3235" customWidth="1"/>
    <col min="8969" max="8969" width="12.36328125" style="3235" customWidth="1"/>
    <col min="8970" max="8970" width="15.453125" style="3235" customWidth="1"/>
    <col min="8971" max="8972" width="15.26953125" style="3235" customWidth="1"/>
    <col min="8973" max="8973" width="9.81640625" style="3235"/>
    <col min="8974" max="8974" width="15.7265625" style="3235" customWidth="1"/>
    <col min="8975" max="8975" width="16.26953125" style="3235" customWidth="1"/>
    <col min="8976" max="8976" width="14.6328125" style="3235" customWidth="1"/>
    <col min="8977" max="8977" width="17.6328125" style="3235" bestFit="1" customWidth="1"/>
    <col min="8978" max="9216" width="9.81640625" style="3235"/>
    <col min="9217" max="9217" width="6" style="3235" customWidth="1"/>
    <col min="9218" max="9218" width="9.90625" style="3235" customWidth="1"/>
    <col min="9219" max="9219" width="28.54296875" style="3235" customWidth="1"/>
    <col min="9220" max="9220" width="34.08984375" style="3235" customWidth="1"/>
    <col min="9221" max="9222" width="12.36328125" style="3235" customWidth="1"/>
    <col min="9223" max="9223" width="21.6328125" style="3235" customWidth="1"/>
    <col min="9224" max="9224" width="17.08984375" style="3235" customWidth="1"/>
    <col min="9225" max="9225" width="12.36328125" style="3235" customWidth="1"/>
    <col min="9226" max="9226" width="15.453125" style="3235" customWidth="1"/>
    <col min="9227" max="9228" width="15.26953125" style="3235" customWidth="1"/>
    <col min="9229" max="9229" width="9.81640625" style="3235"/>
    <col min="9230" max="9230" width="15.7265625" style="3235" customWidth="1"/>
    <col min="9231" max="9231" width="16.26953125" style="3235" customWidth="1"/>
    <col min="9232" max="9232" width="14.6328125" style="3235" customWidth="1"/>
    <col min="9233" max="9233" width="17.6328125" style="3235" bestFit="1" customWidth="1"/>
    <col min="9234" max="9472" width="9.81640625" style="3235"/>
    <col min="9473" max="9473" width="6" style="3235" customWidth="1"/>
    <col min="9474" max="9474" width="9.90625" style="3235" customWidth="1"/>
    <col min="9475" max="9475" width="28.54296875" style="3235" customWidth="1"/>
    <col min="9476" max="9476" width="34.08984375" style="3235" customWidth="1"/>
    <col min="9477" max="9478" width="12.36328125" style="3235" customWidth="1"/>
    <col min="9479" max="9479" width="21.6328125" style="3235" customWidth="1"/>
    <col min="9480" max="9480" width="17.08984375" style="3235" customWidth="1"/>
    <col min="9481" max="9481" width="12.36328125" style="3235" customWidth="1"/>
    <col min="9482" max="9482" width="15.453125" style="3235" customWidth="1"/>
    <col min="9483" max="9484" width="15.26953125" style="3235" customWidth="1"/>
    <col min="9485" max="9485" width="9.81640625" style="3235"/>
    <col min="9486" max="9486" width="15.7265625" style="3235" customWidth="1"/>
    <col min="9487" max="9487" width="16.26953125" style="3235" customWidth="1"/>
    <col min="9488" max="9488" width="14.6328125" style="3235" customWidth="1"/>
    <col min="9489" max="9489" width="17.6328125" style="3235" bestFit="1" customWidth="1"/>
    <col min="9490" max="9728" width="9.81640625" style="3235"/>
    <col min="9729" max="9729" width="6" style="3235" customWidth="1"/>
    <col min="9730" max="9730" width="9.90625" style="3235" customWidth="1"/>
    <col min="9731" max="9731" width="28.54296875" style="3235" customWidth="1"/>
    <col min="9732" max="9732" width="34.08984375" style="3235" customWidth="1"/>
    <col min="9733" max="9734" width="12.36328125" style="3235" customWidth="1"/>
    <col min="9735" max="9735" width="21.6328125" style="3235" customWidth="1"/>
    <col min="9736" max="9736" width="17.08984375" style="3235" customWidth="1"/>
    <col min="9737" max="9737" width="12.36328125" style="3235" customWidth="1"/>
    <col min="9738" max="9738" width="15.453125" style="3235" customWidth="1"/>
    <col min="9739" max="9740" width="15.26953125" style="3235" customWidth="1"/>
    <col min="9741" max="9741" width="9.81640625" style="3235"/>
    <col min="9742" max="9742" width="15.7265625" style="3235" customWidth="1"/>
    <col min="9743" max="9743" width="16.26953125" style="3235" customWidth="1"/>
    <col min="9744" max="9744" width="14.6328125" style="3235" customWidth="1"/>
    <col min="9745" max="9745" width="17.6328125" style="3235" bestFit="1" customWidth="1"/>
    <col min="9746" max="9984" width="9.81640625" style="3235"/>
    <col min="9985" max="9985" width="6" style="3235" customWidth="1"/>
    <col min="9986" max="9986" width="9.90625" style="3235" customWidth="1"/>
    <col min="9987" max="9987" width="28.54296875" style="3235" customWidth="1"/>
    <col min="9988" max="9988" width="34.08984375" style="3235" customWidth="1"/>
    <col min="9989" max="9990" width="12.36328125" style="3235" customWidth="1"/>
    <col min="9991" max="9991" width="21.6328125" style="3235" customWidth="1"/>
    <col min="9992" max="9992" width="17.08984375" style="3235" customWidth="1"/>
    <col min="9993" max="9993" width="12.36328125" style="3235" customWidth="1"/>
    <col min="9994" max="9994" width="15.453125" style="3235" customWidth="1"/>
    <col min="9995" max="9996" width="15.26953125" style="3235" customWidth="1"/>
    <col min="9997" max="9997" width="9.81640625" style="3235"/>
    <col min="9998" max="9998" width="15.7265625" style="3235" customWidth="1"/>
    <col min="9999" max="9999" width="16.26953125" style="3235" customWidth="1"/>
    <col min="10000" max="10000" width="14.6328125" style="3235" customWidth="1"/>
    <col min="10001" max="10001" width="17.6328125" style="3235" bestFit="1" customWidth="1"/>
    <col min="10002" max="10240" width="9.81640625" style="3235"/>
    <col min="10241" max="10241" width="6" style="3235" customWidth="1"/>
    <col min="10242" max="10242" width="9.90625" style="3235" customWidth="1"/>
    <col min="10243" max="10243" width="28.54296875" style="3235" customWidth="1"/>
    <col min="10244" max="10244" width="34.08984375" style="3235" customWidth="1"/>
    <col min="10245" max="10246" width="12.36328125" style="3235" customWidth="1"/>
    <col min="10247" max="10247" width="21.6328125" style="3235" customWidth="1"/>
    <col min="10248" max="10248" width="17.08984375" style="3235" customWidth="1"/>
    <col min="10249" max="10249" width="12.36328125" style="3235" customWidth="1"/>
    <col min="10250" max="10250" width="15.453125" style="3235" customWidth="1"/>
    <col min="10251" max="10252" width="15.26953125" style="3235" customWidth="1"/>
    <col min="10253" max="10253" width="9.81640625" style="3235"/>
    <col min="10254" max="10254" width="15.7265625" style="3235" customWidth="1"/>
    <col min="10255" max="10255" width="16.26953125" style="3235" customWidth="1"/>
    <col min="10256" max="10256" width="14.6328125" style="3235" customWidth="1"/>
    <col min="10257" max="10257" width="17.6328125" style="3235" bestFit="1" customWidth="1"/>
    <col min="10258" max="10496" width="9.81640625" style="3235"/>
    <col min="10497" max="10497" width="6" style="3235" customWidth="1"/>
    <col min="10498" max="10498" width="9.90625" style="3235" customWidth="1"/>
    <col min="10499" max="10499" width="28.54296875" style="3235" customWidth="1"/>
    <col min="10500" max="10500" width="34.08984375" style="3235" customWidth="1"/>
    <col min="10501" max="10502" width="12.36328125" style="3235" customWidth="1"/>
    <col min="10503" max="10503" width="21.6328125" style="3235" customWidth="1"/>
    <col min="10504" max="10504" width="17.08984375" style="3235" customWidth="1"/>
    <col min="10505" max="10505" width="12.36328125" style="3235" customWidth="1"/>
    <col min="10506" max="10506" width="15.453125" style="3235" customWidth="1"/>
    <col min="10507" max="10508" width="15.26953125" style="3235" customWidth="1"/>
    <col min="10509" max="10509" width="9.81640625" style="3235"/>
    <col min="10510" max="10510" width="15.7265625" style="3235" customWidth="1"/>
    <col min="10511" max="10511" width="16.26953125" style="3235" customWidth="1"/>
    <col min="10512" max="10512" width="14.6328125" style="3235" customWidth="1"/>
    <col min="10513" max="10513" width="17.6328125" style="3235" bestFit="1" customWidth="1"/>
    <col min="10514" max="10752" width="9.81640625" style="3235"/>
    <col min="10753" max="10753" width="6" style="3235" customWidth="1"/>
    <col min="10754" max="10754" width="9.90625" style="3235" customWidth="1"/>
    <col min="10755" max="10755" width="28.54296875" style="3235" customWidth="1"/>
    <col min="10756" max="10756" width="34.08984375" style="3235" customWidth="1"/>
    <col min="10757" max="10758" width="12.36328125" style="3235" customWidth="1"/>
    <col min="10759" max="10759" width="21.6328125" style="3235" customWidth="1"/>
    <col min="10760" max="10760" width="17.08984375" style="3235" customWidth="1"/>
    <col min="10761" max="10761" width="12.36328125" style="3235" customWidth="1"/>
    <col min="10762" max="10762" width="15.453125" style="3235" customWidth="1"/>
    <col min="10763" max="10764" width="15.26953125" style="3235" customWidth="1"/>
    <col min="10765" max="10765" width="9.81640625" style="3235"/>
    <col min="10766" max="10766" width="15.7265625" style="3235" customWidth="1"/>
    <col min="10767" max="10767" width="16.26953125" style="3235" customWidth="1"/>
    <col min="10768" max="10768" width="14.6328125" style="3235" customWidth="1"/>
    <col min="10769" max="10769" width="17.6328125" style="3235" bestFit="1" customWidth="1"/>
    <col min="10770" max="11008" width="9.81640625" style="3235"/>
    <col min="11009" max="11009" width="6" style="3235" customWidth="1"/>
    <col min="11010" max="11010" width="9.90625" style="3235" customWidth="1"/>
    <col min="11011" max="11011" width="28.54296875" style="3235" customWidth="1"/>
    <col min="11012" max="11012" width="34.08984375" style="3235" customWidth="1"/>
    <col min="11013" max="11014" width="12.36328125" style="3235" customWidth="1"/>
    <col min="11015" max="11015" width="21.6328125" style="3235" customWidth="1"/>
    <col min="11016" max="11016" width="17.08984375" style="3235" customWidth="1"/>
    <col min="11017" max="11017" width="12.36328125" style="3235" customWidth="1"/>
    <col min="11018" max="11018" width="15.453125" style="3235" customWidth="1"/>
    <col min="11019" max="11020" width="15.26953125" style="3235" customWidth="1"/>
    <col min="11021" max="11021" width="9.81640625" style="3235"/>
    <col min="11022" max="11022" width="15.7265625" style="3235" customWidth="1"/>
    <col min="11023" max="11023" width="16.26953125" style="3235" customWidth="1"/>
    <col min="11024" max="11024" width="14.6328125" style="3235" customWidth="1"/>
    <col min="11025" max="11025" width="17.6328125" style="3235" bestFit="1" customWidth="1"/>
    <col min="11026" max="11264" width="9.81640625" style="3235"/>
    <col min="11265" max="11265" width="6" style="3235" customWidth="1"/>
    <col min="11266" max="11266" width="9.90625" style="3235" customWidth="1"/>
    <col min="11267" max="11267" width="28.54296875" style="3235" customWidth="1"/>
    <col min="11268" max="11268" width="34.08984375" style="3235" customWidth="1"/>
    <col min="11269" max="11270" width="12.36328125" style="3235" customWidth="1"/>
    <col min="11271" max="11271" width="21.6328125" style="3235" customWidth="1"/>
    <col min="11272" max="11272" width="17.08984375" style="3235" customWidth="1"/>
    <col min="11273" max="11273" width="12.36328125" style="3235" customWidth="1"/>
    <col min="11274" max="11274" width="15.453125" style="3235" customWidth="1"/>
    <col min="11275" max="11276" width="15.26953125" style="3235" customWidth="1"/>
    <col min="11277" max="11277" width="9.81640625" style="3235"/>
    <col min="11278" max="11278" width="15.7265625" style="3235" customWidth="1"/>
    <col min="11279" max="11279" width="16.26953125" style="3235" customWidth="1"/>
    <col min="11280" max="11280" width="14.6328125" style="3235" customWidth="1"/>
    <col min="11281" max="11281" width="17.6328125" style="3235" bestFit="1" customWidth="1"/>
    <col min="11282" max="11520" width="9.81640625" style="3235"/>
    <col min="11521" max="11521" width="6" style="3235" customWidth="1"/>
    <col min="11522" max="11522" width="9.90625" style="3235" customWidth="1"/>
    <col min="11523" max="11523" width="28.54296875" style="3235" customWidth="1"/>
    <col min="11524" max="11524" width="34.08984375" style="3235" customWidth="1"/>
    <col min="11525" max="11526" width="12.36328125" style="3235" customWidth="1"/>
    <col min="11527" max="11527" width="21.6328125" style="3235" customWidth="1"/>
    <col min="11528" max="11528" width="17.08984375" style="3235" customWidth="1"/>
    <col min="11529" max="11529" width="12.36328125" style="3235" customWidth="1"/>
    <col min="11530" max="11530" width="15.453125" style="3235" customWidth="1"/>
    <col min="11531" max="11532" width="15.26953125" style="3235" customWidth="1"/>
    <col min="11533" max="11533" width="9.81640625" style="3235"/>
    <col min="11534" max="11534" width="15.7265625" style="3235" customWidth="1"/>
    <col min="11535" max="11535" width="16.26953125" style="3235" customWidth="1"/>
    <col min="11536" max="11536" width="14.6328125" style="3235" customWidth="1"/>
    <col min="11537" max="11537" width="17.6328125" style="3235" bestFit="1" customWidth="1"/>
    <col min="11538" max="11776" width="9.81640625" style="3235"/>
    <col min="11777" max="11777" width="6" style="3235" customWidth="1"/>
    <col min="11778" max="11778" width="9.90625" style="3235" customWidth="1"/>
    <col min="11779" max="11779" width="28.54296875" style="3235" customWidth="1"/>
    <col min="11780" max="11780" width="34.08984375" style="3235" customWidth="1"/>
    <col min="11781" max="11782" width="12.36328125" style="3235" customWidth="1"/>
    <col min="11783" max="11783" width="21.6328125" style="3235" customWidth="1"/>
    <col min="11784" max="11784" width="17.08984375" style="3235" customWidth="1"/>
    <col min="11785" max="11785" width="12.36328125" style="3235" customWidth="1"/>
    <col min="11786" max="11786" width="15.453125" style="3235" customWidth="1"/>
    <col min="11787" max="11788" width="15.26953125" style="3235" customWidth="1"/>
    <col min="11789" max="11789" width="9.81640625" style="3235"/>
    <col min="11790" max="11790" width="15.7265625" style="3235" customWidth="1"/>
    <col min="11791" max="11791" width="16.26953125" style="3235" customWidth="1"/>
    <col min="11792" max="11792" width="14.6328125" style="3235" customWidth="1"/>
    <col min="11793" max="11793" width="17.6328125" style="3235" bestFit="1" customWidth="1"/>
    <col min="11794" max="12032" width="9.81640625" style="3235"/>
    <col min="12033" max="12033" width="6" style="3235" customWidth="1"/>
    <col min="12034" max="12034" width="9.90625" style="3235" customWidth="1"/>
    <col min="12035" max="12035" width="28.54296875" style="3235" customWidth="1"/>
    <col min="12036" max="12036" width="34.08984375" style="3235" customWidth="1"/>
    <col min="12037" max="12038" width="12.36328125" style="3235" customWidth="1"/>
    <col min="12039" max="12039" width="21.6328125" style="3235" customWidth="1"/>
    <col min="12040" max="12040" width="17.08984375" style="3235" customWidth="1"/>
    <col min="12041" max="12041" width="12.36328125" style="3235" customWidth="1"/>
    <col min="12042" max="12042" width="15.453125" style="3235" customWidth="1"/>
    <col min="12043" max="12044" width="15.26953125" style="3235" customWidth="1"/>
    <col min="12045" max="12045" width="9.81640625" style="3235"/>
    <col min="12046" max="12046" width="15.7265625" style="3235" customWidth="1"/>
    <col min="12047" max="12047" width="16.26953125" style="3235" customWidth="1"/>
    <col min="12048" max="12048" width="14.6328125" style="3235" customWidth="1"/>
    <col min="12049" max="12049" width="17.6328125" style="3235" bestFit="1" customWidth="1"/>
    <col min="12050" max="12288" width="9.81640625" style="3235"/>
    <col min="12289" max="12289" width="6" style="3235" customWidth="1"/>
    <col min="12290" max="12290" width="9.90625" style="3235" customWidth="1"/>
    <col min="12291" max="12291" width="28.54296875" style="3235" customWidth="1"/>
    <col min="12292" max="12292" width="34.08984375" style="3235" customWidth="1"/>
    <col min="12293" max="12294" width="12.36328125" style="3235" customWidth="1"/>
    <col min="12295" max="12295" width="21.6328125" style="3235" customWidth="1"/>
    <col min="12296" max="12296" width="17.08984375" style="3235" customWidth="1"/>
    <col min="12297" max="12297" width="12.36328125" style="3235" customWidth="1"/>
    <col min="12298" max="12298" width="15.453125" style="3235" customWidth="1"/>
    <col min="12299" max="12300" width="15.26953125" style="3235" customWidth="1"/>
    <col min="12301" max="12301" width="9.81640625" style="3235"/>
    <col min="12302" max="12302" width="15.7265625" style="3235" customWidth="1"/>
    <col min="12303" max="12303" width="16.26953125" style="3235" customWidth="1"/>
    <col min="12304" max="12304" width="14.6328125" style="3235" customWidth="1"/>
    <col min="12305" max="12305" width="17.6328125" style="3235" bestFit="1" customWidth="1"/>
    <col min="12306" max="12544" width="9.81640625" style="3235"/>
    <col min="12545" max="12545" width="6" style="3235" customWidth="1"/>
    <col min="12546" max="12546" width="9.90625" style="3235" customWidth="1"/>
    <col min="12547" max="12547" width="28.54296875" style="3235" customWidth="1"/>
    <col min="12548" max="12548" width="34.08984375" style="3235" customWidth="1"/>
    <col min="12549" max="12550" width="12.36328125" style="3235" customWidth="1"/>
    <col min="12551" max="12551" width="21.6328125" style="3235" customWidth="1"/>
    <col min="12552" max="12552" width="17.08984375" style="3235" customWidth="1"/>
    <col min="12553" max="12553" width="12.36328125" style="3235" customWidth="1"/>
    <col min="12554" max="12554" width="15.453125" style="3235" customWidth="1"/>
    <col min="12555" max="12556" width="15.26953125" style="3235" customWidth="1"/>
    <col min="12557" max="12557" width="9.81640625" style="3235"/>
    <col min="12558" max="12558" width="15.7265625" style="3235" customWidth="1"/>
    <col min="12559" max="12559" width="16.26953125" style="3235" customWidth="1"/>
    <col min="12560" max="12560" width="14.6328125" style="3235" customWidth="1"/>
    <col min="12561" max="12561" width="17.6328125" style="3235" bestFit="1" customWidth="1"/>
    <col min="12562" max="12800" width="9.81640625" style="3235"/>
    <col min="12801" max="12801" width="6" style="3235" customWidth="1"/>
    <col min="12802" max="12802" width="9.90625" style="3235" customWidth="1"/>
    <col min="12803" max="12803" width="28.54296875" style="3235" customWidth="1"/>
    <col min="12804" max="12804" width="34.08984375" style="3235" customWidth="1"/>
    <col min="12805" max="12806" width="12.36328125" style="3235" customWidth="1"/>
    <col min="12807" max="12807" width="21.6328125" style="3235" customWidth="1"/>
    <col min="12808" max="12808" width="17.08984375" style="3235" customWidth="1"/>
    <col min="12809" max="12809" width="12.36328125" style="3235" customWidth="1"/>
    <col min="12810" max="12810" width="15.453125" style="3235" customWidth="1"/>
    <col min="12811" max="12812" width="15.26953125" style="3235" customWidth="1"/>
    <col min="12813" max="12813" width="9.81640625" style="3235"/>
    <col min="12814" max="12814" width="15.7265625" style="3235" customWidth="1"/>
    <col min="12815" max="12815" width="16.26953125" style="3235" customWidth="1"/>
    <col min="12816" max="12816" width="14.6328125" style="3235" customWidth="1"/>
    <col min="12817" max="12817" width="17.6328125" style="3235" bestFit="1" customWidth="1"/>
    <col min="12818" max="13056" width="9.81640625" style="3235"/>
    <col min="13057" max="13057" width="6" style="3235" customWidth="1"/>
    <col min="13058" max="13058" width="9.90625" style="3235" customWidth="1"/>
    <col min="13059" max="13059" width="28.54296875" style="3235" customWidth="1"/>
    <col min="13060" max="13060" width="34.08984375" style="3235" customWidth="1"/>
    <col min="13061" max="13062" width="12.36328125" style="3235" customWidth="1"/>
    <col min="13063" max="13063" width="21.6328125" style="3235" customWidth="1"/>
    <col min="13064" max="13064" width="17.08984375" style="3235" customWidth="1"/>
    <col min="13065" max="13065" width="12.36328125" style="3235" customWidth="1"/>
    <col min="13066" max="13066" width="15.453125" style="3235" customWidth="1"/>
    <col min="13067" max="13068" width="15.26953125" style="3235" customWidth="1"/>
    <col min="13069" max="13069" width="9.81640625" style="3235"/>
    <col min="13070" max="13070" width="15.7265625" style="3235" customWidth="1"/>
    <col min="13071" max="13071" width="16.26953125" style="3235" customWidth="1"/>
    <col min="13072" max="13072" width="14.6328125" style="3235" customWidth="1"/>
    <col min="13073" max="13073" width="17.6328125" style="3235" bestFit="1" customWidth="1"/>
    <col min="13074" max="13312" width="9.81640625" style="3235"/>
    <col min="13313" max="13313" width="6" style="3235" customWidth="1"/>
    <col min="13314" max="13314" width="9.90625" style="3235" customWidth="1"/>
    <col min="13315" max="13315" width="28.54296875" style="3235" customWidth="1"/>
    <col min="13316" max="13316" width="34.08984375" style="3235" customWidth="1"/>
    <col min="13317" max="13318" width="12.36328125" style="3235" customWidth="1"/>
    <col min="13319" max="13319" width="21.6328125" style="3235" customWidth="1"/>
    <col min="13320" max="13320" width="17.08984375" style="3235" customWidth="1"/>
    <col min="13321" max="13321" width="12.36328125" style="3235" customWidth="1"/>
    <col min="13322" max="13322" width="15.453125" style="3235" customWidth="1"/>
    <col min="13323" max="13324" width="15.26953125" style="3235" customWidth="1"/>
    <col min="13325" max="13325" width="9.81640625" style="3235"/>
    <col min="13326" max="13326" width="15.7265625" style="3235" customWidth="1"/>
    <col min="13327" max="13327" width="16.26953125" style="3235" customWidth="1"/>
    <col min="13328" max="13328" width="14.6328125" style="3235" customWidth="1"/>
    <col min="13329" max="13329" width="17.6328125" style="3235" bestFit="1" customWidth="1"/>
    <col min="13330" max="13568" width="9.81640625" style="3235"/>
    <col min="13569" max="13569" width="6" style="3235" customWidth="1"/>
    <col min="13570" max="13570" width="9.90625" style="3235" customWidth="1"/>
    <col min="13571" max="13571" width="28.54296875" style="3235" customWidth="1"/>
    <col min="13572" max="13572" width="34.08984375" style="3235" customWidth="1"/>
    <col min="13573" max="13574" width="12.36328125" style="3235" customWidth="1"/>
    <col min="13575" max="13575" width="21.6328125" style="3235" customWidth="1"/>
    <col min="13576" max="13576" width="17.08984375" style="3235" customWidth="1"/>
    <col min="13577" max="13577" width="12.36328125" style="3235" customWidth="1"/>
    <col min="13578" max="13578" width="15.453125" style="3235" customWidth="1"/>
    <col min="13579" max="13580" width="15.26953125" style="3235" customWidth="1"/>
    <col min="13581" max="13581" width="9.81640625" style="3235"/>
    <col min="13582" max="13582" width="15.7265625" style="3235" customWidth="1"/>
    <col min="13583" max="13583" width="16.26953125" style="3235" customWidth="1"/>
    <col min="13584" max="13584" width="14.6328125" style="3235" customWidth="1"/>
    <col min="13585" max="13585" width="17.6328125" style="3235" bestFit="1" customWidth="1"/>
    <col min="13586" max="13824" width="9.81640625" style="3235"/>
    <col min="13825" max="13825" width="6" style="3235" customWidth="1"/>
    <col min="13826" max="13826" width="9.90625" style="3235" customWidth="1"/>
    <col min="13827" max="13827" width="28.54296875" style="3235" customWidth="1"/>
    <col min="13828" max="13828" width="34.08984375" style="3235" customWidth="1"/>
    <col min="13829" max="13830" width="12.36328125" style="3235" customWidth="1"/>
    <col min="13831" max="13831" width="21.6328125" style="3235" customWidth="1"/>
    <col min="13832" max="13832" width="17.08984375" style="3235" customWidth="1"/>
    <col min="13833" max="13833" width="12.36328125" style="3235" customWidth="1"/>
    <col min="13834" max="13834" width="15.453125" style="3235" customWidth="1"/>
    <col min="13835" max="13836" width="15.26953125" style="3235" customWidth="1"/>
    <col min="13837" max="13837" width="9.81640625" style="3235"/>
    <col min="13838" max="13838" width="15.7265625" style="3235" customWidth="1"/>
    <col min="13839" max="13839" width="16.26953125" style="3235" customWidth="1"/>
    <col min="13840" max="13840" width="14.6328125" style="3235" customWidth="1"/>
    <col min="13841" max="13841" width="17.6328125" style="3235" bestFit="1" customWidth="1"/>
    <col min="13842" max="14080" width="9.81640625" style="3235"/>
    <col min="14081" max="14081" width="6" style="3235" customWidth="1"/>
    <col min="14082" max="14082" width="9.90625" style="3235" customWidth="1"/>
    <col min="14083" max="14083" width="28.54296875" style="3235" customWidth="1"/>
    <col min="14084" max="14084" width="34.08984375" style="3235" customWidth="1"/>
    <col min="14085" max="14086" width="12.36328125" style="3235" customWidth="1"/>
    <col min="14087" max="14087" width="21.6328125" style="3235" customWidth="1"/>
    <col min="14088" max="14088" width="17.08984375" style="3235" customWidth="1"/>
    <col min="14089" max="14089" width="12.36328125" style="3235" customWidth="1"/>
    <col min="14090" max="14090" width="15.453125" style="3235" customWidth="1"/>
    <col min="14091" max="14092" width="15.26953125" style="3235" customWidth="1"/>
    <col min="14093" max="14093" width="9.81640625" style="3235"/>
    <col min="14094" max="14094" width="15.7265625" style="3235" customWidth="1"/>
    <col min="14095" max="14095" width="16.26953125" style="3235" customWidth="1"/>
    <col min="14096" max="14096" width="14.6328125" style="3235" customWidth="1"/>
    <col min="14097" max="14097" width="17.6328125" style="3235" bestFit="1" customWidth="1"/>
    <col min="14098" max="14336" width="9.81640625" style="3235"/>
    <col min="14337" max="14337" width="6" style="3235" customWidth="1"/>
    <col min="14338" max="14338" width="9.90625" style="3235" customWidth="1"/>
    <col min="14339" max="14339" width="28.54296875" style="3235" customWidth="1"/>
    <col min="14340" max="14340" width="34.08984375" style="3235" customWidth="1"/>
    <col min="14341" max="14342" width="12.36328125" style="3235" customWidth="1"/>
    <col min="14343" max="14343" width="21.6328125" style="3235" customWidth="1"/>
    <col min="14344" max="14344" width="17.08984375" style="3235" customWidth="1"/>
    <col min="14345" max="14345" width="12.36328125" style="3235" customWidth="1"/>
    <col min="14346" max="14346" width="15.453125" style="3235" customWidth="1"/>
    <col min="14347" max="14348" width="15.26953125" style="3235" customWidth="1"/>
    <col min="14349" max="14349" width="9.81640625" style="3235"/>
    <col min="14350" max="14350" width="15.7265625" style="3235" customWidth="1"/>
    <col min="14351" max="14351" width="16.26953125" style="3235" customWidth="1"/>
    <col min="14352" max="14352" width="14.6328125" style="3235" customWidth="1"/>
    <col min="14353" max="14353" width="17.6328125" style="3235" bestFit="1" customWidth="1"/>
    <col min="14354" max="14592" width="9.81640625" style="3235"/>
    <col min="14593" max="14593" width="6" style="3235" customWidth="1"/>
    <col min="14594" max="14594" width="9.90625" style="3235" customWidth="1"/>
    <col min="14595" max="14595" width="28.54296875" style="3235" customWidth="1"/>
    <col min="14596" max="14596" width="34.08984375" style="3235" customWidth="1"/>
    <col min="14597" max="14598" width="12.36328125" style="3235" customWidth="1"/>
    <col min="14599" max="14599" width="21.6328125" style="3235" customWidth="1"/>
    <col min="14600" max="14600" width="17.08984375" style="3235" customWidth="1"/>
    <col min="14601" max="14601" width="12.36328125" style="3235" customWidth="1"/>
    <col min="14602" max="14602" width="15.453125" style="3235" customWidth="1"/>
    <col min="14603" max="14604" width="15.26953125" style="3235" customWidth="1"/>
    <col min="14605" max="14605" width="9.81640625" style="3235"/>
    <col min="14606" max="14606" width="15.7265625" style="3235" customWidth="1"/>
    <col min="14607" max="14607" width="16.26953125" style="3235" customWidth="1"/>
    <col min="14608" max="14608" width="14.6328125" style="3235" customWidth="1"/>
    <col min="14609" max="14609" width="17.6328125" style="3235" bestFit="1" customWidth="1"/>
    <col min="14610" max="14848" width="9.81640625" style="3235"/>
    <col min="14849" max="14849" width="6" style="3235" customWidth="1"/>
    <col min="14850" max="14850" width="9.90625" style="3235" customWidth="1"/>
    <col min="14851" max="14851" width="28.54296875" style="3235" customWidth="1"/>
    <col min="14852" max="14852" width="34.08984375" style="3235" customWidth="1"/>
    <col min="14853" max="14854" width="12.36328125" style="3235" customWidth="1"/>
    <col min="14855" max="14855" width="21.6328125" style="3235" customWidth="1"/>
    <col min="14856" max="14856" width="17.08984375" style="3235" customWidth="1"/>
    <col min="14857" max="14857" width="12.36328125" style="3235" customWidth="1"/>
    <col min="14858" max="14858" width="15.453125" style="3235" customWidth="1"/>
    <col min="14859" max="14860" width="15.26953125" style="3235" customWidth="1"/>
    <col min="14861" max="14861" width="9.81640625" style="3235"/>
    <col min="14862" max="14862" width="15.7265625" style="3235" customWidth="1"/>
    <col min="14863" max="14863" width="16.26953125" style="3235" customWidth="1"/>
    <col min="14864" max="14864" width="14.6328125" style="3235" customWidth="1"/>
    <col min="14865" max="14865" width="17.6328125" style="3235" bestFit="1" customWidth="1"/>
    <col min="14866" max="15104" width="9.81640625" style="3235"/>
    <col min="15105" max="15105" width="6" style="3235" customWidth="1"/>
    <col min="15106" max="15106" width="9.90625" style="3235" customWidth="1"/>
    <col min="15107" max="15107" width="28.54296875" style="3235" customWidth="1"/>
    <col min="15108" max="15108" width="34.08984375" style="3235" customWidth="1"/>
    <col min="15109" max="15110" width="12.36328125" style="3235" customWidth="1"/>
    <col min="15111" max="15111" width="21.6328125" style="3235" customWidth="1"/>
    <col min="15112" max="15112" width="17.08984375" style="3235" customWidth="1"/>
    <col min="15113" max="15113" width="12.36328125" style="3235" customWidth="1"/>
    <col min="15114" max="15114" width="15.453125" style="3235" customWidth="1"/>
    <col min="15115" max="15116" width="15.26953125" style="3235" customWidth="1"/>
    <col min="15117" max="15117" width="9.81640625" style="3235"/>
    <col min="15118" max="15118" width="15.7265625" style="3235" customWidth="1"/>
    <col min="15119" max="15119" width="16.26953125" style="3235" customWidth="1"/>
    <col min="15120" max="15120" width="14.6328125" style="3235" customWidth="1"/>
    <col min="15121" max="15121" width="17.6328125" style="3235" bestFit="1" customWidth="1"/>
    <col min="15122" max="15360" width="9.81640625" style="3235"/>
    <col min="15361" max="15361" width="6" style="3235" customWidth="1"/>
    <col min="15362" max="15362" width="9.90625" style="3235" customWidth="1"/>
    <col min="15363" max="15363" width="28.54296875" style="3235" customWidth="1"/>
    <col min="15364" max="15364" width="34.08984375" style="3235" customWidth="1"/>
    <col min="15365" max="15366" width="12.36328125" style="3235" customWidth="1"/>
    <col min="15367" max="15367" width="21.6328125" style="3235" customWidth="1"/>
    <col min="15368" max="15368" width="17.08984375" style="3235" customWidth="1"/>
    <col min="15369" max="15369" width="12.36328125" style="3235" customWidth="1"/>
    <col min="15370" max="15370" width="15.453125" style="3235" customWidth="1"/>
    <col min="15371" max="15372" width="15.26953125" style="3235" customWidth="1"/>
    <col min="15373" max="15373" width="9.81640625" style="3235"/>
    <col min="15374" max="15374" width="15.7265625" style="3235" customWidth="1"/>
    <col min="15375" max="15375" width="16.26953125" style="3235" customWidth="1"/>
    <col min="15376" max="15376" width="14.6328125" style="3235" customWidth="1"/>
    <col min="15377" max="15377" width="17.6328125" style="3235" bestFit="1" customWidth="1"/>
    <col min="15378" max="15616" width="9.81640625" style="3235"/>
    <col min="15617" max="15617" width="6" style="3235" customWidth="1"/>
    <col min="15618" max="15618" width="9.90625" style="3235" customWidth="1"/>
    <col min="15619" max="15619" width="28.54296875" style="3235" customWidth="1"/>
    <col min="15620" max="15620" width="34.08984375" style="3235" customWidth="1"/>
    <col min="15621" max="15622" width="12.36328125" style="3235" customWidth="1"/>
    <col min="15623" max="15623" width="21.6328125" style="3235" customWidth="1"/>
    <col min="15624" max="15624" width="17.08984375" style="3235" customWidth="1"/>
    <col min="15625" max="15625" width="12.36328125" style="3235" customWidth="1"/>
    <col min="15626" max="15626" width="15.453125" style="3235" customWidth="1"/>
    <col min="15627" max="15628" width="15.26953125" style="3235" customWidth="1"/>
    <col min="15629" max="15629" width="9.81640625" style="3235"/>
    <col min="15630" max="15630" width="15.7265625" style="3235" customWidth="1"/>
    <col min="15631" max="15631" width="16.26953125" style="3235" customWidth="1"/>
    <col min="15632" max="15632" width="14.6328125" style="3235" customWidth="1"/>
    <col min="15633" max="15633" width="17.6328125" style="3235" bestFit="1" customWidth="1"/>
    <col min="15634" max="15872" width="9.81640625" style="3235"/>
    <col min="15873" max="15873" width="6" style="3235" customWidth="1"/>
    <col min="15874" max="15874" width="9.90625" style="3235" customWidth="1"/>
    <col min="15875" max="15875" width="28.54296875" style="3235" customWidth="1"/>
    <col min="15876" max="15876" width="34.08984375" style="3235" customWidth="1"/>
    <col min="15877" max="15878" width="12.36328125" style="3235" customWidth="1"/>
    <col min="15879" max="15879" width="21.6328125" style="3235" customWidth="1"/>
    <col min="15880" max="15880" width="17.08984375" style="3235" customWidth="1"/>
    <col min="15881" max="15881" width="12.36328125" style="3235" customWidth="1"/>
    <col min="15882" max="15882" width="15.453125" style="3235" customWidth="1"/>
    <col min="15883" max="15884" width="15.26953125" style="3235" customWidth="1"/>
    <col min="15885" max="15885" width="9.81640625" style="3235"/>
    <col min="15886" max="15886" width="15.7265625" style="3235" customWidth="1"/>
    <col min="15887" max="15887" width="16.26953125" style="3235" customWidth="1"/>
    <col min="15888" max="15888" width="14.6328125" style="3235" customWidth="1"/>
    <col min="15889" max="15889" width="17.6328125" style="3235" bestFit="1" customWidth="1"/>
    <col min="15890" max="16128" width="9.81640625" style="3235"/>
    <col min="16129" max="16129" width="6" style="3235" customWidth="1"/>
    <col min="16130" max="16130" width="9.90625" style="3235" customWidth="1"/>
    <col min="16131" max="16131" width="28.54296875" style="3235" customWidth="1"/>
    <col min="16132" max="16132" width="34.08984375" style="3235" customWidth="1"/>
    <col min="16133" max="16134" width="12.36328125" style="3235" customWidth="1"/>
    <col min="16135" max="16135" width="21.6328125" style="3235" customWidth="1"/>
    <col min="16136" max="16136" width="17.08984375" style="3235" customWidth="1"/>
    <col min="16137" max="16137" width="12.36328125" style="3235" customWidth="1"/>
    <col min="16138" max="16138" width="15.453125" style="3235" customWidth="1"/>
    <col min="16139" max="16140" width="15.26953125" style="3235" customWidth="1"/>
    <col min="16141" max="16141" width="9.81640625" style="3235"/>
    <col min="16142" max="16142" width="15.7265625" style="3235" customWidth="1"/>
    <col min="16143" max="16143" width="16.26953125" style="3235" customWidth="1"/>
    <col min="16144" max="16144" width="14.6328125" style="3235" customWidth="1"/>
    <col min="16145" max="16145" width="17.6328125" style="3235" bestFit="1" customWidth="1"/>
    <col min="16146" max="16384" width="9.81640625" style="3235"/>
  </cols>
  <sheetData>
    <row r="1" spans="1:17" s="3111" customFormat="1" ht="26">
      <c r="A1" s="3195" t="s">
        <v>3713</v>
      </c>
      <c r="B1" s="3574" t="s">
        <v>3714</v>
      </c>
      <c r="C1" s="3574"/>
      <c r="D1" s="3574" t="s">
        <v>3715</v>
      </c>
      <c r="E1" s="3195" t="s">
        <v>3700</v>
      </c>
      <c r="F1" s="3195" t="s">
        <v>3716</v>
      </c>
      <c r="G1" s="3195" t="s">
        <v>3717</v>
      </c>
      <c r="H1" s="3574" t="s">
        <v>3718</v>
      </c>
      <c r="I1" s="3573" t="s">
        <v>3719</v>
      </c>
      <c r="J1" s="3573"/>
      <c r="K1" s="3573" t="s">
        <v>3720</v>
      </c>
      <c r="L1" s="3573"/>
      <c r="M1" s="3573" t="s">
        <v>3721</v>
      </c>
      <c r="N1" s="3573"/>
      <c r="O1" s="3573" t="s">
        <v>3722</v>
      </c>
      <c r="P1" s="3573"/>
      <c r="Q1" s="3230" t="s">
        <v>3723</v>
      </c>
    </row>
    <row r="2" spans="1:17" s="3111" customFormat="1">
      <c r="A2" s="3195"/>
      <c r="B2" s="3195" t="s">
        <v>3724</v>
      </c>
      <c r="C2" s="3195" t="s">
        <v>3725</v>
      </c>
      <c r="D2" s="3574"/>
      <c r="E2" s="3195" t="s">
        <v>3726</v>
      </c>
      <c r="F2" s="3195" t="s">
        <v>3726</v>
      </c>
      <c r="G2" s="3195" t="s">
        <v>3727</v>
      </c>
      <c r="H2" s="3574"/>
      <c r="I2" s="3229" t="s">
        <v>3728</v>
      </c>
      <c r="J2" s="3229" t="s">
        <v>3729</v>
      </c>
      <c r="K2" s="3229" t="s">
        <v>3728</v>
      </c>
      <c r="L2" s="3229" t="s">
        <v>3729</v>
      </c>
      <c r="M2" s="3229" t="s">
        <v>3728</v>
      </c>
      <c r="N2" s="3229" t="s">
        <v>3729</v>
      </c>
      <c r="O2" s="3229" t="s">
        <v>3728</v>
      </c>
      <c r="P2" s="3229" t="s">
        <v>3729</v>
      </c>
      <c r="Q2" s="3231" t="s">
        <v>3729</v>
      </c>
    </row>
    <row r="3" spans="1:17" ht="39">
      <c r="A3" s="3202">
        <v>1</v>
      </c>
      <c r="B3" s="3202" t="s">
        <v>3730</v>
      </c>
      <c r="C3" s="3202" t="s">
        <v>3731</v>
      </c>
      <c r="D3" s="3195" t="s">
        <v>3732</v>
      </c>
      <c r="E3" s="3232">
        <v>43782.36</v>
      </c>
      <c r="F3" s="3232">
        <f>E3</f>
        <v>43782.36</v>
      </c>
      <c r="G3" s="3202" t="s">
        <v>3733</v>
      </c>
      <c r="H3" s="3195" t="s">
        <v>3734</v>
      </c>
      <c r="I3" s="3233">
        <f>J3/(1+5%)</f>
        <v>4.6476190476190471</v>
      </c>
      <c r="J3" s="3233">
        <v>4.88</v>
      </c>
      <c r="K3" s="3233">
        <f t="shared" ref="K3:K9" si="0">L3/(1+5%)</f>
        <v>74271561.554285705</v>
      </c>
      <c r="L3" s="3233">
        <f>F3*J3*365</f>
        <v>77985139.631999999</v>
      </c>
      <c r="M3" s="3233">
        <f>30/(1+6%)</f>
        <v>28.30188679245283</v>
      </c>
      <c r="N3" s="3233" t="s">
        <v>3735</v>
      </c>
      <c r="O3" s="3233">
        <f>P3/(1+6%)</f>
        <v>14869480.754716981</v>
      </c>
      <c r="P3" s="3233">
        <f>F3*30*12</f>
        <v>15761649.600000001</v>
      </c>
      <c r="Q3" s="3234">
        <f t="shared" ref="Q3:Q9" si="1">L3+P3</f>
        <v>93746789.231999993</v>
      </c>
    </row>
    <row r="4" spans="1:17" customFormat="1" ht="26">
      <c r="A4" s="3202">
        <v>2</v>
      </c>
      <c r="B4" s="3202" t="s">
        <v>3730</v>
      </c>
      <c r="C4" s="3202" t="s">
        <v>3731</v>
      </c>
      <c r="D4" s="3195" t="s">
        <v>3736</v>
      </c>
      <c r="E4" s="3232"/>
      <c r="F4" s="3232">
        <f>E4</f>
        <v>0</v>
      </c>
      <c r="G4" s="3202" t="s">
        <v>3733</v>
      </c>
      <c r="H4" s="3195" t="s">
        <v>3737</v>
      </c>
      <c r="I4" s="3233">
        <v>0</v>
      </c>
      <c r="J4" s="3233">
        <v>0</v>
      </c>
      <c r="K4" s="3233">
        <f t="shared" si="0"/>
        <v>0</v>
      </c>
      <c r="L4" s="3233">
        <f>F4*J4*365</f>
        <v>0</v>
      </c>
      <c r="M4" s="3233">
        <f>160/(1+6%)</f>
        <v>150.94339622641508</v>
      </c>
      <c r="N4" s="3233" t="s">
        <v>3738</v>
      </c>
      <c r="O4" s="3233">
        <f>P4/(1+6%)</f>
        <v>163018.86792452828</v>
      </c>
      <c r="P4" s="3233">
        <f>90*160*12</f>
        <v>172800</v>
      </c>
      <c r="Q4" s="3234">
        <f t="shared" si="1"/>
        <v>172800</v>
      </c>
    </row>
    <row r="5" spans="1:17" customFormat="1" ht="26">
      <c r="A5" s="3202">
        <v>3</v>
      </c>
      <c r="B5" s="3202" t="s">
        <v>3730</v>
      </c>
      <c r="C5" s="3202" t="s">
        <v>3731</v>
      </c>
      <c r="D5" s="3195" t="s">
        <v>3739</v>
      </c>
      <c r="E5" s="3232"/>
      <c r="F5" s="3232">
        <f>E5</f>
        <v>0</v>
      </c>
      <c r="G5" s="3202" t="s">
        <v>3733</v>
      </c>
      <c r="H5" s="3195" t="s">
        <v>3740</v>
      </c>
      <c r="I5" s="3233">
        <f>590/(1+5%)</f>
        <v>561.90476190476193</v>
      </c>
      <c r="J5" s="3233" t="s">
        <v>3741</v>
      </c>
      <c r="K5" s="3233">
        <f t="shared" si="0"/>
        <v>1011428.5714285714</v>
      </c>
      <c r="L5" s="3233">
        <f>150*590*12</f>
        <v>1062000</v>
      </c>
      <c r="M5" s="3233">
        <f>160/(1+6%)</f>
        <v>150.94339622641508</v>
      </c>
      <c r="N5" s="3233" t="s">
        <v>3738</v>
      </c>
      <c r="O5" s="3233">
        <f>P5/(1+6%)</f>
        <v>271698.11320754717</v>
      </c>
      <c r="P5" s="3233">
        <f>150*160*12</f>
        <v>288000</v>
      </c>
      <c r="Q5" s="3234">
        <f t="shared" si="1"/>
        <v>1350000</v>
      </c>
    </row>
    <row r="6" spans="1:17" s="3237" customFormat="1" ht="26">
      <c r="A6" s="3202">
        <v>4</v>
      </c>
      <c r="B6" s="3202" t="s">
        <v>3730</v>
      </c>
      <c r="C6" s="3202" t="s">
        <v>3731</v>
      </c>
      <c r="D6" s="3195" t="s">
        <v>3742</v>
      </c>
      <c r="E6" s="3232">
        <v>225</v>
      </c>
      <c r="F6" s="3232">
        <v>225</v>
      </c>
      <c r="G6" s="3202" t="s">
        <v>3733</v>
      </c>
      <c r="H6" s="3195" t="s">
        <v>3743</v>
      </c>
      <c r="I6" s="3233">
        <f>J6/(1+5%)</f>
        <v>1.164021164021164</v>
      </c>
      <c r="J6" s="3233">
        <f>L6/F6/360</f>
        <v>1.2222222222222223</v>
      </c>
      <c r="K6" s="3233">
        <f t="shared" si="0"/>
        <v>94285.714285714275</v>
      </c>
      <c r="L6" s="3233">
        <f>24750*4</f>
        <v>99000</v>
      </c>
      <c r="M6" s="3233" t="s">
        <v>3744</v>
      </c>
      <c r="N6" s="3233">
        <v>0</v>
      </c>
      <c r="O6" s="3233">
        <v>0</v>
      </c>
      <c r="P6" s="3233">
        <v>0</v>
      </c>
      <c r="Q6" s="3236">
        <f t="shared" si="1"/>
        <v>99000</v>
      </c>
    </row>
    <row r="7" spans="1:17" ht="26">
      <c r="A7" s="3202">
        <v>5</v>
      </c>
      <c r="B7" s="3202" t="s">
        <v>3745</v>
      </c>
      <c r="C7" s="3202" t="s">
        <v>3746</v>
      </c>
      <c r="D7" s="3202" t="s">
        <v>3747</v>
      </c>
      <c r="E7" s="3232">
        <v>3130.31</v>
      </c>
      <c r="F7" s="3232">
        <v>3130.31</v>
      </c>
      <c r="G7" s="3202" t="s">
        <v>3748</v>
      </c>
      <c r="H7" s="3195" t="s">
        <v>3734</v>
      </c>
      <c r="I7" s="3233">
        <f>J7/(1+5%)</f>
        <v>3.8901842116859164</v>
      </c>
      <c r="J7" s="3233">
        <f>L7/F7/360</f>
        <v>4.0846934222702123</v>
      </c>
      <c r="K7" s="3233">
        <f t="shared" si="0"/>
        <v>4383893.7142857146</v>
      </c>
      <c r="L7" s="3233">
        <v>4603088.4000000004</v>
      </c>
      <c r="M7" s="3233">
        <f>30/(1+6%)</f>
        <v>28.30188679245283</v>
      </c>
      <c r="N7" s="3233" t="s">
        <v>3735</v>
      </c>
      <c r="O7" s="3233">
        <f>P7/(1+6%)</f>
        <v>1063124.1509433961</v>
      </c>
      <c r="P7" s="3233">
        <f>F7*30*12</f>
        <v>1126911.6000000001</v>
      </c>
      <c r="Q7" s="3234">
        <f t="shared" si="1"/>
        <v>5730000</v>
      </c>
    </row>
    <row r="8" spans="1:17" ht="26">
      <c r="A8" s="3202">
        <v>6</v>
      </c>
      <c r="B8" s="3202" t="s">
        <v>3749</v>
      </c>
      <c r="C8" s="3202" t="s">
        <v>3750</v>
      </c>
      <c r="D8" s="3202" t="s">
        <v>3751</v>
      </c>
      <c r="E8" s="3232">
        <v>840.4</v>
      </c>
      <c r="F8" s="3232">
        <v>787.3</v>
      </c>
      <c r="G8" s="3202" t="s">
        <v>3748</v>
      </c>
      <c r="H8" s="3195" t="s">
        <v>3752</v>
      </c>
      <c r="I8" s="3233">
        <f>J8/(1+5%)</f>
        <v>7.1428571428571423</v>
      </c>
      <c r="J8" s="3233">
        <v>7.5</v>
      </c>
      <c r="K8" s="3233">
        <f t="shared" si="0"/>
        <v>2052603.5714285714</v>
      </c>
      <c r="L8" s="3233">
        <f>F8*J8*365</f>
        <v>2155233.75</v>
      </c>
      <c r="M8" s="3233">
        <f>1/(1+6%)</f>
        <v>0.94339622641509424</v>
      </c>
      <c r="N8" s="3233" t="s">
        <v>3753</v>
      </c>
      <c r="O8" s="3233">
        <f>P8/(1+6%)</f>
        <v>271098.58490566036</v>
      </c>
      <c r="P8" s="3233">
        <f>F8*1*365</f>
        <v>287364.5</v>
      </c>
      <c r="Q8" s="3234">
        <f t="shared" si="1"/>
        <v>2442598.25</v>
      </c>
    </row>
    <row r="9" spans="1:17" ht="26">
      <c r="A9" s="3202">
        <v>7</v>
      </c>
      <c r="B9" s="3202" t="s">
        <v>3754</v>
      </c>
      <c r="C9" s="3202" t="s">
        <v>3755</v>
      </c>
      <c r="D9" s="3195" t="s">
        <v>3756</v>
      </c>
      <c r="E9" s="3238">
        <v>351</v>
      </c>
      <c r="F9" s="3238">
        <v>351</v>
      </c>
      <c r="G9" s="3202" t="s">
        <v>3757</v>
      </c>
      <c r="H9" s="3195" t="s">
        <v>3752</v>
      </c>
      <c r="I9" s="3233">
        <f>J9/(1+5%)</f>
        <v>4.6476190476190471</v>
      </c>
      <c r="J9" s="3233">
        <v>4.88</v>
      </c>
      <c r="K9" s="3233">
        <f t="shared" si="0"/>
        <v>595429.7142857142</v>
      </c>
      <c r="L9" s="3233">
        <f>F9*J9*365</f>
        <v>625201.19999999995</v>
      </c>
      <c r="M9" s="3233">
        <f>1/(1+6%)</f>
        <v>0.94339622641509424</v>
      </c>
      <c r="N9" s="3233" t="s">
        <v>3753</v>
      </c>
      <c r="O9" s="3233">
        <f>P9/(1+6%)</f>
        <v>120863.2075471698</v>
      </c>
      <c r="P9" s="3233">
        <f>F9*1*365</f>
        <v>128115</v>
      </c>
      <c r="Q9" s="3234">
        <f t="shared" si="1"/>
        <v>753316.2</v>
      </c>
    </row>
    <row r="10" spans="1:17">
      <c r="A10" s="3237"/>
      <c r="B10" s="3237"/>
      <c r="C10" s="3237"/>
      <c r="D10" s="3241"/>
      <c r="E10" s="3242">
        <f>E3+E6+E7+E8+E9</f>
        <v>48329.07</v>
      </c>
      <c r="F10" s="3242"/>
      <c r="G10" s="3237"/>
      <c r="H10" s="3241"/>
      <c r="I10" s="3243"/>
      <c r="J10" s="3243"/>
      <c r="K10" s="3243"/>
      <c r="L10" s="3243">
        <f>L3+L6+L7+L8+L9+L5</f>
        <v>86529662.982000008</v>
      </c>
      <c r="M10" s="3243" t="s">
        <v>3781</v>
      </c>
      <c r="N10" s="3243"/>
      <c r="O10" s="3243"/>
      <c r="P10" s="3243"/>
      <c r="Q10" s="3244"/>
    </row>
    <row r="11" spans="1:17">
      <c r="A11" s="3237"/>
      <c r="B11" s="3237"/>
      <c r="C11" s="3237"/>
      <c r="D11" s="3241"/>
      <c r="E11" s="3242"/>
      <c r="F11" s="3242"/>
      <c r="G11" s="3237"/>
      <c r="H11" s="3241"/>
      <c r="I11" s="3243"/>
      <c r="J11" s="3243"/>
      <c r="K11" s="3243" t="s">
        <v>3782</v>
      </c>
      <c r="L11" s="3243">
        <f>L10/365/'数据-汇总表'!E19</f>
        <v>4.2440383747513151</v>
      </c>
      <c r="M11" s="3243" t="s">
        <v>3781</v>
      </c>
      <c r="N11" s="3243"/>
      <c r="O11" s="3243"/>
      <c r="P11" s="3243"/>
      <c r="Q11" s="3244"/>
    </row>
    <row r="12" spans="1:17">
      <c r="A12" s="3237"/>
      <c r="B12" s="3237"/>
      <c r="C12" s="3237"/>
      <c r="D12" s="3241"/>
      <c r="E12" s="3242"/>
      <c r="F12" s="3242"/>
      <c r="G12" s="3237"/>
      <c r="H12" s="3241"/>
      <c r="I12" s="3243"/>
      <c r="J12" s="3243"/>
      <c r="K12" s="3243"/>
      <c r="L12" s="3243"/>
      <c r="M12" s="3243"/>
      <c r="N12" s="3243"/>
      <c r="O12" s="3243"/>
      <c r="P12" s="3243"/>
      <c r="Q12" s="3244"/>
    </row>
    <row r="13" spans="1:17" customFormat="1" ht="15" customHeight="1"/>
    <row r="14" spans="1:17" customFormat="1" ht="15" customHeight="1"/>
    <row r="15" spans="1:17" customFormat="1" ht="15" customHeight="1">
      <c r="E15" s="1405" t="s">
        <v>654</v>
      </c>
    </row>
    <row r="16" spans="1:17" customFormat="1" ht="15" customHeight="1">
      <c r="C16" s="1405" t="s">
        <v>3758</v>
      </c>
      <c r="D16" s="1405" t="s">
        <v>3759</v>
      </c>
      <c r="E16">
        <v>3.5</v>
      </c>
      <c r="G16" s="1405" t="s">
        <v>3760</v>
      </c>
    </row>
    <row r="17" spans="3:10" customFormat="1" ht="15" customHeight="1">
      <c r="C17" s="1405" t="s">
        <v>3761</v>
      </c>
      <c r="D17" s="1405" t="s">
        <v>3762</v>
      </c>
      <c r="E17">
        <v>4.2</v>
      </c>
      <c r="G17" s="1405" t="s">
        <v>3763</v>
      </c>
    </row>
    <row r="18" spans="3:10" customFormat="1" ht="15" customHeight="1">
      <c r="C18" s="1405" t="s">
        <v>3764</v>
      </c>
      <c r="D18">
        <v>6.5</v>
      </c>
      <c r="E18">
        <v>6.5</v>
      </c>
      <c r="G18" s="1405" t="s">
        <v>3765</v>
      </c>
    </row>
    <row r="19" spans="3:10" customFormat="1" ht="15" customHeight="1">
      <c r="C19" s="1405" t="s">
        <v>3766</v>
      </c>
      <c r="D19">
        <v>4.5</v>
      </c>
      <c r="E19">
        <v>4.5</v>
      </c>
    </row>
    <row r="20" spans="3:10" customFormat="1" ht="15" customHeight="1">
      <c r="C20" s="1405" t="s">
        <v>3767</v>
      </c>
      <c r="D20">
        <v>4.5</v>
      </c>
      <c r="E20">
        <v>4.5</v>
      </c>
      <c r="G20" s="1405" t="s">
        <v>3758</v>
      </c>
      <c r="H20" s="1405" t="s">
        <v>3383</v>
      </c>
      <c r="I20" s="1405" t="s">
        <v>3768</v>
      </c>
      <c r="J20" s="1405" t="s">
        <v>3769</v>
      </c>
    </row>
    <row r="21" spans="3:10" customFormat="1" ht="15" customHeight="1">
      <c r="C21" s="1405" t="s">
        <v>3770</v>
      </c>
      <c r="D21">
        <v>6</v>
      </c>
      <c r="E21">
        <v>6</v>
      </c>
      <c r="H21">
        <v>213.66</v>
      </c>
      <c r="I21">
        <v>20000</v>
      </c>
      <c r="J21">
        <f>I21/30/H21</f>
        <v>3.1202221598177791</v>
      </c>
    </row>
    <row r="22" spans="3:10" customFormat="1" ht="15" customHeight="1">
      <c r="C22" s="1405" t="s">
        <v>3771</v>
      </c>
      <c r="D22" s="1405" t="s">
        <v>3772</v>
      </c>
      <c r="E22">
        <v>4.7</v>
      </c>
      <c r="H22">
        <v>280</v>
      </c>
      <c r="I22">
        <v>25000</v>
      </c>
      <c r="J22">
        <f t="shared" ref="J22:J23" si="2">I22/30/H22</f>
        <v>2.9761904761904763</v>
      </c>
    </row>
    <row r="23" spans="3:10" customFormat="1" ht="15" customHeight="1">
      <c r="C23" s="1405" t="s">
        <v>3773</v>
      </c>
      <c r="D23" s="1405" t="s">
        <v>3774</v>
      </c>
      <c r="E23">
        <v>6.5</v>
      </c>
      <c r="H23">
        <v>143</v>
      </c>
      <c r="I23">
        <v>11000</v>
      </c>
      <c r="J23">
        <f t="shared" si="2"/>
        <v>2.5641025641025643</v>
      </c>
    </row>
    <row r="24" spans="3:10" customFormat="1" ht="15" customHeight="1">
      <c r="C24" s="1405" t="s">
        <v>3775</v>
      </c>
      <c r="D24" s="1405" t="s">
        <v>3776</v>
      </c>
    </row>
    <row r="25" spans="3:10" customFormat="1" ht="15" customHeight="1">
      <c r="C25" s="1405" t="s">
        <v>3777</v>
      </c>
      <c r="D25" s="1405" t="s">
        <v>3778</v>
      </c>
      <c r="E25">
        <v>3.5</v>
      </c>
    </row>
    <row r="26" spans="3:10" customFormat="1" ht="15" customHeight="1">
      <c r="C26" s="1405" t="s">
        <v>3779</v>
      </c>
      <c r="D26" s="1405" t="s">
        <v>3780</v>
      </c>
      <c r="E26">
        <v>4</v>
      </c>
    </row>
    <row r="27" spans="3:10" customFormat="1" ht="15" customHeight="1"/>
    <row r="28" spans="3:10" customFormat="1" ht="15" customHeight="1"/>
    <row r="29" spans="3:10" customFormat="1" ht="15" customHeight="1"/>
    <row r="30" spans="3:10" customFormat="1" ht="15" customHeight="1"/>
    <row r="31" spans="3:10" customFormat="1" ht="14"/>
  </sheetData>
  <mergeCells count="7">
    <mergeCell ref="O1:P1"/>
    <mergeCell ref="B1:C1"/>
    <mergeCell ref="D1:D2"/>
    <mergeCell ref="H1:H2"/>
    <mergeCell ref="I1:J1"/>
    <mergeCell ref="K1:L1"/>
    <mergeCell ref="M1:N1"/>
  </mergeCells>
  <phoneticPr fontId="134" type="noConversion"/>
  <pageMargins left="0.7" right="0.7" top="0.75" bottom="0.75" header="0.3" footer="0.3"/>
  <drawing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DE811-FFAA-4E3A-A7AD-E3170052ACE0}">
  <sheetPr>
    <tabColor rgb="FF7030A0"/>
  </sheetPr>
  <dimension ref="A1:W9"/>
  <sheetViews>
    <sheetView workbookViewId="0">
      <selection activeCell="Q3" sqref="Q3"/>
    </sheetView>
  </sheetViews>
  <sheetFormatPr defaultColWidth="15.36328125" defaultRowHeight="14"/>
  <sheetData>
    <row r="1" spans="1:23" s="1156" customFormat="1" ht="39">
      <c r="A1" s="3195" t="s">
        <v>2640</v>
      </c>
      <c r="B1" s="3195" t="s">
        <v>3589</v>
      </c>
      <c r="C1" s="3195" t="s">
        <v>3590</v>
      </c>
      <c r="D1" s="3195" t="s">
        <v>3591</v>
      </c>
      <c r="E1" s="3195" t="s">
        <v>3592</v>
      </c>
      <c r="F1" s="3195" t="s">
        <v>3593</v>
      </c>
      <c r="G1" s="3195" t="s">
        <v>3594</v>
      </c>
      <c r="H1" s="3195" t="s">
        <v>3595</v>
      </c>
      <c r="I1" s="3195" t="s">
        <v>3596</v>
      </c>
      <c r="J1" s="3196" t="s">
        <v>3597</v>
      </c>
      <c r="K1" s="3195" t="s">
        <v>3598</v>
      </c>
      <c r="L1" s="3195" t="s">
        <v>3599</v>
      </c>
      <c r="M1" s="3195" t="s">
        <v>3600</v>
      </c>
      <c r="N1" s="3195" t="s">
        <v>3601</v>
      </c>
      <c r="O1" s="3195" t="s">
        <v>3602</v>
      </c>
      <c r="P1" s="3197" t="s">
        <v>3603</v>
      </c>
      <c r="Q1" s="3195" t="s">
        <v>3604</v>
      </c>
      <c r="R1" s="3195" t="s">
        <v>3605</v>
      </c>
      <c r="S1" s="3195" t="s">
        <v>3606</v>
      </c>
      <c r="T1" s="3195" t="s">
        <v>3607</v>
      </c>
      <c r="U1" s="3195" t="s">
        <v>3608</v>
      </c>
      <c r="V1" s="3195" t="s">
        <v>3609</v>
      </c>
      <c r="W1" s="3195" t="s">
        <v>3610</v>
      </c>
    </row>
    <row r="2" spans="1:23" s="3201" customFormat="1" ht="39">
      <c r="A2" s="3195">
        <v>565</v>
      </c>
      <c r="B2" s="3195" t="s">
        <v>3611</v>
      </c>
      <c r="C2" s="3195" t="s">
        <v>3612</v>
      </c>
      <c r="D2" s="3195" t="s">
        <v>2742</v>
      </c>
      <c r="E2" s="3195" t="s">
        <v>3613</v>
      </c>
      <c r="F2" s="3195" t="s">
        <v>3614</v>
      </c>
      <c r="G2" s="3195" t="s">
        <v>3615</v>
      </c>
      <c r="H2" s="3195"/>
      <c r="I2" s="3195">
        <v>20714.13</v>
      </c>
      <c r="J2" s="3196">
        <v>20714.13</v>
      </c>
      <c r="K2" s="3195"/>
      <c r="L2" s="3195">
        <v>93213.58</v>
      </c>
      <c r="M2" s="3195">
        <v>45000</v>
      </c>
      <c r="N2" s="3198">
        <v>44999.997586188751</v>
      </c>
      <c r="O2" s="3195" t="s">
        <v>3616</v>
      </c>
      <c r="P2" s="3199">
        <v>45139</v>
      </c>
      <c r="Q2" s="3195" t="s">
        <v>3617</v>
      </c>
      <c r="R2" s="3195" t="s">
        <v>3618</v>
      </c>
      <c r="S2" s="3195"/>
      <c r="T2" s="3198">
        <v>0</v>
      </c>
      <c r="U2" s="3195"/>
      <c r="V2" s="3200" t="e">
        <v>#DIV/0!</v>
      </c>
      <c r="W2" s="3195" t="s">
        <v>3619</v>
      </c>
    </row>
    <row r="3" spans="1:23" ht="156">
      <c r="A3" s="3195">
        <v>566</v>
      </c>
      <c r="B3" s="3195" t="s">
        <v>3620</v>
      </c>
      <c r="C3" s="3195" t="s">
        <v>3621</v>
      </c>
      <c r="D3" s="3202" t="s">
        <v>2730</v>
      </c>
      <c r="E3" s="3202" t="s">
        <v>3622</v>
      </c>
      <c r="F3" s="3202" t="s">
        <v>3623</v>
      </c>
      <c r="G3" s="3195" t="s">
        <v>3624</v>
      </c>
      <c r="H3" s="3202"/>
      <c r="I3" s="3202">
        <v>8905</v>
      </c>
      <c r="J3" s="3203">
        <v>8905</v>
      </c>
      <c r="K3" s="3202"/>
      <c r="L3" s="3202">
        <v>33839</v>
      </c>
      <c r="M3" s="3195">
        <v>38000</v>
      </c>
      <c r="N3" s="3204">
        <v>38000</v>
      </c>
      <c r="O3" s="3202" t="s">
        <v>3625</v>
      </c>
      <c r="P3" s="3205">
        <v>45041</v>
      </c>
      <c r="Q3" s="3195" t="s">
        <v>3626</v>
      </c>
      <c r="R3" s="3202" t="s">
        <v>3627</v>
      </c>
      <c r="S3" s="3202"/>
      <c r="T3" s="3204">
        <v>0</v>
      </c>
      <c r="U3" s="3202"/>
      <c r="V3" s="3206" t="e">
        <v>#DIV/0!</v>
      </c>
      <c r="W3" s="3202" t="s">
        <v>3628</v>
      </c>
    </row>
    <row r="4" spans="1:23" s="1156" customFormat="1" ht="39" hidden="1">
      <c r="A4" s="3195">
        <v>508</v>
      </c>
      <c r="B4" s="3202" t="s">
        <v>3629</v>
      </c>
      <c r="C4" s="3195" t="s">
        <v>3630</v>
      </c>
      <c r="D4" s="3202" t="s">
        <v>2730</v>
      </c>
      <c r="E4" s="3202" t="s">
        <v>3631</v>
      </c>
      <c r="F4" s="3202" t="s">
        <v>0</v>
      </c>
      <c r="G4" s="3195" t="s">
        <v>3632</v>
      </c>
      <c r="H4" s="3202"/>
      <c r="I4" s="3202">
        <v>470.01</v>
      </c>
      <c r="J4" s="3203">
        <v>352.50749999999999</v>
      </c>
      <c r="K4" s="3203">
        <v>117.5025</v>
      </c>
      <c r="L4" s="3202">
        <v>1921</v>
      </c>
      <c r="M4" s="3207">
        <v>40871</v>
      </c>
      <c r="N4" s="3208">
        <v>54495.294426359724</v>
      </c>
      <c r="O4" s="3202" t="s">
        <v>3633</v>
      </c>
      <c r="P4" s="3209">
        <v>44930</v>
      </c>
      <c r="Q4" s="3202" t="s">
        <v>3634</v>
      </c>
      <c r="R4" s="3202" t="s">
        <v>3635</v>
      </c>
      <c r="S4" s="3202">
        <v>1500</v>
      </c>
      <c r="T4" s="3204">
        <v>42552.28612157188</v>
      </c>
      <c r="U4" s="3202"/>
      <c r="V4" s="3210">
        <v>1.2806666666666666</v>
      </c>
      <c r="W4" s="3202" t="s">
        <v>3636</v>
      </c>
    </row>
    <row r="5" spans="1:23" ht="26" hidden="1">
      <c r="B5" s="3211" t="s">
        <v>3637</v>
      </c>
      <c r="I5">
        <v>21684.06</v>
      </c>
      <c r="L5">
        <v>73725.8</v>
      </c>
      <c r="M5" s="3211">
        <v>34000</v>
      </c>
      <c r="P5" s="3176">
        <v>45632</v>
      </c>
    </row>
    <row r="7" spans="1:23" s="1156" customFormat="1">
      <c r="A7" s="1156" t="s">
        <v>3638</v>
      </c>
      <c r="B7" s="1156" t="s">
        <v>3639</v>
      </c>
      <c r="C7" s="1156" t="s">
        <v>3640</v>
      </c>
      <c r="D7" s="1156" t="s">
        <v>3641</v>
      </c>
      <c r="E7" s="1156" t="s">
        <v>3642</v>
      </c>
      <c r="F7" s="1156" t="s">
        <v>3643</v>
      </c>
      <c r="G7" s="1156" t="s">
        <v>3644</v>
      </c>
      <c r="H7" s="1156" t="s">
        <v>3645</v>
      </c>
      <c r="I7" s="1156" t="s">
        <v>3646</v>
      </c>
      <c r="J7" s="1156" t="s">
        <v>3647</v>
      </c>
      <c r="K7" s="1156" t="s">
        <v>3648</v>
      </c>
      <c r="L7" s="1156" t="s">
        <v>3649</v>
      </c>
      <c r="M7" s="1156" t="s">
        <v>3650</v>
      </c>
      <c r="N7" s="1156" t="s">
        <v>3651</v>
      </c>
      <c r="O7" s="1156" t="s">
        <v>3652</v>
      </c>
      <c r="P7" s="1156" t="s">
        <v>3653</v>
      </c>
    </row>
    <row r="8" spans="1:23" s="3201" customFormat="1" ht="28">
      <c r="A8" s="3201" t="s">
        <v>3654</v>
      </c>
      <c r="B8" s="3201" t="s">
        <v>3655</v>
      </c>
      <c r="C8" s="3201" t="s">
        <v>3656</v>
      </c>
      <c r="D8" s="3201" t="s">
        <v>3657</v>
      </c>
      <c r="E8" s="3201" t="s">
        <v>3658</v>
      </c>
      <c r="F8" s="3201" t="s">
        <v>3659</v>
      </c>
      <c r="G8" s="3201" t="s">
        <v>3659</v>
      </c>
      <c r="H8" s="3201" t="s">
        <v>3660</v>
      </c>
      <c r="I8" s="3201" t="s">
        <v>3661</v>
      </c>
      <c r="J8" s="3201" t="s">
        <v>3662</v>
      </c>
      <c r="K8" s="3201" t="s">
        <v>3663</v>
      </c>
      <c r="L8" s="3201" t="s">
        <v>3664</v>
      </c>
      <c r="M8" s="3201" t="s">
        <v>3665</v>
      </c>
      <c r="N8" s="3212" t="s">
        <v>3666</v>
      </c>
      <c r="O8" s="3201" t="s">
        <v>3667</v>
      </c>
      <c r="P8" s="3201" t="s">
        <v>3668</v>
      </c>
    </row>
    <row r="9" spans="1:23">
      <c r="M9">
        <v>45388</v>
      </c>
    </row>
  </sheetData>
  <phoneticPr fontId="134" type="noConversion"/>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96DCE-9EC7-4684-92D5-BC46F506FD13}">
  <sheetPr>
    <tabColor rgb="FF7030A0"/>
  </sheetPr>
  <dimension ref="A1"/>
  <sheetViews>
    <sheetView topLeftCell="A34" workbookViewId="0">
      <selection activeCell="T23" sqref="T23"/>
    </sheetView>
  </sheetViews>
  <sheetFormatPr defaultRowHeight="14"/>
  <sheetData/>
  <phoneticPr fontId="13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07C5C-F7C2-4CF8-884A-5461D9C7A5EF}">
  <sheetPr>
    <tabColor rgb="FF7030A0"/>
  </sheetPr>
  <dimension ref="A1:D12"/>
  <sheetViews>
    <sheetView workbookViewId="0">
      <selection activeCell="H17" sqref="H17"/>
    </sheetView>
  </sheetViews>
  <sheetFormatPr defaultRowHeight="14"/>
  <cols>
    <col min="2" max="2" width="16.453125" customWidth="1"/>
  </cols>
  <sheetData>
    <row r="1" spans="1:4">
      <c r="A1" s="1379" t="s">
        <v>3699</v>
      </c>
      <c r="B1" s="3222"/>
      <c r="C1" s="3222"/>
      <c r="D1" s="3222"/>
    </row>
    <row r="2" spans="1:4">
      <c r="A2" s="3223"/>
      <c r="B2" s="3224" t="s">
        <v>3700</v>
      </c>
      <c r="C2" s="3224" t="s">
        <v>3701</v>
      </c>
      <c r="D2" s="3224" t="s">
        <v>3702</v>
      </c>
    </row>
    <row r="3" spans="1:4">
      <c r="A3" s="3225" t="s">
        <v>3703</v>
      </c>
      <c r="B3" s="3226">
        <f>'[2]数据-取费表'!K16</f>
        <v>55858.959999999977</v>
      </c>
      <c r="C3" s="3227">
        <f>ROUND(D3*10000/B3,0)</f>
        <v>5325</v>
      </c>
      <c r="D3" s="3227">
        <f>D4+D7+D8+D9</f>
        <v>29747</v>
      </c>
    </row>
    <row r="4" spans="1:4">
      <c r="A4" s="3225" t="s">
        <v>3704</v>
      </c>
      <c r="B4" s="3227">
        <f>B5+B6</f>
        <v>55858.959999999977</v>
      </c>
      <c r="C4" s="3227">
        <f>ROUND(D4*10000/B4,0)</f>
        <v>2025</v>
      </c>
      <c r="D4" s="3227">
        <f>SUM(D5:D6)</f>
        <v>11313</v>
      </c>
    </row>
    <row r="5" spans="1:4">
      <c r="A5" s="3224" t="s">
        <v>3542</v>
      </c>
      <c r="B5" s="3223">
        <f>[2]信息!O18</f>
        <v>47667.369999999981</v>
      </c>
      <c r="C5" s="3223">
        <v>1600</v>
      </c>
      <c r="D5" s="3223">
        <f>ROUND(C5*B5/10000,0)</f>
        <v>7627</v>
      </c>
    </row>
    <row r="6" spans="1:4">
      <c r="A6" s="3224" t="s">
        <v>3543</v>
      </c>
      <c r="B6" s="3223">
        <f>[2]信息!O17</f>
        <v>8191.59</v>
      </c>
      <c r="C6" s="3223">
        <v>4500</v>
      </c>
      <c r="D6" s="3223">
        <f>ROUND(C6*B6/10000,0)</f>
        <v>3686</v>
      </c>
    </row>
    <row r="7" spans="1:4">
      <c r="A7" s="3225" t="s">
        <v>3705</v>
      </c>
      <c r="B7" s="3227">
        <f>B4</f>
        <v>55858.959999999977</v>
      </c>
      <c r="C7" s="3227">
        <v>1000</v>
      </c>
      <c r="D7" s="3223">
        <f>ROUND(C7*B7/10000,0)</f>
        <v>5586</v>
      </c>
    </row>
    <row r="8" spans="1:4">
      <c r="A8" s="3225"/>
      <c r="B8" s="3227"/>
      <c r="C8" s="3227"/>
      <c r="D8" s="3223"/>
    </row>
    <row r="9" spans="1:4">
      <c r="A9" s="3225" t="s">
        <v>3706</v>
      </c>
      <c r="B9" s="3227">
        <f>B4</f>
        <v>55858.959999999977</v>
      </c>
      <c r="C9" s="3227">
        <v>2300</v>
      </c>
      <c r="D9" s="3223">
        <f>ROUND(C9*B9/10000,0)</f>
        <v>12848</v>
      </c>
    </row>
    <row r="10" spans="1:4">
      <c r="A10" s="3225" t="s">
        <v>3707</v>
      </c>
      <c r="B10" s="3227">
        <f>B6/3</f>
        <v>2730.53</v>
      </c>
      <c r="C10" s="3227">
        <f>C3</f>
        <v>5325</v>
      </c>
      <c r="D10" s="3223">
        <f>ROUND(C10*B10/10000,0)</f>
        <v>1454</v>
      </c>
    </row>
    <row r="11" spans="1:4">
      <c r="A11" s="3225"/>
      <c r="B11" s="3228"/>
      <c r="C11" s="3223"/>
      <c r="D11" s="3223"/>
    </row>
    <row r="12" spans="1:4">
      <c r="A12" s="3224" t="s">
        <v>3708</v>
      </c>
      <c r="B12" s="3223">
        <f>B4</f>
        <v>55858.959999999977</v>
      </c>
      <c r="C12" s="3227">
        <f>ROUND(D12*10000/B12,0)</f>
        <v>5586</v>
      </c>
      <c r="D12" s="3223">
        <f>SUM(D3+D10)</f>
        <v>31201</v>
      </c>
    </row>
  </sheetData>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H7" sqref="H7:H15"/>
    </sheetView>
  </sheetViews>
  <sheetFormatPr defaultRowHeight="14"/>
  <cols>
    <col min="1" max="1" width="13.90625" customWidth="1"/>
    <col min="11" max="17" width="0" hidden="1" customWidth="1"/>
    <col min="25" max="30" width="0" hidden="1" customWidth="1"/>
  </cols>
  <sheetData>
    <row r="1" spans="1:44">
      <c r="A1" s="2935">
        <f>基准地价修正!G23</f>
        <v>45901</v>
      </c>
      <c r="B1" s="2927" t="s">
        <v>3372</v>
      </c>
      <c r="C1" s="2928"/>
      <c r="D1" s="2928"/>
      <c r="E1" s="2928"/>
      <c r="F1" s="2928"/>
      <c r="G1" s="2928"/>
      <c r="H1" s="2928"/>
      <c r="I1" s="2928"/>
      <c r="J1" s="2894"/>
      <c r="K1" s="2928" t="s">
        <v>454</v>
      </c>
      <c r="L1" s="2928"/>
      <c r="M1" s="2928"/>
      <c r="N1" s="2928"/>
      <c r="O1" s="2928"/>
      <c r="P1" s="2928"/>
      <c r="Q1" s="2894"/>
      <c r="R1" s="3575" t="s">
        <v>456</v>
      </c>
      <c r="S1" s="3576"/>
      <c r="T1" s="3576"/>
      <c r="U1" s="3576"/>
      <c r="V1" s="3576"/>
      <c r="W1" s="3576"/>
      <c r="X1" s="2894"/>
      <c r="Y1" s="3575" t="s">
        <v>457</v>
      </c>
      <c r="Z1" s="3576"/>
      <c r="AA1" s="3576"/>
      <c r="AB1" s="3576"/>
      <c r="AC1" s="3576"/>
      <c r="AD1" s="3576"/>
    </row>
    <row r="2" spans="1:44" s="2010" customFormat="1" ht="14.5" thickBot="1">
      <c r="B2" s="2879"/>
      <c r="C2" s="2880"/>
      <c r="D2" s="2011" t="s">
        <v>2806</v>
      </c>
      <c r="E2" s="2012" t="s">
        <v>2807</v>
      </c>
      <c r="F2" s="2012" t="s">
        <v>2808</v>
      </c>
      <c r="G2" s="2012" t="s">
        <v>2809</v>
      </c>
      <c r="H2" s="2012" t="s">
        <v>2810</v>
      </c>
      <c r="I2" s="2012" t="s">
        <v>2627</v>
      </c>
      <c r="J2" s="2881"/>
      <c r="K2" s="2011" t="s">
        <v>2806</v>
      </c>
      <c r="L2" s="2012" t="s">
        <v>2807</v>
      </c>
      <c r="M2" s="2012" t="s">
        <v>2808</v>
      </c>
      <c r="N2" s="2012" t="s">
        <v>2809</v>
      </c>
      <c r="O2" s="2012" t="s">
        <v>2811</v>
      </c>
      <c r="P2" s="2012" t="s">
        <v>2627</v>
      </c>
      <c r="Q2" s="2881"/>
      <c r="R2" s="2011" t="s">
        <v>2806</v>
      </c>
      <c r="S2" s="2012" t="s">
        <v>2807</v>
      </c>
      <c r="T2" s="2012" t="s">
        <v>2808</v>
      </c>
      <c r="U2" s="2012" t="s">
        <v>2812</v>
      </c>
      <c r="V2" s="2012" t="s">
        <v>2813</v>
      </c>
      <c r="W2" s="2012" t="s">
        <v>2627</v>
      </c>
      <c r="X2" s="2881"/>
      <c r="Y2" s="2011" t="s">
        <v>2806</v>
      </c>
      <c r="Z2" s="2012" t="s">
        <v>2807</v>
      </c>
      <c r="AA2" s="2012" t="s">
        <v>2808</v>
      </c>
      <c r="AB2" s="2012" t="s">
        <v>2814</v>
      </c>
      <c r="AC2" s="2012" t="s">
        <v>2813</v>
      </c>
      <c r="AD2" s="2012" t="s">
        <v>2627</v>
      </c>
      <c r="AF2" t="s">
        <v>3399</v>
      </c>
      <c r="AG2" t="s">
        <v>673</v>
      </c>
      <c r="AH2" t="s">
        <v>21</v>
      </c>
      <c r="AI2" t="s">
        <v>3400</v>
      </c>
      <c r="AJ2" t="s">
        <v>3</v>
      </c>
      <c r="AK2" t="s">
        <v>3401</v>
      </c>
      <c r="AM2" t="s">
        <v>3399</v>
      </c>
      <c r="AN2" t="s">
        <v>673</v>
      </c>
      <c r="AO2" t="s">
        <v>21</v>
      </c>
      <c r="AP2" t="s">
        <v>3400</v>
      </c>
      <c r="AQ2" t="s">
        <v>3</v>
      </c>
      <c r="AR2" t="s">
        <v>3401</v>
      </c>
    </row>
    <row r="3" spans="1:44" s="2884" customFormat="1" ht="13">
      <c r="A3" s="2882" t="s">
        <v>2815</v>
      </c>
      <c r="B3" s="2883"/>
      <c r="D3" s="2884">
        <f>ROUND(AVERAGEIF(D4:D24,"&lt;&gt;0"),2)</f>
        <v>0.37</v>
      </c>
      <c r="E3" s="2884">
        <f t="shared" ref="E3:H3" si="0">ROUND(AVERAGEIF(E4:E24,"&lt;&gt;0"),2)</f>
        <v>0.16</v>
      </c>
      <c r="F3" s="2884">
        <f t="shared" si="0"/>
        <v>-0.12</v>
      </c>
      <c r="G3" s="2884">
        <f t="shared" si="0"/>
        <v>0.44</v>
      </c>
      <c r="H3" s="2884">
        <f t="shared" si="0"/>
        <v>0.5</v>
      </c>
      <c r="I3" s="2884">
        <f>F3</f>
        <v>-0.12</v>
      </c>
      <c r="J3" s="2885"/>
      <c r="K3" s="2886">
        <f>ROUND(AVERAGEIF(K4:K24,"&lt;&gt;0"),4)</f>
        <v>3.7000000000000002E-3</v>
      </c>
      <c r="L3" s="2887">
        <f t="shared" ref="L3:O3" si="1">ROUND(AVERAGEIF(L4:L24,"&lt;&gt;0"),4)</f>
        <v>1.6000000000000001E-3</v>
      </c>
      <c r="M3" s="2887">
        <f t="shared" si="1"/>
        <v>-1.1999999999999999E-3</v>
      </c>
      <c r="N3" s="2887">
        <f t="shared" si="1"/>
        <v>4.4000000000000003E-3</v>
      </c>
      <c r="O3" s="2887">
        <f t="shared" si="1"/>
        <v>5.0000000000000001E-3</v>
      </c>
      <c r="P3" s="2887">
        <f>M3</f>
        <v>-1.1999999999999999E-3</v>
      </c>
      <c r="Q3" s="2885"/>
      <c r="R3" s="2888">
        <f>ROUND(SUMPRODUCT(PRODUCT(1+K4:K24)),4)</f>
        <v>1.0680000000000001</v>
      </c>
      <c r="S3" s="2889">
        <f t="shared" ref="S3:V3" si="2">ROUND(SUMPRODUCT(PRODUCT(1+L4:L24)),4)</f>
        <v>1.0290999999999999</v>
      </c>
      <c r="T3" s="2889">
        <f t="shared" si="2"/>
        <v>0.97850000000000004</v>
      </c>
      <c r="U3" s="2889">
        <f t="shared" si="2"/>
        <v>1.0807</v>
      </c>
      <c r="V3" s="2889">
        <f t="shared" si="2"/>
        <v>1.093</v>
      </c>
      <c r="W3" s="2888">
        <f>T3</f>
        <v>0.97850000000000004</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9" customFormat="1" ht="13">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44" s="2045" customFormat="1">
      <c r="A5" s="2040" t="s">
        <v>3398</v>
      </c>
      <c r="B5" s="2031">
        <v>2025</v>
      </c>
      <c r="C5" s="2042">
        <v>4</v>
      </c>
      <c r="D5" s="2007">
        <v>0</v>
      </c>
      <c r="E5" s="2007">
        <v>0</v>
      </c>
      <c r="F5" s="2007">
        <v>0</v>
      </c>
      <c r="G5" s="2007">
        <v>0</v>
      </c>
      <c r="H5" s="2007">
        <v>0</v>
      </c>
      <c r="I5" s="2008">
        <f t="shared" ref="I5" si="4">F5</f>
        <v>0</v>
      </c>
      <c r="J5" s="2904"/>
      <c r="K5" s="2043">
        <f t="shared" ref="K5" si="5">D5/100</f>
        <v>0</v>
      </c>
      <c r="L5" s="2028">
        <f t="shared" ref="L5" si="6">E5/100</f>
        <v>0</v>
      </c>
      <c r="M5" s="2028">
        <f t="shared" ref="M5" si="7">F5/100</f>
        <v>0</v>
      </c>
      <c r="N5" s="2028">
        <f t="shared" ref="N5" si="8">G5/100</f>
        <v>0</v>
      </c>
      <c r="O5" s="2028">
        <f t="shared" ref="O5" si="9">H5/100</f>
        <v>0</v>
      </c>
      <c r="P5" s="2028">
        <f t="shared" ref="P5:P11" si="10">M5</f>
        <v>0</v>
      </c>
      <c r="Q5" s="2904"/>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4"/>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1">
        <f>$AF$24*R5</f>
        <v>105.77000000000001</v>
      </c>
      <c r="AG5" s="3151">
        <f t="shared" ref="AG5:AK5" si="18">$AF$24*S5</f>
        <v>102.75000000000001</v>
      </c>
      <c r="AH5" s="3151">
        <f t="shared" si="18"/>
        <v>98.09</v>
      </c>
      <c r="AI5" s="3151">
        <f t="shared" si="18"/>
        <v>106.89</v>
      </c>
      <c r="AJ5" s="3151">
        <f t="shared" si="18"/>
        <v>108.91</v>
      </c>
      <c r="AK5" s="3151">
        <f t="shared" si="18"/>
        <v>98.09</v>
      </c>
      <c r="AM5" s="3157">
        <v>100</v>
      </c>
      <c r="AN5" s="3157">
        <v>100</v>
      </c>
      <c r="AO5" s="3157">
        <v>100</v>
      </c>
      <c r="AP5" s="3157">
        <v>100</v>
      </c>
      <c r="AQ5" s="3157">
        <v>100</v>
      </c>
      <c r="AR5" s="3157">
        <v>100</v>
      </c>
    </row>
    <row r="6" spans="1:44" s="2045" customFormat="1" ht="13">
      <c r="A6" s="2040" t="s">
        <v>3397</v>
      </c>
      <c r="B6" s="2031">
        <v>2025</v>
      </c>
      <c r="C6" s="2042">
        <v>3</v>
      </c>
      <c r="D6" s="2007">
        <v>0</v>
      </c>
      <c r="E6" s="2007">
        <v>0</v>
      </c>
      <c r="F6" s="2007">
        <v>0</v>
      </c>
      <c r="G6" s="2007">
        <v>0</v>
      </c>
      <c r="H6" s="2007">
        <v>0</v>
      </c>
      <c r="I6" s="2008">
        <f t="shared" ref="I6" si="19">F6</f>
        <v>0</v>
      </c>
      <c r="J6" s="2904"/>
      <c r="K6" s="2043">
        <f t="shared" ref="K6" si="20">D6/100</f>
        <v>0</v>
      </c>
      <c r="L6" s="2028">
        <f t="shared" ref="L6" si="21">E6/100</f>
        <v>0</v>
      </c>
      <c r="M6" s="2028">
        <f t="shared" ref="M6" si="22">F6/100</f>
        <v>0</v>
      </c>
      <c r="N6" s="2028">
        <f t="shared" ref="N6" si="23">G6/100</f>
        <v>0</v>
      </c>
      <c r="O6" s="2028">
        <f t="shared" ref="O6" si="24">H6/100</f>
        <v>0</v>
      </c>
      <c r="P6" s="2028">
        <f t="shared" si="10"/>
        <v>0</v>
      </c>
      <c r="Q6" s="2904"/>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4"/>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1">
        <f t="shared" ref="AF6:AF23" si="30">$AF$24*R6</f>
        <v>105.77000000000001</v>
      </c>
      <c r="AG6" s="3151">
        <f t="shared" ref="AG6:AG23" si="31">$AF$24*S6</f>
        <v>102.75000000000001</v>
      </c>
      <c r="AH6" s="3151">
        <f t="shared" ref="AH6:AH23" si="32">$AF$24*T6</f>
        <v>98.09</v>
      </c>
      <c r="AI6" s="3151">
        <f t="shared" ref="AI6:AI23" si="33">$AF$24*U6</f>
        <v>106.89</v>
      </c>
      <c r="AJ6" s="3151">
        <f t="shared" ref="AJ6:AJ23" si="34">$AF$24*V6</f>
        <v>108.91</v>
      </c>
      <c r="AK6" s="3151">
        <f t="shared" ref="AK6:AK23" si="35">$AF$24*W6</f>
        <v>98.09</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3">
      <c r="A7" s="2905" t="s">
        <v>3396</v>
      </c>
      <c r="B7" s="2906">
        <v>2025</v>
      </c>
      <c r="C7" s="2907">
        <v>2</v>
      </c>
      <c r="D7" s="2908">
        <v>0.05</v>
      </c>
      <c r="E7" s="2908">
        <v>-0.62</v>
      </c>
      <c r="F7" s="2908">
        <v>-1.05</v>
      </c>
      <c r="G7" s="2908">
        <v>0.09</v>
      </c>
      <c r="H7" s="2909">
        <v>0.17</v>
      </c>
      <c r="I7" s="2910">
        <f t="shared" ref="I7" si="37">F7</f>
        <v>-1.05</v>
      </c>
      <c r="J7" s="2911"/>
      <c r="K7" s="2912">
        <f t="shared" ref="K7" si="38">D7/100</f>
        <v>5.0000000000000001E-4</v>
      </c>
      <c r="L7" s="2913">
        <f t="shared" ref="L7" si="39">E7/100</f>
        <v>-6.1999999999999998E-3</v>
      </c>
      <c r="M7" s="2913">
        <f t="shared" ref="M7" si="40">F7/100</f>
        <v>-1.0500000000000001E-2</v>
      </c>
      <c r="N7" s="2913">
        <f t="shared" ref="N7" si="41">G7/100</f>
        <v>8.9999999999999998E-4</v>
      </c>
      <c r="O7" s="2913">
        <f t="shared" ref="O7" si="42">H7/100</f>
        <v>1.7000000000000001E-3</v>
      </c>
      <c r="P7" s="2913">
        <f t="shared" si="10"/>
        <v>-1.0500000000000001E-2</v>
      </c>
      <c r="Q7" s="2911"/>
      <c r="R7" s="2911">
        <f>ROUND(IF(项目基本情况!$B$8="出让",SUMPRODUCT(PRODUCT(1+K7:$K$24)),SUMPRODUCT(PRODUCT(1+K7:$K$23))),4)</f>
        <v>1.0577000000000001</v>
      </c>
      <c r="S7" s="2911">
        <f>ROUND(IF(项目基本情况!$B$8="出让",SUMPRODUCT(PRODUCT(1+L7:$L$24)),SUMPRODUCT(PRODUCT(1+L7:$L$23))),4)</f>
        <v>1.0275000000000001</v>
      </c>
      <c r="T7" s="2911">
        <f>ROUND(IF(项目基本情况!$B$8="出让",SUMPRODUCT(PRODUCT(1+M7:$M$24)),SUMPRODUCT(PRODUCT(1+M7:$M$23))),4)</f>
        <v>0.98089999999999999</v>
      </c>
      <c r="U7" s="2911">
        <f>ROUND(IF(项目基本情况!$B$8="出让",SUMPRODUCT(PRODUCT(1+N7:$N$24)),SUMPRODUCT(PRODUCT(1+N7:$N$23))),4)</f>
        <v>1.0689</v>
      </c>
      <c r="V7" s="2911">
        <f>ROUND(IF(项目基本情况!$B$8="出让",SUMPRODUCT(PRODUCT(1+O7:$O$24)),SUMPRODUCT(PRODUCT(1+O7:$O$23))),4)</f>
        <v>1.0891</v>
      </c>
      <c r="W7" s="2911">
        <f t="shared" si="11"/>
        <v>0.98089999999999999</v>
      </c>
      <c r="X7" s="2911"/>
      <c r="Y7" s="2913">
        <f t="shared" si="12"/>
        <v>2.3E-3</v>
      </c>
      <c r="Z7" s="2913">
        <f t="shared" ref="Z7" si="43">IF(E7=0,0,ROUND(AVERAGE(E7:E20)/100,4))</f>
        <v>1E-3</v>
      </c>
      <c r="AA7" s="2913">
        <f t="shared" ref="AA7" si="44">IF(F7=0,0,ROUND(AVERAGE(F7:F20)/100,4))</f>
        <v>-1.9E-3</v>
      </c>
      <c r="AB7" s="2913">
        <f t="shared" ref="AB7" si="45">IF(G7=0,0,ROUND(AVERAGE(G7:G20)/100,4))</f>
        <v>2.8999999999999998E-3</v>
      </c>
      <c r="AC7" s="2913">
        <f t="shared" ref="AC7" si="46">IF(H7=0,0,ROUND(AVERAGE(H7:H20)/100,4))</f>
        <v>4.7000000000000002E-3</v>
      </c>
      <c r="AD7" s="2913">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5" customFormat="1" ht="13">
      <c r="A8" s="2040" t="s">
        <v>3404</v>
      </c>
      <c r="B8" s="2031">
        <v>2025</v>
      </c>
      <c r="C8" s="2042">
        <v>1</v>
      </c>
      <c r="D8" s="2007">
        <v>0.56999999999999995</v>
      </c>
      <c r="E8" s="2007">
        <v>-0.56999999999999995</v>
      </c>
      <c r="F8" s="2007">
        <v>-0.9</v>
      </c>
      <c r="G8" s="2007">
        <v>1.1200000000000001</v>
      </c>
      <c r="H8" s="2007">
        <v>0.42</v>
      </c>
      <c r="I8" s="2008">
        <f t="shared" ref="I8" si="54">F8</f>
        <v>-0.9</v>
      </c>
      <c r="J8" s="2904"/>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4"/>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4"/>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99.950024987506254</v>
      </c>
      <c r="AN8" s="3151">
        <f t="shared" si="49"/>
        <v>100.6238679814852</v>
      </c>
      <c r="AO8" s="3151">
        <f t="shared" si="50"/>
        <v>101.06114199090449</v>
      </c>
      <c r="AP8" s="3151">
        <f t="shared" si="51"/>
        <v>99.910080927165566</v>
      </c>
      <c r="AQ8" s="3151">
        <f t="shared" si="52"/>
        <v>99.830288509533787</v>
      </c>
      <c r="AR8" s="3151">
        <f t="shared" si="53"/>
        <v>101.06114199090449</v>
      </c>
    </row>
    <row r="9" spans="1:44" s="2045" customFormat="1" ht="13">
      <c r="A9" s="2040" t="s">
        <v>3403</v>
      </c>
      <c r="B9" s="2031">
        <v>2024</v>
      </c>
      <c r="C9" s="2042">
        <v>4</v>
      </c>
      <c r="D9" s="2007">
        <v>-1.02</v>
      </c>
      <c r="E9" s="2007">
        <v>-0.48</v>
      </c>
      <c r="F9" s="2007">
        <v>-0.75</v>
      </c>
      <c r="G9" s="2007">
        <v>-1.05</v>
      </c>
      <c r="H9" s="2007">
        <v>0.08</v>
      </c>
      <c r="I9" s="2008">
        <f t="shared" ref="I9" si="65">F9</f>
        <v>-0.75</v>
      </c>
      <c r="J9" s="2904"/>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4"/>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4"/>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99.383538816253605</v>
      </c>
      <c r="AN9" s="3151">
        <f t="shared" si="49"/>
        <v>101.20071204011386</v>
      </c>
      <c r="AO9" s="3151">
        <f t="shared" si="50"/>
        <v>101.97895256398031</v>
      </c>
      <c r="AP9" s="3151">
        <f t="shared" si="51"/>
        <v>98.80348192955455</v>
      </c>
      <c r="AQ9" s="3151">
        <f t="shared" si="52"/>
        <v>99.412754938790869</v>
      </c>
      <c r="AR9" s="3151">
        <f t="shared" si="53"/>
        <v>101.97895256398031</v>
      </c>
    </row>
    <row r="10" spans="1:44" s="2045" customFormat="1" ht="13">
      <c r="A10" s="2040" t="s">
        <v>3376</v>
      </c>
      <c r="B10" s="2031">
        <v>2024</v>
      </c>
      <c r="C10" s="2042">
        <v>3</v>
      </c>
      <c r="D10" s="2007">
        <v>-1.19</v>
      </c>
      <c r="E10" s="2007">
        <v>-0.47</v>
      </c>
      <c r="F10" s="2007">
        <v>-0.28999999999999998</v>
      </c>
      <c r="G10" s="2007">
        <v>-0.74</v>
      </c>
      <c r="H10" s="2007">
        <v>-0.21</v>
      </c>
      <c r="I10" s="2008">
        <f t="shared" ref="I10" si="76">F10</f>
        <v>-0.28999999999999998</v>
      </c>
      <c r="J10" s="2904"/>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4"/>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4"/>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100.40769732900949</v>
      </c>
      <c r="AN10" s="3151">
        <f t="shared" si="49"/>
        <v>101.68881836828162</v>
      </c>
      <c r="AO10" s="3151">
        <f t="shared" si="50"/>
        <v>102.74957437176857</v>
      </c>
      <c r="AP10" s="3151">
        <f t="shared" si="51"/>
        <v>99.851927164784783</v>
      </c>
      <c r="AQ10" s="3151">
        <f t="shared" si="52"/>
        <v>99.333288308144361</v>
      </c>
      <c r="AR10" s="3151">
        <f t="shared" si="53"/>
        <v>102.74957437176857</v>
      </c>
    </row>
    <row r="11" spans="1:44" s="2045" customFormat="1" ht="13">
      <c r="A11" s="2903" t="s">
        <v>3370</v>
      </c>
      <c r="B11" s="2031">
        <v>2024</v>
      </c>
      <c r="C11" s="2042">
        <v>2</v>
      </c>
      <c r="D11" s="2007">
        <v>-0.59</v>
      </c>
      <c r="E11" s="2007">
        <v>-0.21</v>
      </c>
      <c r="F11" s="2007">
        <v>-1.38</v>
      </c>
      <c r="G11" s="2007">
        <v>-1.24</v>
      </c>
      <c r="H11" s="2915">
        <v>0.34</v>
      </c>
      <c r="I11" s="2008">
        <f t="shared" ref="I11:I24" si="87">F11</f>
        <v>-1.38</v>
      </c>
      <c r="J11" s="2904"/>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4"/>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4"/>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101.61693890194262</v>
      </c>
      <c r="AN11" s="3151">
        <f t="shared" si="49"/>
        <v>102.16901272810371</v>
      </c>
      <c r="AO11" s="3151">
        <f t="shared" si="50"/>
        <v>103.04841477461495</v>
      </c>
      <c r="AP11" s="3151">
        <f t="shared" si="51"/>
        <v>100.59634008138704</v>
      </c>
      <c r="AQ11" s="3151">
        <f t="shared" si="52"/>
        <v>99.542327195254401</v>
      </c>
      <c r="AR11" s="3151">
        <f t="shared" si="53"/>
        <v>103.04841477461495</v>
      </c>
    </row>
    <row r="12" spans="1:44" s="2045" customFormat="1" ht="13">
      <c r="A12" s="2903" t="s">
        <v>3369</v>
      </c>
      <c r="B12" s="2031">
        <v>2024</v>
      </c>
      <c r="C12" s="2042">
        <v>1</v>
      </c>
      <c r="D12" s="2007">
        <v>0.08</v>
      </c>
      <c r="E12" s="2007">
        <v>0.46</v>
      </c>
      <c r="F12" s="2007">
        <v>-0.16</v>
      </c>
      <c r="G12" s="2007">
        <v>0.26</v>
      </c>
      <c r="H12" s="2915">
        <v>0.59</v>
      </c>
      <c r="I12" s="2008">
        <f t="shared" si="87"/>
        <v>-0.16</v>
      </c>
      <c r="J12" s="2904"/>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4"/>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4"/>
      <c r="Y12" s="2028"/>
      <c r="Z12" s="2028"/>
      <c r="AA12" s="2028"/>
      <c r="AB12" s="2028"/>
      <c r="AC12" s="2028"/>
      <c r="AD12" s="2028"/>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102.22003712095626</v>
      </c>
      <c r="AN12" s="3151">
        <f t="shared" si="49"/>
        <v>102.38401916835726</v>
      </c>
      <c r="AO12" s="3151">
        <f t="shared" si="50"/>
        <v>104.49038204686165</v>
      </c>
      <c r="AP12" s="3151">
        <f t="shared" si="51"/>
        <v>101.85939659921733</v>
      </c>
      <c r="AQ12" s="3151">
        <f t="shared" si="52"/>
        <v>99.205030092938401</v>
      </c>
      <c r="AR12" s="3151">
        <f t="shared" si="53"/>
        <v>104.49038204686165</v>
      </c>
    </row>
    <row r="13" spans="1:44" s="2045" customFormat="1" ht="13">
      <c r="A13" s="2903" t="s">
        <v>3365</v>
      </c>
      <c r="B13" s="2031">
        <v>2023</v>
      </c>
      <c r="C13" s="2042">
        <v>4</v>
      </c>
      <c r="D13" s="2007">
        <v>0.19</v>
      </c>
      <c r="E13" s="2007">
        <v>0.24</v>
      </c>
      <c r="F13" s="2007">
        <v>-0.16</v>
      </c>
      <c r="G13" s="2007">
        <v>0.17</v>
      </c>
      <c r="H13" s="2915">
        <v>0.61</v>
      </c>
      <c r="I13" s="2008">
        <f>F13</f>
        <v>-0.16</v>
      </c>
      <c r="J13" s="2904"/>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4"/>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4"/>
      <c r="Y13" s="2028"/>
      <c r="Z13" s="2028"/>
      <c r="AA13" s="2028"/>
      <c r="AB13" s="2028"/>
      <c r="AC13" s="2028"/>
      <c r="AD13" s="2028"/>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102.13832645978844</v>
      </c>
      <c r="AN13" s="3151">
        <f t="shared" si="49"/>
        <v>101.91520920600962</v>
      </c>
      <c r="AO13" s="3151">
        <f t="shared" si="50"/>
        <v>104.65783458219317</v>
      </c>
      <c r="AP13" s="3151">
        <f t="shared" si="51"/>
        <v>101.5952489519423</v>
      </c>
      <c r="AQ13" s="3151">
        <f t="shared" si="52"/>
        <v>98.623153487362956</v>
      </c>
      <c r="AR13" s="3151">
        <f t="shared" si="53"/>
        <v>104.65783458219317</v>
      </c>
    </row>
    <row r="14" spans="1:44" s="2045" customFormat="1" ht="13">
      <c r="A14" s="2903" t="s">
        <v>3364</v>
      </c>
      <c r="B14" s="2031">
        <v>2023</v>
      </c>
      <c r="C14" s="2042">
        <v>3</v>
      </c>
      <c r="D14" s="2007">
        <v>0.25</v>
      </c>
      <c r="E14" s="2007">
        <v>0.5</v>
      </c>
      <c r="F14" s="2007">
        <v>0.31</v>
      </c>
      <c r="G14" s="2007">
        <v>0.21</v>
      </c>
      <c r="H14" s="2915">
        <v>0.43</v>
      </c>
      <c r="I14" s="2008">
        <f t="shared" si="87"/>
        <v>0.31</v>
      </c>
      <c r="J14" s="2904"/>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4"/>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4"/>
      <c r="Y14" s="2028"/>
      <c r="Z14" s="2028"/>
      <c r="AA14" s="2028"/>
      <c r="AB14" s="2028"/>
      <c r="AC14" s="2028"/>
      <c r="AD14" s="2028"/>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101.94463165963514</v>
      </c>
      <c r="AN14" s="3151">
        <f t="shared" si="49"/>
        <v>101.67119833001759</v>
      </c>
      <c r="AO14" s="3151">
        <f t="shared" si="50"/>
        <v>104.8255554709467</v>
      </c>
      <c r="AP14" s="3151">
        <f t="shared" si="51"/>
        <v>101.4228301407031</v>
      </c>
      <c r="AQ14" s="3151">
        <f t="shared" si="52"/>
        <v>98.025199768773433</v>
      </c>
      <c r="AR14" s="3151">
        <f t="shared" si="53"/>
        <v>104.8255554709467</v>
      </c>
    </row>
    <row r="15" spans="1:44" s="2045" customFormat="1" ht="13">
      <c r="A15" s="2903" t="s">
        <v>3362</v>
      </c>
      <c r="B15" s="2031">
        <v>2023</v>
      </c>
      <c r="C15" s="2042">
        <v>2</v>
      </c>
      <c r="D15" s="2007">
        <v>0.91</v>
      </c>
      <c r="E15" s="2007">
        <v>0.66</v>
      </c>
      <c r="F15" s="2007">
        <v>0.47</v>
      </c>
      <c r="G15" s="2007">
        <v>0.96</v>
      </c>
      <c r="H15" s="2915">
        <v>0.71</v>
      </c>
      <c r="I15" s="2008">
        <f t="shared" si="87"/>
        <v>0.47</v>
      </c>
      <c r="J15" s="2904"/>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4"/>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4"/>
      <c r="Y15" s="2028"/>
      <c r="Z15" s="2028"/>
      <c r="AA15" s="2028"/>
      <c r="AB15" s="2028"/>
      <c r="AC15" s="2028"/>
      <c r="AD15" s="2028"/>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101.69040564552134</v>
      </c>
      <c r="AN15" s="3151">
        <f t="shared" si="49"/>
        <v>101.16537147265433</v>
      </c>
      <c r="AO15" s="3151">
        <f t="shared" si="50"/>
        <v>104.50160050936765</v>
      </c>
      <c r="AP15" s="3151">
        <f t="shared" si="51"/>
        <v>101.21028853478006</v>
      </c>
      <c r="AQ15" s="3151">
        <f t="shared" si="52"/>
        <v>97.605496135391249</v>
      </c>
      <c r="AR15" s="3151">
        <f t="shared" si="53"/>
        <v>104.50160050936765</v>
      </c>
    </row>
    <row r="16" spans="1:44" s="2045" customFormat="1" ht="13">
      <c r="A16" s="2903" t="s">
        <v>3361</v>
      </c>
      <c r="B16" s="2031">
        <v>2023</v>
      </c>
      <c r="C16" s="2042">
        <v>1</v>
      </c>
      <c r="D16" s="2007">
        <v>0.89</v>
      </c>
      <c r="E16" s="2007">
        <v>0.74</v>
      </c>
      <c r="F16" s="2007">
        <v>0.56999999999999995</v>
      </c>
      <c r="G16" s="2007">
        <v>0.92</v>
      </c>
      <c r="H16" s="2915">
        <v>0.5</v>
      </c>
      <c r="I16" s="2008">
        <f t="shared" si="87"/>
        <v>0.56999999999999995</v>
      </c>
      <c r="J16" s="2904"/>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4"/>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4"/>
      <c r="Y16" s="2028"/>
      <c r="Z16" s="2028"/>
      <c r="AA16" s="2028"/>
      <c r="AB16" s="2028"/>
      <c r="AC16" s="2028"/>
      <c r="AD16" s="2028"/>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100.77336799675089</v>
      </c>
      <c r="AN16" s="3151">
        <f t="shared" si="49"/>
        <v>100.50205789057652</v>
      </c>
      <c r="AO16" s="3151">
        <f t="shared" si="50"/>
        <v>104.01274062841411</v>
      </c>
      <c r="AP16" s="3151">
        <f t="shared" si="51"/>
        <v>100.24790861210386</v>
      </c>
      <c r="AQ16" s="3151">
        <f t="shared" si="52"/>
        <v>96.917382718092782</v>
      </c>
      <c r="AR16" s="3151">
        <f t="shared" si="53"/>
        <v>104.01274062841411</v>
      </c>
    </row>
    <row r="17" spans="1:44" s="2045" customFormat="1" ht="13">
      <c r="A17" s="2903" t="s">
        <v>3360</v>
      </c>
      <c r="B17" s="2031">
        <v>2022</v>
      </c>
      <c r="C17" s="2042">
        <v>4</v>
      </c>
      <c r="D17" s="2007">
        <v>0.62</v>
      </c>
      <c r="E17" s="2007">
        <v>0.2</v>
      </c>
      <c r="F17" s="2007">
        <v>0.11</v>
      </c>
      <c r="G17" s="2007">
        <v>0.69</v>
      </c>
      <c r="H17" s="2915">
        <v>0.53</v>
      </c>
      <c r="I17" s="2008">
        <f t="shared" si="87"/>
        <v>0.11</v>
      </c>
      <c r="J17" s="2904"/>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4"/>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4"/>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99.884396864655471</v>
      </c>
      <c r="AN17" s="3151">
        <f t="shared" si="49"/>
        <v>99.763805728187918</v>
      </c>
      <c r="AO17" s="3151">
        <f t="shared" si="50"/>
        <v>103.42322822751726</v>
      </c>
      <c r="AP17" s="3151">
        <f t="shared" si="51"/>
        <v>99.334035485635994</v>
      </c>
      <c r="AQ17" s="3151">
        <f t="shared" si="52"/>
        <v>96.435206684669438</v>
      </c>
      <c r="AR17" s="3151">
        <f t="shared" si="53"/>
        <v>103.42322822751726</v>
      </c>
    </row>
    <row r="18" spans="1:44" s="2045" customFormat="1" ht="13">
      <c r="A18" s="2903" t="s">
        <v>3358</v>
      </c>
      <c r="B18" s="2031">
        <v>2022</v>
      </c>
      <c r="C18" s="2042">
        <v>3</v>
      </c>
      <c r="D18" s="2007">
        <v>0.66</v>
      </c>
      <c r="E18" s="2007">
        <v>0.32</v>
      </c>
      <c r="F18" s="2007">
        <v>0.23</v>
      </c>
      <c r="G18" s="2007">
        <v>0.72</v>
      </c>
      <c r="H18" s="2915">
        <v>0.63</v>
      </c>
      <c r="I18" s="2008">
        <f t="shared" si="87"/>
        <v>0.23</v>
      </c>
      <c r="J18" s="2904"/>
      <c r="K18" s="2043">
        <f t="shared" si="88"/>
        <v>6.6E-3</v>
      </c>
      <c r="L18" s="2028">
        <f t="shared" si="88"/>
        <v>3.2000000000000002E-3</v>
      </c>
      <c r="M18" s="2028">
        <f t="shared" si="88"/>
        <v>2.3E-3</v>
      </c>
      <c r="N18" s="2028">
        <f t="shared" si="88"/>
        <v>7.1999999999999998E-3</v>
      </c>
      <c r="O18" s="2028">
        <f t="shared" si="88"/>
        <v>6.3E-3</v>
      </c>
      <c r="P18" s="2028">
        <f t="shared" si="108"/>
        <v>2.3E-3</v>
      </c>
      <c r="Q18" s="2904"/>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4"/>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99.268929501744651</v>
      </c>
      <c r="AN18" s="3151">
        <f t="shared" si="49"/>
        <v>99.564676375437045</v>
      </c>
      <c r="AO18" s="3151">
        <f t="shared" si="50"/>
        <v>103.30958768106807</v>
      </c>
      <c r="AP18" s="3151">
        <f t="shared" si="51"/>
        <v>98.653327525708619</v>
      </c>
      <c r="AQ18" s="3151">
        <f t="shared" si="52"/>
        <v>95.926794672903043</v>
      </c>
      <c r="AR18" s="3151">
        <f t="shared" si="53"/>
        <v>103.30958768106807</v>
      </c>
    </row>
    <row r="19" spans="1:44" s="2045" customFormat="1" ht="13">
      <c r="A19" s="2903" t="s">
        <v>3349</v>
      </c>
      <c r="B19" s="2031">
        <v>2022</v>
      </c>
      <c r="C19" s="2042">
        <v>2</v>
      </c>
      <c r="D19" s="2007">
        <v>0.93</v>
      </c>
      <c r="E19" s="2007">
        <v>0.15</v>
      </c>
      <c r="F19" s="2007">
        <v>0.01</v>
      </c>
      <c r="G19" s="2007">
        <v>1.05</v>
      </c>
      <c r="H19" s="2915">
        <v>1.08</v>
      </c>
      <c r="I19" s="2008">
        <f t="shared" si="87"/>
        <v>0.01</v>
      </c>
      <c r="J19" s="2904"/>
      <c r="K19" s="2043">
        <f t="shared" si="88"/>
        <v>9.300000000000001E-3</v>
      </c>
      <c r="L19" s="2028">
        <f t="shared" si="88"/>
        <v>1.5E-3</v>
      </c>
      <c r="M19" s="2028">
        <f t="shared" si="88"/>
        <v>1E-4</v>
      </c>
      <c r="N19" s="2028">
        <f t="shared" si="88"/>
        <v>1.0500000000000001E-2</v>
      </c>
      <c r="O19" s="2028">
        <f t="shared" si="88"/>
        <v>1.0800000000000001E-2</v>
      </c>
      <c r="P19" s="2028">
        <f t="shared" si="108"/>
        <v>1E-4</v>
      </c>
      <c r="Q19" s="2904"/>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4"/>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98.618050369307227</v>
      </c>
      <c r="AN19" s="3151">
        <f t="shared" si="49"/>
        <v>99.247085701193214</v>
      </c>
      <c r="AO19" s="3151">
        <f t="shared" si="50"/>
        <v>103.07252088303709</v>
      </c>
      <c r="AP19" s="3151">
        <f t="shared" si="51"/>
        <v>97.948101197089571</v>
      </c>
      <c r="AQ19" s="3151">
        <f t="shared" si="52"/>
        <v>95.326239364904154</v>
      </c>
      <c r="AR19" s="3151">
        <f t="shared" si="53"/>
        <v>103.07252088303709</v>
      </c>
    </row>
    <row r="20" spans="1:44" s="2045" customFormat="1" ht="13">
      <c r="A20" s="2903" t="s">
        <v>2816</v>
      </c>
      <c r="B20" s="2031">
        <v>2022</v>
      </c>
      <c r="C20" s="2042">
        <v>1</v>
      </c>
      <c r="D20" s="2007">
        <v>0.89</v>
      </c>
      <c r="E20" s="2007">
        <v>0.44</v>
      </c>
      <c r="F20" s="2007">
        <v>0.37</v>
      </c>
      <c r="G20" s="2007">
        <v>0.96</v>
      </c>
      <c r="H20" s="2915">
        <v>0.64</v>
      </c>
      <c r="I20" s="2008">
        <f t="shared" si="87"/>
        <v>0.37</v>
      </c>
      <c r="J20" s="2904"/>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4"/>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4"/>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97.709353382846743</v>
      </c>
      <c r="AN20" s="3151">
        <f t="shared" si="49"/>
        <v>99.098438044127022</v>
      </c>
      <c r="AO20" s="3151">
        <f t="shared" si="50"/>
        <v>103.06221466157093</v>
      </c>
      <c r="AP20" s="3151">
        <f t="shared" si="51"/>
        <v>96.930332703700714</v>
      </c>
      <c r="AQ20" s="3151">
        <f t="shared" si="52"/>
        <v>94.307716031761146</v>
      </c>
      <c r="AR20" s="3151">
        <f t="shared" si="53"/>
        <v>103.06221466157093</v>
      </c>
    </row>
    <row r="21" spans="1:44" s="2045" customFormat="1" ht="13">
      <c r="A21" s="2903" t="s">
        <v>2817</v>
      </c>
      <c r="B21" s="2031">
        <v>2021</v>
      </c>
      <c r="C21" s="2042">
        <v>4</v>
      </c>
      <c r="D21" s="2007">
        <v>1.03</v>
      </c>
      <c r="E21" s="2007">
        <v>0.24</v>
      </c>
      <c r="F21" s="2007">
        <v>7.0000000000000007E-2</v>
      </c>
      <c r="G21" s="2007">
        <v>1.17</v>
      </c>
      <c r="H21" s="2915">
        <v>0.55000000000000004</v>
      </c>
      <c r="I21" s="2008">
        <f t="shared" si="87"/>
        <v>7.0000000000000007E-2</v>
      </c>
      <c r="J21" s="2904"/>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4"/>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4"/>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96.847411421198089</v>
      </c>
      <c r="AN21" s="3151">
        <f t="shared" si="49"/>
        <v>98.664315057872386</v>
      </c>
      <c r="AO21" s="3151">
        <f t="shared" si="50"/>
        <v>102.68229018787579</v>
      </c>
      <c r="AP21" s="3151">
        <f t="shared" si="51"/>
        <v>96.008649666898478</v>
      </c>
      <c r="AQ21" s="3151">
        <f t="shared" si="52"/>
        <v>93.70798492822054</v>
      </c>
      <c r="AR21" s="3151">
        <f t="shared" si="53"/>
        <v>102.68229018787579</v>
      </c>
    </row>
    <row r="22" spans="1:44" s="2045" customFormat="1" ht="13">
      <c r="A22" s="2903" t="s">
        <v>2818</v>
      </c>
      <c r="B22" s="2031">
        <v>2021</v>
      </c>
      <c r="C22" s="2042">
        <v>3</v>
      </c>
      <c r="D22" s="2007">
        <v>0.47</v>
      </c>
      <c r="E22" s="2007">
        <v>0.41</v>
      </c>
      <c r="F22" s="2007">
        <v>0.24</v>
      </c>
      <c r="G22" s="2007">
        <v>0.48</v>
      </c>
      <c r="H22" s="2915">
        <v>0.48</v>
      </c>
      <c r="I22" s="2008">
        <f t="shared" si="87"/>
        <v>0.24</v>
      </c>
      <c r="J22" s="2904"/>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4"/>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4"/>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95.860052876569426</v>
      </c>
      <c r="AN22" s="3151">
        <f t="shared" si="49"/>
        <v>98.428087647518353</v>
      </c>
      <c r="AO22" s="3151">
        <f t="shared" si="50"/>
        <v>102.61046286387109</v>
      </c>
      <c r="AP22" s="3151">
        <f t="shared" si="51"/>
        <v>94.898339099435077</v>
      </c>
      <c r="AQ22" s="3151">
        <f t="shared" si="52"/>
        <v>93.195410172273029</v>
      </c>
      <c r="AR22" s="3151">
        <f t="shared" si="53"/>
        <v>102.61046286387109</v>
      </c>
    </row>
    <row r="23" spans="1:44" s="2045" customFormat="1" ht="13">
      <c r="A23" s="2903" t="s">
        <v>2819</v>
      </c>
      <c r="B23" s="2031">
        <v>2021</v>
      </c>
      <c r="C23" s="2042">
        <v>2</v>
      </c>
      <c r="D23" s="2007">
        <v>0.92</v>
      </c>
      <c r="E23" s="2007">
        <v>0.72</v>
      </c>
      <c r="F23" s="2007">
        <v>0.41</v>
      </c>
      <c r="G23" s="2007">
        <v>0.95</v>
      </c>
      <c r="H23" s="2915">
        <v>1.01</v>
      </c>
      <c r="I23" s="2008">
        <f t="shared" si="87"/>
        <v>0.41</v>
      </c>
      <c r="J23" s="2904"/>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4"/>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4"/>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95.411618270697161</v>
      </c>
      <c r="AN23" s="3151">
        <f t="shared" si="49"/>
        <v>98.02618030825451</v>
      </c>
      <c r="AO23" s="3151">
        <f t="shared" si="50"/>
        <v>102.36478737417308</v>
      </c>
      <c r="AP23" s="3151">
        <f t="shared" si="51"/>
        <v>94.445003084628866</v>
      </c>
      <c r="AQ23" s="3151">
        <f t="shared" si="52"/>
        <v>92.750209168265357</v>
      </c>
      <c r="AR23" s="3151">
        <f t="shared" si="53"/>
        <v>102.36478737417308</v>
      </c>
    </row>
    <row r="24" spans="1:44" s="2926" customFormat="1" ht="14.5" thickBot="1">
      <c r="A24" s="2916" t="s">
        <v>2820</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94.541833403386008</v>
      </c>
      <c r="AN24" s="3158">
        <f t="shared" si="49"/>
        <v>97.325437160697476</v>
      </c>
      <c r="AO24" s="3158">
        <f t="shared" si="50"/>
        <v>101.94680547173894</v>
      </c>
      <c r="AP24" s="3158">
        <f t="shared" si="51"/>
        <v>93.556219004090011</v>
      </c>
      <c r="AQ24" s="3158">
        <f t="shared" si="52"/>
        <v>91.82279889938161</v>
      </c>
      <c r="AR24" s="3158">
        <f t="shared" si="53"/>
        <v>101.94680547173894</v>
      </c>
    </row>
    <row r="25" spans="1:44" ht="14.5" thickTop="1"/>
    <row r="26" spans="1:44">
      <c r="A26" s="3141" t="s">
        <v>3375</v>
      </c>
    </row>
    <row r="27" spans="1:44">
      <c r="I27" s="1405" t="s">
        <v>2821</v>
      </c>
    </row>
    <row r="29" spans="1:44" s="2009" customFormat="1" ht="13">
      <c r="B29" s="2927" t="s">
        <v>3373</v>
      </c>
      <c r="C29" s="2928"/>
      <c r="D29" s="2928"/>
      <c r="E29" s="2928"/>
      <c r="F29" s="2928"/>
      <c r="G29" s="2928"/>
      <c r="H29" s="2928"/>
      <c r="I29" s="2928"/>
      <c r="J29" s="2894"/>
      <c r="K29" s="2928" t="s">
        <v>2822</v>
      </c>
      <c r="L29" s="2928"/>
      <c r="M29" s="2928"/>
      <c r="N29" s="2928"/>
      <c r="O29" s="2928"/>
      <c r="P29" s="2928"/>
      <c r="Q29" s="2894"/>
      <c r="R29" s="3575" t="s">
        <v>2823</v>
      </c>
      <c r="S29" s="3576"/>
      <c r="T29" s="3576"/>
      <c r="U29" s="3576"/>
      <c r="V29" s="3576"/>
      <c r="W29" s="3576"/>
      <c r="X29" s="2894"/>
      <c r="Y29" s="3575" t="s">
        <v>2824</v>
      </c>
      <c r="Z29" s="3576"/>
      <c r="AA29" s="3576"/>
      <c r="AB29" s="3576"/>
      <c r="AC29" s="3576"/>
      <c r="AD29" s="3576"/>
    </row>
    <row r="30" spans="1:44" s="2010" customFormat="1" ht="14.5" thickBot="1">
      <c r="B30" s="2879"/>
      <c r="C30" s="2880"/>
      <c r="D30" s="2011" t="s">
        <v>2825</v>
      </c>
      <c r="E30" s="2012" t="s">
        <v>2826</v>
      </c>
      <c r="F30" s="2012" t="s">
        <v>2827</v>
      </c>
      <c r="G30" s="2012" t="s">
        <v>2828</v>
      </c>
      <c r="H30" s="2012"/>
      <c r="I30" s="2012" t="s">
        <v>2829</v>
      </c>
      <c r="J30" s="2881"/>
      <c r="K30" s="2011" t="s">
        <v>2825</v>
      </c>
      <c r="L30" s="2012" t="s">
        <v>2826</v>
      </c>
      <c r="M30" s="2012" t="s">
        <v>2827</v>
      </c>
      <c r="N30" s="2012" t="s">
        <v>2828</v>
      </c>
      <c r="O30" s="2012"/>
      <c r="P30" s="2012" t="s">
        <v>2829</v>
      </c>
      <c r="Q30" s="2881"/>
      <c r="R30" s="2011" t="s">
        <v>2825</v>
      </c>
      <c r="S30" s="2012" t="s">
        <v>2826</v>
      </c>
      <c r="T30" s="2012" t="s">
        <v>2827</v>
      </c>
      <c r="U30" s="2012" t="s">
        <v>2828</v>
      </c>
      <c r="V30" s="2012"/>
      <c r="W30" s="2012" t="s">
        <v>2829</v>
      </c>
      <c r="X30" s="2881"/>
      <c r="Y30" s="2011" t="s">
        <v>2825</v>
      </c>
      <c r="Z30" s="2012" t="s">
        <v>2826</v>
      </c>
      <c r="AA30" s="2012" t="s">
        <v>2827</v>
      </c>
      <c r="AB30" s="2012" t="s">
        <v>2828</v>
      </c>
      <c r="AC30" s="2012"/>
      <c r="AD30" s="2012" t="s">
        <v>2829</v>
      </c>
      <c r="AG30" t="s">
        <v>673</v>
      </c>
      <c r="AH30" t="s">
        <v>21</v>
      </c>
      <c r="AI30" t="s">
        <v>3400</v>
      </c>
      <c r="AJ30"/>
      <c r="AK30" t="s">
        <v>3401</v>
      </c>
      <c r="AN30" t="s">
        <v>673</v>
      </c>
      <c r="AO30" t="s">
        <v>21</v>
      </c>
      <c r="AP30" t="s">
        <v>3400</v>
      </c>
      <c r="AQ30"/>
      <c r="AR30" t="s">
        <v>3401</v>
      </c>
    </row>
    <row r="31" spans="1:44" s="2884" customFormat="1" ht="13">
      <c r="A31" s="2882" t="s">
        <v>2830</v>
      </c>
      <c r="B31" s="2883"/>
      <c r="E31" s="2884">
        <f t="shared" ref="E31:G31" si="115">ROUND(AVERAGEIF(E32:E52,"&lt;&gt;0"),2)</f>
        <v>0.09</v>
      </c>
      <c r="F31" s="2884">
        <f t="shared" si="115"/>
        <v>0.01</v>
      </c>
      <c r="G31" s="2884">
        <f t="shared" si="115"/>
        <v>0.24</v>
      </c>
      <c r="I31" s="2884">
        <f>F31</f>
        <v>0.01</v>
      </c>
      <c r="J31" s="2885"/>
      <c r="K31" s="2886"/>
      <c r="L31" s="2887">
        <f t="shared" ref="L31:N31" si="116">ROUND(AVERAGEIF(L32:L52,"&lt;&gt;0"),4)</f>
        <v>8.9999999999999998E-4</v>
      </c>
      <c r="M31" s="2887">
        <f t="shared" si="116"/>
        <v>1E-4</v>
      </c>
      <c r="N31" s="2887">
        <f t="shared" si="116"/>
        <v>2.3999999999999998E-3</v>
      </c>
      <c r="O31" s="2887"/>
      <c r="P31" s="2887">
        <f>M31</f>
        <v>1E-4</v>
      </c>
      <c r="Q31" s="2885"/>
      <c r="R31" s="2888"/>
      <c r="S31" s="2889">
        <f>ROUND(SUMPRODUCT(PRODUCT(1+L32:L52)),4)</f>
        <v>1.0153000000000001</v>
      </c>
      <c r="T31" s="2889">
        <f t="shared" ref="T31:U31" si="117">ROUND(SUMPRODUCT(PRODUCT(1+M32:M52)),4)</f>
        <v>1.0016</v>
      </c>
      <c r="U31" s="2889">
        <f t="shared" si="117"/>
        <v>1.044</v>
      </c>
      <c r="V31" s="2889"/>
      <c r="W31" s="2888">
        <f>T31</f>
        <v>1.0016</v>
      </c>
      <c r="X31" s="2885"/>
      <c r="Y31" s="2890"/>
      <c r="Z31" s="2891">
        <f t="shared" ref="Z31:AB31" si="118">ROUND(AVERAGEIF(Z32:Z52,"&lt;&gt;0"),4)</f>
        <v>3.3E-3</v>
      </c>
      <c r="AA31" s="2892">
        <f t="shared" si="118"/>
        <v>2.7000000000000001E-3</v>
      </c>
      <c r="AB31" s="2890">
        <f t="shared" si="118"/>
        <v>6.4999999999999997E-3</v>
      </c>
      <c r="AC31" s="2893"/>
      <c r="AD31" s="2890">
        <f>AA31</f>
        <v>2.7000000000000001E-3</v>
      </c>
    </row>
    <row r="32" spans="1:44" s="2009" customFormat="1" ht="13">
      <c r="B32" s="2025"/>
      <c r="J32" s="2894"/>
      <c r="K32" s="2895"/>
      <c r="L32" s="2896"/>
      <c r="M32" s="2896"/>
      <c r="N32" s="2896"/>
      <c r="O32" s="2896"/>
      <c r="P32" s="2896"/>
      <c r="Q32" s="2894"/>
      <c r="R32" s="2027"/>
      <c r="S32" s="2897"/>
      <c r="T32" s="2898"/>
      <c r="U32" s="2027"/>
      <c r="V32" s="2899"/>
      <c r="W32" s="2027"/>
      <c r="X32" s="2894"/>
      <c r="Y32" s="2028"/>
      <c r="Z32" s="2900"/>
      <c r="AA32" s="2901"/>
      <c r="AB32" s="2028"/>
      <c r="AC32" s="2902"/>
      <c r="AD32" s="2028"/>
    </row>
    <row r="33" spans="1:44" s="2045" customFormat="1">
      <c r="A33" s="2040" t="s">
        <v>3398</v>
      </c>
      <c r="B33" s="2031">
        <v>2025</v>
      </c>
      <c r="C33" s="2042">
        <v>4</v>
      </c>
      <c r="D33" s="2007"/>
      <c r="E33" s="2007">
        <v>0</v>
      </c>
      <c r="F33" s="2007">
        <v>0</v>
      </c>
      <c r="G33" s="2007">
        <v>0</v>
      </c>
      <c r="H33" s="2007"/>
      <c r="I33" s="2008">
        <f t="shared" ref="I33" si="119">F33</f>
        <v>0</v>
      </c>
      <c r="J33" s="2904"/>
      <c r="K33" s="2043"/>
      <c r="L33" s="2028">
        <f t="shared" ref="L33" si="120">E33/100</f>
        <v>0</v>
      </c>
      <c r="M33" s="2028">
        <f t="shared" ref="M33" si="121">F33/100</f>
        <v>0</v>
      </c>
      <c r="N33" s="2028">
        <f t="shared" ref="N33" si="122">G33/100</f>
        <v>0</v>
      </c>
      <c r="O33" s="2028"/>
      <c r="P33" s="2028">
        <f t="shared" ref="P33:P39" si="123">M33</f>
        <v>0</v>
      </c>
      <c r="Q33" s="2904"/>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4"/>
      <c r="Y33" s="2028"/>
      <c r="Z33" s="2900">
        <f t="shared" ref="Z33" si="125">IF(E33=0,0,ROUND(AVERAGE(E33:E46)/100,4))</f>
        <v>0</v>
      </c>
      <c r="AA33" s="2900">
        <f t="shared" ref="AA33" si="126">IF(F33=0,0,ROUND(AVERAGE(F33:F46)/100,4))</f>
        <v>0</v>
      </c>
      <c r="AB33" s="2900">
        <f t="shared" ref="AB33" si="127">IF(G33=0,0,ROUND(AVERAGE(G33:G46)/100,4))</f>
        <v>0</v>
      </c>
      <c r="AC33" s="2902"/>
      <c r="AD33" s="2028">
        <f t="shared" ref="AD33:AD39" si="128">IF(I33=0,0,ROUND(AVERAGE(I33:I46)/100,4))</f>
        <v>0</v>
      </c>
      <c r="AG33" s="3151">
        <f t="shared" ref="AG33:AG50" si="129">$AG$52*S33</f>
        <v>101.18</v>
      </c>
      <c r="AH33" s="3151">
        <f t="shared" ref="AH33:AH50" si="130">$AG$52*T33</f>
        <v>99.68</v>
      </c>
      <c r="AI33" s="3151">
        <f t="shared" ref="AI33:AI50" si="131">$AG$52*U33</f>
        <v>103.38000000000001</v>
      </c>
      <c r="AJ33" s="3153"/>
      <c r="AK33" s="3151">
        <f t="shared" ref="AK33:AK50" si="132">$AG$52*W33</f>
        <v>99.68</v>
      </c>
      <c r="AN33" s="3156">
        <v>100</v>
      </c>
      <c r="AO33" s="3156">
        <v>100</v>
      </c>
      <c r="AP33" s="3156">
        <v>100</v>
      </c>
      <c r="AQ33" s="3156"/>
      <c r="AR33" s="3156">
        <v>100</v>
      </c>
    </row>
    <row r="34" spans="1:44" s="2045" customFormat="1" ht="13">
      <c r="A34" s="2040" t="s">
        <v>3397</v>
      </c>
      <c r="B34" s="2031">
        <v>2025</v>
      </c>
      <c r="C34" s="2042">
        <v>3</v>
      </c>
      <c r="D34" s="2007"/>
      <c r="E34" s="2007">
        <v>0</v>
      </c>
      <c r="F34" s="2007">
        <v>0</v>
      </c>
      <c r="G34" s="2007">
        <v>0</v>
      </c>
      <c r="H34" s="2007"/>
      <c r="I34" s="2008">
        <f t="shared" ref="I34" si="133">F34</f>
        <v>0</v>
      </c>
      <c r="J34" s="2904"/>
      <c r="K34" s="2043"/>
      <c r="L34" s="2028">
        <f t="shared" ref="L34" si="134">E34/100</f>
        <v>0</v>
      </c>
      <c r="M34" s="2028">
        <f t="shared" ref="M34" si="135">F34/100</f>
        <v>0</v>
      </c>
      <c r="N34" s="2028">
        <f t="shared" ref="N34" si="136">G34/100</f>
        <v>0</v>
      </c>
      <c r="O34" s="2028"/>
      <c r="P34" s="2028">
        <f t="shared" si="123"/>
        <v>0</v>
      </c>
      <c r="Q34" s="2904"/>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4"/>
      <c r="Y34" s="2028"/>
      <c r="Z34" s="2900">
        <f t="shared" ref="Z34" si="137">IF(E34=0,0,ROUND(AVERAGE(E34:E47)/100,4))</f>
        <v>0</v>
      </c>
      <c r="AA34" s="2900">
        <f t="shared" ref="AA34" si="138">IF(F34=0,0,ROUND(AVERAGE(F34:F47)/100,4))</f>
        <v>0</v>
      </c>
      <c r="AB34" s="2900">
        <f t="shared" ref="AB34" si="139">IF(G34=0,0,ROUND(AVERAGE(G34:G47)/100,4))</f>
        <v>0</v>
      </c>
      <c r="AC34" s="2902"/>
      <c r="AD34" s="2028">
        <f t="shared" si="128"/>
        <v>0</v>
      </c>
      <c r="AG34" s="3151">
        <f t="shared" si="129"/>
        <v>101.18</v>
      </c>
      <c r="AH34" s="3151">
        <f t="shared" si="130"/>
        <v>99.68</v>
      </c>
      <c r="AI34" s="3151">
        <f t="shared" si="131"/>
        <v>103.38000000000001</v>
      </c>
      <c r="AJ34" s="3153"/>
      <c r="AK34" s="3151">
        <f t="shared" si="132"/>
        <v>99.68</v>
      </c>
      <c r="AN34" s="3151">
        <f>AN33/(1+E33/100)</f>
        <v>100</v>
      </c>
      <c r="AO34" s="3151">
        <f t="shared" ref="AO34:AR34" si="140">AO33/(1+F33/100)</f>
        <v>100</v>
      </c>
      <c r="AP34" s="3151">
        <f t="shared" si="140"/>
        <v>100</v>
      </c>
      <c r="AQ34" s="3151"/>
      <c r="AR34" s="3151">
        <f t="shared" si="140"/>
        <v>100</v>
      </c>
    </row>
    <row r="35" spans="1:44" s="2914" customFormat="1" ht="13">
      <c r="A35" s="2905" t="s">
        <v>3405</v>
      </c>
      <c r="B35" s="2906">
        <v>2025</v>
      </c>
      <c r="C35" s="2907">
        <v>2</v>
      </c>
      <c r="D35" s="2908"/>
      <c r="E35" s="2908">
        <v>-0.31</v>
      </c>
      <c r="F35" s="2908">
        <v>-1.03</v>
      </c>
      <c r="G35" s="2908">
        <v>0.03</v>
      </c>
      <c r="H35" s="2909"/>
      <c r="I35" s="2910">
        <f t="shared" ref="I35" si="141">F35</f>
        <v>-1.03</v>
      </c>
      <c r="J35" s="2911"/>
      <c r="K35" s="2912"/>
      <c r="L35" s="2913">
        <f t="shared" ref="L35" si="142">E35/100</f>
        <v>-3.0999999999999999E-3</v>
      </c>
      <c r="M35" s="2913">
        <f t="shared" ref="M35" si="143">F35/100</f>
        <v>-1.03E-2</v>
      </c>
      <c r="N35" s="2913">
        <f t="shared" ref="N35" si="144">G35/100</f>
        <v>2.9999999999999997E-4</v>
      </c>
      <c r="O35" s="2913"/>
      <c r="P35" s="2913">
        <f t="shared" si="123"/>
        <v>-1.03E-2</v>
      </c>
      <c r="Q35" s="2911"/>
      <c r="R35" s="2911"/>
      <c r="S35" s="2911">
        <f>ROUND(IF(项目基本情况!$B$8="出让",SUMPRODUCT(PRODUCT(1+L35:L$52)),SUMPRODUCT(PRODUCT(1+L35:L$51))),4)</f>
        <v>1.0118</v>
      </c>
      <c r="T35" s="2911">
        <f>ROUND(IF(项目基本情况!$B$8="出让",SUMPRODUCT(PRODUCT(1+M35:M$52)),SUMPRODUCT(PRODUCT(1+M35:M$51))),4)</f>
        <v>0.99680000000000002</v>
      </c>
      <c r="U35" s="2911">
        <f>ROUND(IF(项目基本情况!$B$8="出让",SUMPRODUCT(PRODUCT(1+N35:N$52)),SUMPRODUCT(PRODUCT(1+N35:N$51))),4)</f>
        <v>1.0338000000000001</v>
      </c>
      <c r="V35" s="2911"/>
      <c r="W35" s="2911">
        <f t="shared" si="124"/>
        <v>0.99680000000000002</v>
      </c>
      <c r="X35" s="2911"/>
      <c r="Y35" s="2913"/>
      <c r="Z35" s="2929">
        <f t="shared" ref="Z35" si="145">IF(E35=0,0,ROUND(AVERAGE(E35:E48)/100,4))</f>
        <v>-2.9999999999999997E-4</v>
      </c>
      <c r="AA35" s="2930">
        <f t="shared" ref="AA35" si="146">IF(F35=0,0,ROUND(AVERAGE(F35:F48)/100,4))</f>
        <v>-8.0000000000000004E-4</v>
      </c>
      <c r="AB35" s="2913">
        <f t="shared" ref="AB35" si="147">IF(G35=0,0,ROUND(AVERAGE(G35:G48)/100,4))</f>
        <v>5.0000000000000001E-4</v>
      </c>
      <c r="AC35" s="2931"/>
      <c r="AD35" s="2913">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v>
      </c>
      <c r="AO35" s="3152">
        <f t="shared" ref="AO35" si="149">AO34/(1+F34/100)</f>
        <v>100</v>
      </c>
      <c r="AP35" s="3152">
        <f t="shared" ref="AP35" si="150">AP34/(1+G34/100)</f>
        <v>100</v>
      </c>
      <c r="AQ35" s="3152"/>
      <c r="AR35" s="3152">
        <f t="shared" ref="AR35" si="151">AR34/(1+I34/100)</f>
        <v>100</v>
      </c>
    </row>
    <row r="36" spans="1:44" s="2045" customFormat="1" ht="13">
      <c r="A36" s="2040" t="s">
        <v>3402</v>
      </c>
      <c r="B36" s="2031">
        <v>2025</v>
      </c>
      <c r="C36" s="2042">
        <v>1</v>
      </c>
      <c r="D36" s="2007"/>
      <c r="E36" s="2007">
        <v>-1.47</v>
      </c>
      <c r="F36" s="2007">
        <v>-0.98</v>
      </c>
      <c r="G36" s="2007">
        <v>-0.51</v>
      </c>
      <c r="H36" s="2007"/>
      <c r="I36" s="2008">
        <f t="shared" ref="I36" si="152">F36</f>
        <v>-0.98</v>
      </c>
      <c r="J36" s="2904"/>
      <c r="K36" s="2043"/>
      <c r="L36" s="2028">
        <f t="shared" ref="L36" si="153">E36/100</f>
        <v>-1.47E-2</v>
      </c>
      <c r="M36" s="2028">
        <f t="shared" ref="M36" si="154">F36/100</f>
        <v>-9.7999999999999997E-3</v>
      </c>
      <c r="N36" s="2028">
        <f t="shared" ref="N36" si="155">G36/100</f>
        <v>-5.1000000000000004E-3</v>
      </c>
      <c r="O36" s="2028"/>
      <c r="P36" s="2028">
        <f t="shared" si="123"/>
        <v>-9.7999999999999997E-3</v>
      </c>
      <c r="Q36" s="2904"/>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4"/>
      <c r="Y36" s="2028"/>
      <c r="Z36" s="2900">
        <f t="shared" ref="Z36" si="156">IF(E36=0,0,ROUND(AVERAGE(E36:E49)/100,4))</f>
        <v>4.0000000000000002E-4</v>
      </c>
      <c r="AA36" s="2900">
        <f t="shared" ref="AA36" si="157">IF(F36=0,0,ROUND(AVERAGE(F36:F49)/100,4))</f>
        <v>0</v>
      </c>
      <c r="AB36" s="2900">
        <f t="shared" ref="AB36" si="158">IF(G36=0,0,ROUND(AVERAGE(G36:G49)/100,4))</f>
        <v>1E-3</v>
      </c>
      <c r="AC36" s="2902"/>
      <c r="AD36" s="2028">
        <f t="shared" si="128"/>
        <v>0</v>
      </c>
      <c r="AG36" s="3151">
        <f t="shared" si="129"/>
        <v>101.49</v>
      </c>
      <c r="AH36" s="3151">
        <f t="shared" si="130"/>
        <v>100.72000000000001</v>
      </c>
      <c r="AI36" s="3151">
        <f t="shared" si="131"/>
        <v>103.35000000000001</v>
      </c>
      <c r="AJ36" s="3153"/>
      <c r="AK36" s="3151">
        <f t="shared" si="132"/>
        <v>100.72000000000001</v>
      </c>
      <c r="AN36" s="3151">
        <f t="shared" si="148"/>
        <v>100.31096398836392</v>
      </c>
      <c r="AO36" s="3151">
        <f t="shared" ref="AO36:AO52" si="159">AO35/(1+F35/100)</f>
        <v>101.04071940992219</v>
      </c>
      <c r="AP36" s="3151">
        <f t="shared" ref="AP36:AP52" si="160">AP35/(1+G35/100)</f>
        <v>99.970008997300809</v>
      </c>
      <c r="AQ36" s="3151"/>
      <c r="AR36" s="3151">
        <f t="shared" ref="AR36:AR52" si="161">AR35/(1+I35/100)</f>
        <v>101.04071940992219</v>
      </c>
    </row>
    <row r="37" spans="1:44" s="2045" customFormat="1" ht="13">
      <c r="A37" s="2040" t="s">
        <v>3403</v>
      </c>
      <c r="B37" s="2031">
        <v>2024</v>
      </c>
      <c r="C37" s="2042">
        <v>4</v>
      </c>
      <c r="D37" s="2007"/>
      <c r="E37" s="2007">
        <v>-0.61</v>
      </c>
      <c r="F37" s="2007">
        <v>-0.71</v>
      </c>
      <c r="G37" s="2007">
        <v>-0.88</v>
      </c>
      <c r="H37" s="2007"/>
      <c r="I37" s="2008">
        <f t="shared" ref="I37" si="162">F37</f>
        <v>-0.71</v>
      </c>
      <c r="J37" s="2904"/>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4"/>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4"/>
      <c r="Y37" s="2028"/>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8">
        <f t="shared" si="128"/>
        <v>8.9999999999999998E-4</v>
      </c>
      <c r="AG37" s="3151">
        <f t="shared" si="129"/>
        <v>103.01</v>
      </c>
      <c r="AH37" s="3151">
        <f t="shared" si="130"/>
        <v>101.71</v>
      </c>
      <c r="AI37" s="3151">
        <f t="shared" si="131"/>
        <v>103.88</v>
      </c>
      <c r="AJ37" s="3153"/>
      <c r="AK37" s="3151">
        <f t="shared" si="132"/>
        <v>101.71</v>
      </c>
      <c r="AN37" s="3151">
        <f t="shared" si="148"/>
        <v>101.80753474917682</v>
      </c>
      <c r="AO37" s="3151">
        <f t="shared" si="159"/>
        <v>102.04071845073943</v>
      </c>
      <c r="AP37" s="3151">
        <f t="shared" si="160"/>
        <v>100.48246959222114</v>
      </c>
      <c r="AQ37" s="3151"/>
      <c r="AR37" s="3151">
        <f t="shared" si="161"/>
        <v>102.04071845073943</v>
      </c>
    </row>
    <row r="38" spans="1:44" s="2045" customFormat="1" ht="13">
      <c r="A38" s="2040" t="s">
        <v>3367</v>
      </c>
      <c r="B38" s="2031">
        <v>2024</v>
      </c>
      <c r="C38" s="2042">
        <v>3</v>
      </c>
      <c r="D38" s="2007"/>
      <c r="E38" s="2007">
        <v>-0.66</v>
      </c>
      <c r="F38" s="2007">
        <v>-0.52</v>
      </c>
      <c r="G38" s="2007">
        <v>-2.87</v>
      </c>
      <c r="H38" s="2007"/>
      <c r="I38" s="2008">
        <f t="shared" ref="I38" si="169">F38</f>
        <v>-0.52</v>
      </c>
      <c r="J38" s="2904"/>
      <c r="K38" s="2043"/>
      <c r="L38" s="2028">
        <f t="shared" ref="L38" si="170">E38/100</f>
        <v>-6.6E-3</v>
      </c>
      <c r="M38" s="2028">
        <f t="shared" ref="M38" si="171">F38/100</f>
        <v>-5.1999999999999998E-3</v>
      </c>
      <c r="N38" s="2028">
        <f t="shared" ref="N38" si="172">G38/100</f>
        <v>-2.87E-2</v>
      </c>
      <c r="O38" s="2028"/>
      <c r="P38" s="2028">
        <f t="shared" si="123"/>
        <v>-5.1999999999999998E-3</v>
      </c>
      <c r="Q38" s="2904"/>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4"/>
      <c r="Y38" s="2028"/>
      <c r="Z38" s="2900">
        <f t="shared" ref="Z38:AB39" si="173">IF(E38=0,0,ROUND(AVERAGE(E38:E51)/100,4))</f>
        <v>2.5999999999999999E-3</v>
      </c>
      <c r="AA38" s="2900">
        <f t="shared" si="173"/>
        <v>1.6999999999999999E-3</v>
      </c>
      <c r="AB38" s="2900">
        <f t="shared" si="173"/>
        <v>3.3999999999999998E-3</v>
      </c>
      <c r="AC38" s="2902"/>
      <c r="AD38" s="2028">
        <f t="shared" si="128"/>
        <v>1.6999999999999999E-3</v>
      </c>
      <c r="AG38" s="3151">
        <f t="shared" si="129"/>
        <v>103.64</v>
      </c>
      <c r="AH38" s="3151">
        <f t="shared" si="130"/>
        <v>102.44</v>
      </c>
      <c r="AI38" s="3151">
        <f t="shared" si="131"/>
        <v>104.80000000000001</v>
      </c>
      <c r="AJ38" s="3153"/>
      <c r="AK38" s="3151">
        <f t="shared" si="132"/>
        <v>102.44</v>
      </c>
      <c r="AN38" s="3151">
        <f t="shared" si="148"/>
        <v>102.4323722197171</v>
      </c>
      <c r="AO38" s="3151">
        <f t="shared" si="159"/>
        <v>102.7703882070092</v>
      </c>
      <c r="AP38" s="3151">
        <f t="shared" si="160"/>
        <v>101.37456577100599</v>
      </c>
      <c r="AQ38" s="3151"/>
      <c r="AR38" s="3151">
        <f t="shared" si="161"/>
        <v>102.7703882070092</v>
      </c>
    </row>
    <row r="39" spans="1:44" s="2045" customFormat="1" ht="13">
      <c r="A39" s="2903" t="s">
        <v>3371</v>
      </c>
      <c r="B39" s="2031">
        <v>2024</v>
      </c>
      <c r="C39" s="2042">
        <v>2</v>
      </c>
      <c r="D39" s="2007"/>
      <c r="E39" s="2007">
        <v>-0.31</v>
      </c>
      <c r="F39" s="2007">
        <v>-0.39</v>
      </c>
      <c r="G39" s="2007">
        <v>1.23</v>
      </c>
      <c r="H39" s="2915"/>
      <c r="I39" s="2008">
        <f t="shared" ref="I39:I52" si="174">F39</f>
        <v>-0.39</v>
      </c>
      <c r="J39" s="2904"/>
      <c r="K39" s="2043"/>
      <c r="L39" s="2028">
        <f t="shared" ref="L39:N52" si="175">E39/100</f>
        <v>-3.0999999999999999E-3</v>
      </c>
      <c r="M39" s="2028">
        <f t="shared" si="175"/>
        <v>-3.9000000000000003E-3</v>
      </c>
      <c r="N39" s="2028">
        <f t="shared" si="175"/>
        <v>1.23E-2</v>
      </c>
      <c r="O39" s="2028"/>
      <c r="P39" s="2028">
        <f t="shared" si="123"/>
        <v>-3.9000000000000003E-3</v>
      </c>
      <c r="Q39" s="2904"/>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4"/>
      <c r="Y39" s="2028"/>
      <c r="Z39" s="2900">
        <f t="shared" si="173"/>
        <v>3.3E-3</v>
      </c>
      <c r="AA39" s="2901">
        <f t="shared" si="173"/>
        <v>2.3999999999999998E-3</v>
      </c>
      <c r="AB39" s="2028">
        <f t="shared" si="173"/>
        <v>6.1999999999999998E-3</v>
      </c>
      <c r="AC39" s="2902"/>
      <c r="AD39" s="2028">
        <f t="shared" si="128"/>
        <v>2.3999999999999998E-3</v>
      </c>
      <c r="AG39" s="3151">
        <f t="shared" si="129"/>
        <v>104.32999999999998</v>
      </c>
      <c r="AH39" s="3151">
        <f t="shared" si="130"/>
        <v>102.98</v>
      </c>
      <c r="AI39" s="3151">
        <f t="shared" si="131"/>
        <v>107.89999999999999</v>
      </c>
      <c r="AJ39" s="3153"/>
      <c r="AK39" s="3151">
        <f t="shared" si="132"/>
        <v>102.98</v>
      </c>
      <c r="AN39" s="3151">
        <f t="shared" si="148"/>
        <v>103.11291747505244</v>
      </c>
      <c r="AO39" s="3151">
        <f t="shared" si="159"/>
        <v>103.30758766285605</v>
      </c>
      <c r="AP39" s="3151">
        <f t="shared" si="160"/>
        <v>104.36998432101923</v>
      </c>
      <c r="AQ39" s="3151"/>
      <c r="AR39" s="3151">
        <f t="shared" si="161"/>
        <v>103.30758766285605</v>
      </c>
    </row>
    <row r="40" spans="1:44" s="2045" customFormat="1" ht="13">
      <c r="A40" s="2903" t="s">
        <v>3368</v>
      </c>
      <c r="B40" s="2031">
        <v>2024</v>
      </c>
      <c r="C40" s="2042">
        <v>1</v>
      </c>
      <c r="D40" s="2007"/>
      <c r="E40" s="2007">
        <v>0.25</v>
      </c>
      <c r="F40" s="2007">
        <v>0.4</v>
      </c>
      <c r="G40" s="2007">
        <v>-0.63</v>
      </c>
      <c r="H40" s="2915"/>
      <c r="I40" s="2008">
        <f t="shared" ref="I40:I41" si="176">F40</f>
        <v>0.4</v>
      </c>
      <c r="J40" s="2904"/>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4"/>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4"/>
      <c r="Y40" s="2028"/>
      <c r="Z40" s="2900"/>
      <c r="AA40" s="2901"/>
      <c r="AB40" s="2028"/>
      <c r="AC40" s="2902"/>
      <c r="AD40" s="2028"/>
      <c r="AG40" s="3151">
        <f t="shared" si="129"/>
        <v>104.65</v>
      </c>
      <c r="AH40" s="3151">
        <f t="shared" si="130"/>
        <v>103.38000000000001</v>
      </c>
      <c r="AI40" s="3151">
        <f t="shared" si="131"/>
        <v>106.59</v>
      </c>
      <c r="AJ40" s="3153"/>
      <c r="AK40" s="3151">
        <f t="shared" si="132"/>
        <v>103.38000000000001</v>
      </c>
      <c r="AN40" s="3151">
        <f t="shared" si="148"/>
        <v>103.43356151575126</v>
      </c>
      <c r="AO40" s="3151">
        <f t="shared" si="159"/>
        <v>103.7120647152455</v>
      </c>
      <c r="AP40" s="3151">
        <f t="shared" si="160"/>
        <v>103.10183179000221</v>
      </c>
      <c r="AQ40" s="3151"/>
      <c r="AR40" s="3151">
        <f t="shared" si="161"/>
        <v>103.7120647152455</v>
      </c>
    </row>
    <row r="41" spans="1:44" s="2045" customFormat="1" ht="13">
      <c r="A41" s="2903" t="s">
        <v>3366</v>
      </c>
      <c r="B41" s="2031">
        <v>2023</v>
      </c>
      <c r="C41" s="2042">
        <v>4</v>
      </c>
      <c r="D41" s="2007"/>
      <c r="E41" s="2007">
        <v>7.0000000000000007E-2</v>
      </c>
      <c r="F41" s="2007">
        <v>0.09</v>
      </c>
      <c r="G41" s="2007">
        <v>0.03</v>
      </c>
      <c r="H41" s="2915"/>
      <c r="I41" s="2008">
        <f t="shared" si="176"/>
        <v>0.09</v>
      </c>
      <c r="J41" s="2904"/>
      <c r="K41" s="2043"/>
      <c r="L41" s="2028">
        <f t="shared" si="175"/>
        <v>7.000000000000001E-4</v>
      </c>
      <c r="M41" s="2028">
        <f t="shared" si="175"/>
        <v>8.9999999999999998E-4</v>
      </c>
      <c r="N41" s="2028">
        <f t="shared" si="175"/>
        <v>2.9999999999999997E-4</v>
      </c>
      <c r="O41" s="2028"/>
      <c r="P41" s="2028">
        <f t="shared" ref="P41" si="182">M41</f>
        <v>8.9999999999999998E-4</v>
      </c>
      <c r="Q41" s="2904"/>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4"/>
      <c r="Y41" s="2028"/>
      <c r="Z41" s="2900"/>
      <c r="AA41" s="2901"/>
      <c r="AB41" s="2028"/>
      <c r="AC41" s="2902"/>
      <c r="AD41" s="2028"/>
      <c r="AG41" s="3151">
        <f t="shared" si="129"/>
        <v>104.39</v>
      </c>
      <c r="AH41" s="3151">
        <f t="shared" si="130"/>
        <v>102.97</v>
      </c>
      <c r="AI41" s="3151">
        <f t="shared" si="131"/>
        <v>107.27</v>
      </c>
      <c r="AJ41" s="3153"/>
      <c r="AK41" s="3151">
        <f t="shared" si="132"/>
        <v>102.97</v>
      </c>
      <c r="AN41" s="3151">
        <f t="shared" si="148"/>
        <v>103.17562245960227</v>
      </c>
      <c r="AO41" s="3151">
        <f t="shared" si="159"/>
        <v>103.29886923829234</v>
      </c>
      <c r="AP41" s="3151">
        <f t="shared" si="160"/>
        <v>103.75549138573231</v>
      </c>
      <c r="AQ41" s="3151"/>
      <c r="AR41" s="3151">
        <f t="shared" si="161"/>
        <v>103.29886923829234</v>
      </c>
    </row>
    <row r="42" spans="1:44" s="2045" customFormat="1" ht="13">
      <c r="A42" s="2903" t="s">
        <v>3364</v>
      </c>
      <c r="B42" s="2031">
        <v>2023</v>
      </c>
      <c r="C42" s="2042">
        <v>3</v>
      </c>
      <c r="D42" s="2007"/>
      <c r="E42" s="2007">
        <v>0.35</v>
      </c>
      <c r="F42" s="2007">
        <v>0.17</v>
      </c>
      <c r="G42" s="2007">
        <v>0.52</v>
      </c>
      <c r="H42" s="2915"/>
      <c r="I42" s="2008">
        <f t="shared" si="174"/>
        <v>0.17</v>
      </c>
      <c r="J42" s="2904"/>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4"/>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4"/>
      <c r="Y42" s="2028"/>
      <c r="Z42" s="2900"/>
      <c r="AA42" s="2901"/>
      <c r="AB42" s="2028"/>
      <c r="AC42" s="2902"/>
      <c r="AD42" s="2028"/>
      <c r="AG42" s="3151">
        <f t="shared" si="129"/>
        <v>104.32</v>
      </c>
      <c r="AH42" s="3151">
        <f t="shared" si="130"/>
        <v>102.86999999999999</v>
      </c>
      <c r="AI42" s="3151">
        <f t="shared" si="131"/>
        <v>107.23</v>
      </c>
      <c r="AJ42" s="3153"/>
      <c r="AK42" s="3151">
        <f t="shared" si="132"/>
        <v>102.86999999999999</v>
      </c>
      <c r="AN42" s="3151">
        <f t="shared" si="148"/>
        <v>103.10345004457108</v>
      </c>
      <c r="AO42" s="3151">
        <f t="shared" si="159"/>
        <v>103.20598385282482</v>
      </c>
      <c r="AP42" s="3151">
        <f t="shared" si="160"/>
        <v>103.72437407351026</v>
      </c>
      <c r="AQ42" s="3151"/>
      <c r="AR42" s="3151">
        <f t="shared" si="161"/>
        <v>103.20598385282482</v>
      </c>
    </row>
    <row r="43" spans="1:44" s="2045" customFormat="1" ht="13">
      <c r="A43" s="2903" t="s">
        <v>3363</v>
      </c>
      <c r="B43" s="2031">
        <v>2023</v>
      </c>
      <c r="C43" s="2042">
        <v>2</v>
      </c>
      <c r="D43" s="2007"/>
      <c r="E43" s="2007">
        <v>0.5</v>
      </c>
      <c r="F43" s="2007">
        <v>0.45</v>
      </c>
      <c r="G43" s="2007">
        <v>0.89</v>
      </c>
      <c r="H43" s="2915"/>
      <c r="I43" s="2008">
        <f t="shared" si="174"/>
        <v>0.45</v>
      </c>
      <c r="J43" s="2904"/>
      <c r="K43" s="2043"/>
      <c r="L43" s="2028">
        <f t="shared" si="184"/>
        <v>5.0000000000000001E-3</v>
      </c>
      <c r="M43" s="2028">
        <f t="shared" si="185"/>
        <v>4.5000000000000005E-3</v>
      </c>
      <c r="N43" s="2028">
        <f t="shared" si="186"/>
        <v>8.8999999999999999E-3</v>
      </c>
      <c r="O43" s="2028"/>
      <c r="P43" s="2028">
        <f t="shared" si="187"/>
        <v>4.5000000000000005E-3</v>
      </c>
      <c r="Q43" s="2904"/>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4"/>
      <c r="Y43" s="2028"/>
      <c r="Z43" s="2900"/>
      <c r="AA43" s="2901"/>
      <c r="AB43" s="2028"/>
      <c r="AC43" s="2902"/>
      <c r="AD43" s="2028"/>
      <c r="AG43" s="3151">
        <f t="shared" si="129"/>
        <v>103.96000000000001</v>
      </c>
      <c r="AH43" s="3151">
        <f t="shared" si="130"/>
        <v>102.69999999999999</v>
      </c>
      <c r="AI43" s="3151">
        <f t="shared" si="131"/>
        <v>106.67999999999999</v>
      </c>
      <c r="AJ43" s="3153"/>
      <c r="AK43" s="3151">
        <f t="shared" si="132"/>
        <v>102.69999999999999</v>
      </c>
      <c r="AN43" s="3151">
        <f t="shared" si="148"/>
        <v>102.74384658153569</v>
      </c>
      <c r="AO43" s="3151">
        <f t="shared" si="159"/>
        <v>103.03083143937786</v>
      </c>
      <c r="AP43" s="3151">
        <f t="shared" si="160"/>
        <v>103.18779752637312</v>
      </c>
      <c r="AQ43" s="3151"/>
      <c r="AR43" s="3151">
        <f t="shared" si="161"/>
        <v>103.03083143937786</v>
      </c>
    </row>
    <row r="44" spans="1:44" s="2045" customFormat="1" ht="13">
      <c r="A44" s="2903" t="s">
        <v>3361</v>
      </c>
      <c r="B44" s="2031">
        <v>2023</v>
      </c>
      <c r="C44" s="2042">
        <v>1</v>
      </c>
      <c r="D44" s="2007"/>
      <c r="E44" s="2007">
        <v>0.55000000000000004</v>
      </c>
      <c r="F44" s="2007">
        <v>0.59</v>
      </c>
      <c r="G44" s="2007">
        <v>0.64</v>
      </c>
      <c r="H44" s="2915"/>
      <c r="I44" s="2008">
        <f t="shared" si="174"/>
        <v>0.59</v>
      </c>
      <c r="J44" s="2904"/>
      <c r="K44" s="2043"/>
      <c r="L44" s="2028">
        <f t="shared" si="184"/>
        <v>5.5000000000000005E-3</v>
      </c>
      <c r="M44" s="2028">
        <f t="shared" si="185"/>
        <v>5.8999999999999999E-3</v>
      </c>
      <c r="N44" s="2028">
        <f t="shared" si="186"/>
        <v>6.4000000000000003E-3</v>
      </c>
      <c r="O44" s="2028"/>
      <c r="P44" s="2028">
        <f t="shared" si="187"/>
        <v>5.8999999999999999E-3</v>
      </c>
      <c r="Q44" s="2904"/>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4"/>
      <c r="Y44" s="2028"/>
      <c r="Z44" s="2900"/>
      <c r="AA44" s="2901"/>
      <c r="AB44" s="2028"/>
      <c r="AC44" s="2902"/>
      <c r="AD44" s="2028"/>
      <c r="AG44" s="3151">
        <f t="shared" si="129"/>
        <v>103.44</v>
      </c>
      <c r="AH44" s="3151">
        <f t="shared" si="130"/>
        <v>102.24</v>
      </c>
      <c r="AI44" s="3151">
        <f t="shared" si="131"/>
        <v>105.74</v>
      </c>
      <c r="AJ44" s="3153"/>
      <c r="AK44" s="3151">
        <f t="shared" si="132"/>
        <v>102.24</v>
      </c>
      <c r="AN44" s="3151">
        <f t="shared" si="148"/>
        <v>102.23268316570717</v>
      </c>
      <c r="AO44" s="3151">
        <f t="shared" si="159"/>
        <v>102.56926972561261</v>
      </c>
      <c r="AP44" s="3151">
        <f t="shared" si="160"/>
        <v>102.27752753134416</v>
      </c>
      <c r="AQ44" s="3151"/>
      <c r="AR44" s="3151">
        <f t="shared" si="161"/>
        <v>102.56926972561261</v>
      </c>
    </row>
    <row r="45" spans="1:44" s="2045" customFormat="1" ht="13">
      <c r="A45" s="2903" t="s">
        <v>3360</v>
      </c>
      <c r="B45" s="2031">
        <v>2022</v>
      </c>
      <c r="C45" s="2042">
        <v>4</v>
      </c>
      <c r="D45" s="2007"/>
      <c r="E45" s="2007">
        <v>0.45</v>
      </c>
      <c r="F45" s="2007">
        <v>0.2</v>
      </c>
      <c r="G45" s="2007">
        <v>0.38</v>
      </c>
      <c r="H45" s="2915"/>
      <c r="I45" s="2008">
        <f t="shared" si="174"/>
        <v>0.2</v>
      </c>
      <c r="J45" s="2904"/>
      <c r="K45" s="2043"/>
      <c r="L45" s="2028">
        <f t="shared" si="175"/>
        <v>4.5000000000000005E-3</v>
      </c>
      <c r="M45" s="2028">
        <f t="shared" si="175"/>
        <v>2E-3</v>
      </c>
      <c r="N45" s="2028">
        <f t="shared" si="175"/>
        <v>3.8E-3</v>
      </c>
      <c r="O45" s="2028"/>
      <c r="P45" s="2028">
        <f t="shared" ref="P45:P52" si="189">M45</f>
        <v>2E-3</v>
      </c>
      <c r="Q45" s="2904"/>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4"/>
      <c r="Y45" s="2028"/>
      <c r="Z45" s="2900">
        <f t="shared" ref="Z45:AD52" si="191">IF(E45=0,0,ROUND(AVERAGE(E45:E53)/100,4))</f>
        <v>4.0000000000000001E-3</v>
      </c>
      <c r="AA45" s="2901">
        <f t="shared" si="191"/>
        <v>2.5999999999999999E-3</v>
      </c>
      <c r="AB45" s="2028">
        <f t="shared" si="191"/>
        <v>7.4000000000000003E-3</v>
      </c>
      <c r="AC45" s="2902"/>
      <c r="AD45" s="2028">
        <f t="shared" si="191"/>
        <v>2.5999999999999999E-3</v>
      </c>
      <c r="AG45" s="3151">
        <f t="shared" si="129"/>
        <v>102.86999999999999</v>
      </c>
      <c r="AH45" s="3151">
        <f t="shared" si="130"/>
        <v>101.64</v>
      </c>
      <c r="AI45" s="3151">
        <f t="shared" si="131"/>
        <v>105.06</v>
      </c>
      <c r="AJ45" s="3153"/>
      <c r="AK45" s="3151">
        <f t="shared" si="132"/>
        <v>101.64</v>
      </c>
      <c r="AN45" s="3151">
        <f t="shared" si="148"/>
        <v>101.67347903103646</v>
      </c>
      <c r="AO45" s="3151">
        <f t="shared" si="159"/>
        <v>101.96766052849449</v>
      </c>
      <c r="AP45" s="3151">
        <f t="shared" si="160"/>
        <v>101.62711400173308</v>
      </c>
      <c r="AQ45" s="3151"/>
      <c r="AR45" s="3151">
        <f t="shared" si="161"/>
        <v>101.96766052849449</v>
      </c>
    </row>
    <row r="46" spans="1:44" s="2045" customFormat="1" ht="13">
      <c r="A46" s="2903" t="s">
        <v>3359</v>
      </c>
      <c r="B46" s="2031">
        <v>2022</v>
      </c>
      <c r="C46" s="2042">
        <v>3</v>
      </c>
      <c r="D46" s="2007"/>
      <c r="E46" s="2007">
        <v>0.3</v>
      </c>
      <c r="F46" s="2007">
        <v>0.28999999999999998</v>
      </c>
      <c r="G46" s="2007">
        <v>0.83</v>
      </c>
      <c r="H46" s="2915"/>
      <c r="I46" s="2008">
        <f t="shared" si="174"/>
        <v>0.28999999999999998</v>
      </c>
      <c r="J46" s="2904"/>
      <c r="K46" s="2043"/>
      <c r="L46" s="2028">
        <f t="shared" si="175"/>
        <v>3.0000000000000001E-3</v>
      </c>
      <c r="M46" s="2028">
        <f t="shared" si="175"/>
        <v>2.8999999999999998E-3</v>
      </c>
      <c r="N46" s="2028">
        <f t="shared" si="175"/>
        <v>8.3000000000000001E-3</v>
      </c>
      <c r="O46" s="2028"/>
      <c r="P46" s="2028">
        <f t="shared" si="189"/>
        <v>2.8999999999999998E-3</v>
      </c>
      <c r="Q46" s="2904"/>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4"/>
      <c r="Y46" s="2028"/>
      <c r="Z46" s="2900">
        <f t="shared" si="191"/>
        <v>3.8999999999999998E-3</v>
      </c>
      <c r="AA46" s="2901">
        <f t="shared" si="191"/>
        <v>2.7000000000000001E-3</v>
      </c>
      <c r="AB46" s="2028">
        <f t="shared" si="191"/>
        <v>7.9000000000000008E-3</v>
      </c>
      <c r="AC46" s="2902"/>
      <c r="AD46" s="2028">
        <f t="shared" si="191"/>
        <v>2.7000000000000001E-3</v>
      </c>
      <c r="AG46" s="3151">
        <f t="shared" si="129"/>
        <v>102.41</v>
      </c>
      <c r="AH46" s="3151">
        <f t="shared" si="130"/>
        <v>101.44</v>
      </c>
      <c r="AI46" s="3151">
        <f t="shared" si="131"/>
        <v>104.67</v>
      </c>
      <c r="AJ46" s="3153"/>
      <c r="AK46" s="3151">
        <f t="shared" si="132"/>
        <v>101.44</v>
      </c>
      <c r="AN46" s="3151">
        <f t="shared" si="148"/>
        <v>101.21799803985711</v>
      </c>
      <c r="AO46" s="3151">
        <f t="shared" si="159"/>
        <v>101.76413226396656</v>
      </c>
      <c r="AP46" s="3151">
        <f t="shared" si="160"/>
        <v>101.24239290868009</v>
      </c>
      <c r="AQ46" s="3151"/>
      <c r="AR46" s="3151">
        <f t="shared" si="161"/>
        <v>101.76413226396656</v>
      </c>
    </row>
    <row r="47" spans="1:44" s="2045" customFormat="1" ht="13">
      <c r="A47" s="2903" t="s">
        <v>3349</v>
      </c>
      <c r="B47" s="2031">
        <v>2022</v>
      </c>
      <c r="C47" s="2042">
        <v>2</v>
      </c>
      <c r="D47" s="2007"/>
      <c r="E47" s="2007">
        <v>-0.11</v>
      </c>
      <c r="F47" s="2007">
        <v>-0.13</v>
      </c>
      <c r="G47" s="2007">
        <v>0.53</v>
      </c>
      <c r="H47" s="2915"/>
      <c r="I47" s="2008">
        <f t="shared" si="174"/>
        <v>-0.13</v>
      </c>
      <c r="J47" s="2904"/>
      <c r="K47" s="2043"/>
      <c r="L47" s="2028">
        <f t="shared" si="175"/>
        <v>-1.1000000000000001E-3</v>
      </c>
      <c r="M47" s="2028">
        <f t="shared" si="175"/>
        <v>-1.2999999999999999E-3</v>
      </c>
      <c r="N47" s="2028">
        <f t="shared" si="175"/>
        <v>5.3E-3</v>
      </c>
      <c r="O47" s="2028"/>
      <c r="P47" s="2028">
        <f t="shared" si="189"/>
        <v>-1.2999999999999999E-3</v>
      </c>
      <c r="Q47" s="2904"/>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4"/>
      <c r="Y47" s="2028"/>
      <c r="Z47" s="2900">
        <f t="shared" si="191"/>
        <v>4.1000000000000003E-3</v>
      </c>
      <c r="AA47" s="2901">
        <f t="shared" si="191"/>
        <v>2.7000000000000001E-3</v>
      </c>
      <c r="AB47" s="2028">
        <f t="shared" si="191"/>
        <v>7.9000000000000008E-3</v>
      </c>
      <c r="AC47" s="2902"/>
      <c r="AD47" s="2028">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100.9152522830081</v>
      </c>
      <c r="AO47" s="3151">
        <f t="shared" si="159"/>
        <v>101.46986964200475</v>
      </c>
      <c r="AP47" s="3151">
        <f t="shared" si="160"/>
        <v>100.40899822342566</v>
      </c>
      <c r="AQ47" s="3151"/>
      <c r="AR47" s="3151">
        <f t="shared" si="161"/>
        <v>101.46986964200475</v>
      </c>
    </row>
    <row r="48" spans="1:44" s="2045" customFormat="1" ht="13">
      <c r="A48" s="2903" t="s">
        <v>2831</v>
      </c>
      <c r="B48" s="2031">
        <v>2022</v>
      </c>
      <c r="C48" s="2042">
        <v>1</v>
      </c>
      <c r="D48" s="2007"/>
      <c r="E48" s="2007">
        <v>0.6</v>
      </c>
      <c r="F48" s="2007">
        <v>0.45</v>
      </c>
      <c r="G48" s="2007">
        <v>0.53</v>
      </c>
      <c r="H48" s="2915"/>
      <c r="I48" s="2008">
        <f t="shared" si="174"/>
        <v>0.45</v>
      </c>
      <c r="J48" s="2904"/>
      <c r="K48" s="2043"/>
      <c r="L48" s="2028">
        <f t="shared" si="175"/>
        <v>6.0000000000000001E-3</v>
      </c>
      <c r="M48" s="2028">
        <f t="shared" si="175"/>
        <v>4.5000000000000005E-3</v>
      </c>
      <c r="N48" s="2028">
        <f t="shared" si="175"/>
        <v>5.3E-3</v>
      </c>
      <c r="O48" s="2028"/>
      <c r="P48" s="2028">
        <f t="shared" si="189"/>
        <v>4.5000000000000005E-3</v>
      </c>
      <c r="Q48" s="2904"/>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4"/>
      <c r="Y48" s="2028"/>
      <c r="Z48" s="2900">
        <f t="shared" si="191"/>
        <v>5.1000000000000004E-3</v>
      </c>
      <c r="AA48" s="2901">
        <f t="shared" si="191"/>
        <v>3.5000000000000001E-3</v>
      </c>
      <c r="AB48" s="2028">
        <f t="shared" si="191"/>
        <v>8.3999999999999995E-3</v>
      </c>
      <c r="AC48" s="2902"/>
      <c r="AD48" s="2028">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101.02638130244078</v>
      </c>
      <c r="AO48" s="3151">
        <f t="shared" si="159"/>
        <v>101.60195217983853</v>
      </c>
      <c r="AP48" s="3151">
        <f t="shared" si="160"/>
        <v>99.879636151820989</v>
      </c>
      <c r="AQ48" s="3151"/>
      <c r="AR48" s="3151">
        <f t="shared" si="161"/>
        <v>101.60195217983853</v>
      </c>
    </row>
    <row r="49" spans="1:44" s="2045" customFormat="1" ht="13">
      <c r="A49" s="2903" t="s">
        <v>2832</v>
      </c>
      <c r="B49" s="2031">
        <v>2021</v>
      </c>
      <c r="C49" s="2042">
        <v>4</v>
      </c>
      <c r="D49" s="2007"/>
      <c r="E49" s="2007">
        <v>0.57999999999999996</v>
      </c>
      <c r="F49" s="2007">
        <v>0.08</v>
      </c>
      <c r="G49" s="2007">
        <v>0.68</v>
      </c>
      <c r="H49" s="2915"/>
      <c r="I49" s="2008">
        <f t="shared" si="174"/>
        <v>0.08</v>
      </c>
      <c r="J49" s="2904"/>
      <c r="K49" s="2043"/>
      <c r="L49" s="2028">
        <f t="shared" si="175"/>
        <v>5.7999999999999996E-3</v>
      </c>
      <c r="M49" s="2028">
        <f t="shared" si="175"/>
        <v>8.0000000000000004E-4</v>
      </c>
      <c r="N49" s="2028">
        <f t="shared" si="175"/>
        <v>6.8000000000000005E-3</v>
      </c>
      <c r="O49" s="2028"/>
      <c r="P49" s="2028">
        <f t="shared" si="189"/>
        <v>8.0000000000000004E-4</v>
      </c>
      <c r="Q49" s="2904"/>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4"/>
      <c r="Y49" s="2028"/>
      <c r="Z49" s="2900">
        <f t="shared" si="191"/>
        <v>4.8999999999999998E-3</v>
      </c>
      <c r="AA49" s="2901">
        <f t="shared" si="191"/>
        <v>3.3E-3</v>
      </c>
      <c r="AB49" s="2028">
        <f t="shared" si="191"/>
        <v>9.1999999999999998E-3</v>
      </c>
      <c r="AC49" s="2902"/>
      <c r="AD49" s="2028">
        <f t="shared" si="191"/>
        <v>3.3E-3</v>
      </c>
      <c r="AG49" s="3151">
        <f t="shared" si="129"/>
        <v>101.61</v>
      </c>
      <c r="AH49" s="3151">
        <f t="shared" si="130"/>
        <v>100.82</v>
      </c>
      <c r="AI49" s="3151">
        <f t="shared" si="131"/>
        <v>102.71</v>
      </c>
      <c r="AJ49" s="3153"/>
      <c r="AK49" s="3151">
        <f t="shared" si="132"/>
        <v>100.82</v>
      </c>
      <c r="AN49" s="3151">
        <f t="shared" si="148"/>
        <v>100.42383827280396</v>
      </c>
      <c r="AO49" s="3151">
        <f t="shared" si="159"/>
        <v>101.14679161755951</v>
      </c>
      <c r="AP49" s="3151">
        <f t="shared" si="160"/>
        <v>99.353064907809596</v>
      </c>
      <c r="AQ49" s="3151"/>
      <c r="AR49" s="3151">
        <f t="shared" si="161"/>
        <v>101.14679161755951</v>
      </c>
    </row>
    <row r="50" spans="1:44" s="2045" customFormat="1" ht="13">
      <c r="A50" s="2903" t="s">
        <v>2833</v>
      </c>
      <c r="B50" s="2031">
        <v>2021</v>
      </c>
      <c r="C50" s="2042">
        <v>3</v>
      </c>
      <c r="D50" s="2007"/>
      <c r="E50" s="2007">
        <v>0.47</v>
      </c>
      <c r="F50" s="2007">
        <v>0.28000000000000003</v>
      </c>
      <c r="G50" s="2007">
        <v>0.91</v>
      </c>
      <c r="H50" s="2915"/>
      <c r="I50" s="2008">
        <f t="shared" si="174"/>
        <v>0.28000000000000003</v>
      </c>
      <c r="J50" s="2904"/>
      <c r="K50" s="2043"/>
      <c r="L50" s="2028">
        <f t="shared" si="175"/>
        <v>4.6999999999999993E-3</v>
      </c>
      <c r="M50" s="2028">
        <f t="shared" si="175"/>
        <v>2.8000000000000004E-3</v>
      </c>
      <c r="N50" s="2028">
        <f t="shared" si="175"/>
        <v>9.1000000000000004E-3</v>
      </c>
      <c r="O50" s="2028"/>
      <c r="P50" s="2028">
        <f t="shared" si="189"/>
        <v>2.8000000000000004E-3</v>
      </c>
      <c r="Q50" s="2904"/>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4"/>
      <c r="Y50" s="2028"/>
      <c r="Z50" s="2900">
        <f t="shared" si="191"/>
        <v>4.5999999999999999E-3</v>
      </c>
      <c r="AA50" s="2901">
        <f t="shared" si="191"/>
        <v>4.1000000000000003E-3</v>
      </c>
      <c r="AB50" s="2028">
        <f t="shared" si="191"/>
        <v>0.01</v>
      </c>
      <c r="AC50" s="2902"/>
      <c r="AD50" s="2028">
        <f t="shared" si="191"/>
        <v>4.1000000000000003E-3</v>
      </c>
      <c r="AG50" s="3151">
        <f t="shared" si="129"/>
        <v>101.02</v>
      </c>
      <c r="AH50" s="3151">
        <f t="shared" si="130"/>
        <v>100.74000000000001</v>
      </c>
      <c r="AI50" s="3151">
        <f t="shared" si="131"/>
        <v>102.02</v>
      </c>
      <c r="AJ50" s="3153"/>
      <c r="AK50" s="3151">
        <f t="shared" si="132"/>
        <v>100.74000000000001</v>
      </c>
      <c r="AN50" s="3151">
        <f t="shared" si="148"/>
        <v>99.844738787834515</v>
      </c>
      <c r="AO50" s="3151">
        <f t="shared" si="159"/>
        <v>101.06593886646635</v>
      </c>
      <c r="AP50" s="3151">
        <f t="shared" si="160"/>
        <v>98.682027123370688</v>
      </c>
      <c r="AQ50" s="3151"/>
      <c r="AR50" s="3151">
        <f t="shared" si="161"/>
        <v>101.06593886646635</v>
      </c>
    </row>
    <row r="51" spans="1:44" s="2045" customFormat="1" ht="13">
      <c r="A51" s="2903" t="s">
        <v>2834</v>
      </c>
      <c r="B51" s="2031">
        <v>2021</v>
      </c>
      <c r="C51" s="2042">
        <v>2</v>
      </c>
      <c r="D51" s="2007"/>
      <c r="E51" s="2007">
        <v>0.55000000000000004</v>
      </c>
      <c r="F51" s="2007">
        <v>0.46</v>
      </c>
      <c r="G51" s="2007">
        <v>1.1000000000000001</v>
      </c>
      <c r="H51" s="2915"/>
      <c r="I51" s="2008">
        <f t="shared" si="174"/>
        <v>0.46</v>
      </c>
      <c r="J51" s="2904"/>
      <c r="K51" s="2043"/>
      <c r="L51" s="2028">
        <f t="shared" si="175"/>
        <v>5.5000000000000005E-3</v>
      </c>
      <c r="M51" s="2028">
        <f t="shared" si="175"/>
        <v>4.5999999999999999E-3</v>
      </c>
      <c r="N51" s="2028">
        <f t="shared" si="175"/>
        <v>1.1000000000000001E-2</v>
      </c>
      <c r="O51" s="2028"/>
      <c r="P51" s="2028">
        <f t="shared" si="189"/>
        <v>4.5999999999999999E-3</v>
      </c>
      <c r="Q51" s="2904"/>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4"/>
      <c r="Y51" s="2028"/>
      <c r="Z51" s="2900">
        <f t="shared" si="191"/>
        <v>4.4999999999999997E-3</v>
      </c>
      <c r="AA51" s="2901">
        <f t="shared" si="191"/>
        <v>4.7000000000000002E-3</v>
      </c>
      <c r="AB51" s="2028">
        <f t="shared" si="191"/>
        <v>1.04E-2</v>
      </c>
      <c r="AC51" s="2902"/>
      <c r="AD51" s="2028">
        <f t="shared" si="191"/>
        <v>4.7000000000000002E-3</v>
      </c>
      <c r="AG51" s="3151">
        <f>$AG$52*S51</f>
        <v>100.55000000000001</v>
      </c>
      <c r="AH51" s="3151">
        <f t="shared" ref="AH51:AK51" si="192">$AG$52*T51</f>
        <v>100.46</v>
      </c>
      <c r="AI51" s="3151">
        <f t="shared" si="192"/>
        <v>101.1</v>
      </c>
      <c r="AJ51" s="3153"/>
      <c r="AK51" s="3151">
        <f t="shared" si="192"/>
        <v>100.46</v>
      </c>
      <c r="AN51" s="3151">
        <f t="shared" si="148"/>
        <v>99.377663768124336</v>
      </c>
      <c r="AO51" s="3151">
        <f t="shared" si="159"/>
        <v>100.78374438219622</v>
      </c>
      <c r="AP51" s="3151">
        <f t="shared" si="160"/>
        <v>97.7921188419093</v>
      </c>
      <c r="AQ51" s="3151"/>
      <c r="AR51" s="3151">
        <f t="shared" si="161"/>
        <v>100.78374438219622</v>
      </c>
    </row>
    <row r="52" spans="1:44" s="2926" customFormat="1" ht="14.5" thickBot="1">
      <c r="A52" s="2916" t="s">
        <v>2820</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98.83407634820918</v>
      </c>
      <c r="AO52" s="3158">
        <f t="shared" si="159"/>
        <v>100.32226197710156</v>
      </c>
      <c r="AP52" s="3158">
        <f t="shared" si="160"/>
        <v>96.728109635914251</v>
      </c>
      <c r="AQ52" s="3158"/>
      <c r="AR52" s="3158">
        <f t="shared" si="161"/>
        <v>100.32226197710156</v>
      </c>
    </row>
    <row r="53" spans="1:44" ht="14.5" thickTop="1"/>
    <row r="54" spans="1:44">
      <c r="A54" s="3141" t="s">
        <v>3374</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80" t="s">
        <v>452</v>
      </c>
      <c r="C1" s="3580"/>
      <c r="D1" s="3580"/>
      <c r="E1" s="3580"/>
      <c r="F1" s="3580"/>
      <c r="G1" s="3576" t="s">
        <v>453</v>
      </c>
      <c r="H1" s="3576"/>
      <c r="I1" s="3576"/>
      <c r="J1" s="3576"/>
      <c r="K1" s="3576"/>
      <c r="L1" s="3576"/>
      <c r="N1" s="3576" t="s">
        <v>454</v>
      </c>
      <c r="O1" s="3576"/>
      <c r="P1" s="3576"/>
      <c r="Q1" s="3576"/>
      <c r="S1" s="3576" t="s">
        <v>455</v>
      </c>
      <c r="T1" s="3576"/>
      <c r="U1" s="3576"/>
      <c r="V1" s="3576"/>
      <c r="X1" s="3575" t="s">
        <v>456</v>
      </c>
      <c r="Y1" s="3576"/>
      <c r="Z1" s="3576"/>
      <c r="AA1" s="3576"/>
      <c r="AB1" s="3576"/>
      <c r="AD1" s="3575" t="s">
        <v>457</v>
      </c>
      <c r="AE1" s="3576"/>
      <c r="AF1" s="3576"/>
      <c r="AG1" s="3576"/>
      <c r="AH1" s="3576"/>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3357</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3354</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3355</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3356</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2432</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2309</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2308</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2307</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2304</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2303</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78">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78"/>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78"/>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85"/>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581">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78"/>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78"/>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85"/>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81">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78"/>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78"/>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79"/>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77">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78"/>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78"/>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79"/>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77">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78"/>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78"/>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79"/>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82">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83"/>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83"/>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84"/>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77">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78"/>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78"/>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579"/>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77">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78">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78">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79">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77">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78">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78">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79">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77">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78">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78">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79">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77">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78">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78">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79">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77">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78">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78">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79">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77">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78">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78">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79">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77">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78">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78">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79">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77">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78">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78">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79">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77">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78">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78">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579">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77">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78">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78">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579">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0" customWidth="1"/>
    <col min="2" max="2" width="18.6328125" style="2780" customWidth="1"/>
    <col min="3" max="6" width="10.26953125" style="2780" customWidth="1"/>
    <col min="7" max="7" width="10.453125" style="2780" bestFit="1" customWidth="1"/>
    <col min="8" max="8" width="8.90625" style="2779"/>
    <col min="9" max="9" width="13.36328125" style="2779" customWidth="1"/>
    <col min="10" max="13" width="13.36328125" style="2780" customWidth="1"/>
    <col min="14" max="14" width="18.26953125" style="2780" customWidth="1"/>
    <col min="15" max="17" width="15.08984375" style="2780" customWidth="1"/>
    <col min="18" max="20" width="11.453125" style="2780" customWidth="1"/>
    <col min="21" max="16384" width="8.90625" style="2780"/>
  </cols>
  <sheetData>
    <row r="1" spans="1:20" ht="12.5" thickBot="1">
      <c r="A1" s="3588" t="s">
        <v>2835</v>
      </c>
      <c r="B1" s="3588"/>
      <c r="C1" s="3588"/>
      <c r="D1" s="3588"/>
      <c r="E1" s="3588"/>
      <c r="F1" s="3588"/>
      <c r="G1" s="3589"/>
      <c r="I1" s="2936" t="s">
        <v>2836</v>
      </c>
      <c r="J1" s="2937" t="s">
        <v>2837</v>
      </c>
      <c r="K1" s="2937" t="s">
        <v>2838</v>
      </c>
      <c r="L1" s="2937" t="s">
        <v>2839</v>
      </c>
      <c r="M1" s="2937" t="s">
        <v>2840</v>
      </c>
      <c r="N1" s="2937" t="s">
        <v>2841</v>
      </c>
      <c r="O1" s="2937" t="s">
        <v>2842</v>
      </c>
      <c r="P1" s="2937" t="s">
        <v>2843</v>
      </c>
      <c r="Q1" s="2937" t="s">
        <v>2844</v>
      </c>
      <c r="R1" s="2937" t="s">
        <v>2845</v>
      </c>
      <c r="S1" s="2937" t="s">
        <v>2846</v>
      </c>
      <c r="T1" s="2938" t="s">
        <v>2847</v>
      </c>
    </row>
    <row r="2" spans="1:20" ht="12.5" thickBot="1">
      <c r="A2" s="2939" t="s">
        <v>2848</v>
      </c>
      <c r="B2" s="2939"/>
      <c r="C2" s="2939"/>
      <c r="D2" s="2939"/>
      <c r="E2" s="2939"/>
      <c r="F2" s="2939"/>
      <c r="G2" s="2940" t="s">
        <v>2849</v>
      </c>
      <c r="I2" s="2941" t="s">
        <v>2850</v>
      </c>
      <c r="J2" s="2941" t="s">
        <v>2851</v>
      </c>
      <c r="K2" s="2941" t="s">
        <v>2852</v>
      </c>
      <c r="L2" s="2941" t="s">
        <v>2853</v>
      </c>
      <c r="M2" s="2941" t="s">
        <v>2854</v>
      </c>
      <c r="N2" s="2941" t="s">
        <v>2855</v>
      </c>
      <c r="O2" s="2941" t="s">
        <v>2856</v>
      </c>
      <c r="P2" s="2941" t="s">
        <v>2857</v>
      </c>
      <c r="Q2" s="2941" t="s">
        <v>2858</v>
      </c>
      <c r="R2" s="2941" t="s">
        <v>2859</v>
      </c>
      <c r="S2" s="2941" t="s">
        <v>2860</v>
      </c>
      <c r="T2" s="2941" t="s">
        <v>2861</v>
      </c>
    </row>
    <row r="3" spans="1:20" s="2947" customFormat="1">
      <c r="A3" s="3586" t="s">
        <v>2862</v>
      </c>
      <c r="B3" s="2942"/>
      <c r="C3" s="2943" t="s">
        <v>2807</v>
      </c>
      <c r="D3" s="2943" t="s">
        <v>2863</v>
      </c>
      <c r="E3" s="2943" t="s">
        <v>2809</v>
      </c>
      <c r="F3" s="2943" t="s">
        <v>2864</v>
      </c>
      <c r="G3" s="2943" t="s">
        <v>2627</v>
      </c>
      <c r="H3" s="2944"/>
      <c r="I3" s="2945" t="s">
        <v>2865</v>
      </c>
      <c r="J3" s="2946" t="s">
        <v>128</v>
      </c>
      <c r="K3" s="2946" t="s">
        <v>129</v>
      </c>
      <c r="L3" s="2945" t="s">
        <v>130</v>
      </c>
      <c r="M3" s="2945" t="s">
        <v>131</v>
      </c>
      <c r="N3" s="2945" t="s">
        <v>132</v>
      </c>
      <c r="O3" s="2945" t="s">
        <v>133</v>
      </c>
      <c r="P3" s="2945" t="s">
        <v>134</v>
      </c>
      <c r="Q3" s="2945" t="s">
        <v>135</v>
      </c>
      <c r="R3" s="2945" t="s">
        <v>136</v>
      </c>
      <c r="S3" s="2945" t="s">
        <v>2866</v>
      </c>
      <c r="T3" s="2945" t="s">
        <v>2867</v>
      </c>
    </row>
    <row r="4" spans="1:20" s="2947" customFormat="1" ht="12.5" thickBot="1">
      <c r="A4" s="3587"/>
      <c r="B4" s="2948" t="s">
        <v>2868</v>
      </c>
      <c r="C4" s="2948" t="s">
        <v>2869</v>
      </c>
      <c r="D4" s="2948" t="s">
        <v>2869</v>
      </c>
      <c r="E4" s="2948" t="s">
        <v>2869</v>
      </c>
      <c r="F4" s="2949" t="s">
        <v>2869</v>
      </c>
      <c r="G4" s="2949" t="s">
        <v>2869</v>
      </c>
      <c r="H4" s="2944"/>
      <c r="I4" s="2946" t="s">
        <v>137</v>
      </c>
      <c r="J4" s="2946" t="s">
        <v>111</v>
      </c>
      <c r="K4" s="2946" t="s">
        <v>138</v>
      </c>
      <c r="L4" s="2945" t="s">
        <v>139</v>
      </c>
      <c r="M4" s="2945" t="s">
        <v>140</v>
      </c>
      <c r="N4" s="2945" t="s">
        <v>141</v>
      </c>
      <c r="O4" s="2945" t="s">
        <v>142</v>
      </c>
      <c r="P4" s="2945" t="s">
        <v>143</v>
      </c>
      <c r="Q4" s="2945" t="s">
        <v>2870</v>
      </c>
      <c r="R4" s="2945" t="s">
        <v>2871</v>
      </c>
      <c r="S4" s="2945" t="s">
        <v>2872</v>
      </c>
      <c r="T4" s="2945" t="s">
        <v>2873</v>
      </c>
    </row>
    <row r="5" spans="1:20">
      <c r="A5" s="2950" t="s">
        <v>2836</v>
      </c>
      <c r="B5" s="2941" t="s">
        <v>2850</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2874</v>
      </c>
      <c r="R5" s="2945" t="s">
        <v>2875</v>
      </c>
      <c r="S5" s="2945" t="s">
        <v>153</v>
      </c>
      <c r="T5" s="2945" t="s">
        <v>2876</v>
      </c>
    </row>
    <row r="6" spans="1:20" ht="12.5" thickBot="1">
      <c r="A6" s="2945" t="s">
        <v>144</v>
      </c>
      <c r="B6" s="2945" t="s">
        <v>2865</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2877</v>
      </c>
      <c r="Q6" s="2945" t="s">
        <v>2878</v>
      </c>
      <c r="R6" s="2945" t="s">
        <v>161</v>
      </c>
      <c r="S6" s="2945" t="s">
        <v>2879</v>
      </c>
      <c r="T6" s="2945" t="s">
        <v>2880</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2881</v>
      </c>
      <c r="Q7" s="2945" t="s">
        <v>2882</v>
      </c>
      <c r="R7" s="2945" t="s">
        <v>2883</v>
      </c>
      <c r="S7" s="2945" t="s">
        <v>2884</v>
      </c>
      <c r="T7" s="2945" t="s">
        <v>2885</v>
      </c>
    </row>
    <row r="8" spans="1:20" ht="12.5"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2886</v>
      </c>
      <c r="Q8" s="2945" t="s">
        <v>174</v>
      </c>
      <c r="R8" s="2945" t="s">
        <v>2887</v>
      </c>
      <c r="S8" s="2945" t="s">
        <v>2888</v>
      </c>
      <c r="T8" s="2952" t="s">
        <v>2889</v>
      </c>
    </row>
    <row r="9" spans="1:20" ht="12.5"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2890</v>
      </c>
      <c r="Q9" s="2945" t="s">
        <v>182</v>
      </c>
      <c r="R9" s="2945" t="s">
        <v>183</v>
      </c>
      <c r="S9" s="2945" t="s">
        <v>200</v>
      </c>
    </row>
    <row r="10" spans="1:20">
      <c r="A10" s="2950" t="s">
        <v>184</v>
      </c>
      <c r="B10" s="2941" t="s">
        <v>2851</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2891</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2892</v>
      </c>
      <c r="P11" s="2945" t="s">
        <v>191</v>
      </c>
      <c r="Q11" s="2945" t="s">
        <v>199</v>
      </c>
      <c r="R11" s="2945" t="s">
        <v>2893</v>
      </c>
      <c r="S11" s="2945" t="s">
        <v>2894</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2895</v>
      </c>
      <c r="P12" s="2945" t="s">
        <v>2896</v>
      </c>
      <c r="Q12" s="2945" t="s">
        <v>2897</v>
      </c>
      <c r="R12" s="2945" t="s">
        <v>2898</v>
      </c>
      <c r="S12" s="2945" t="s">
        <v>2899</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2900</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2901</v>
      </c>
      <c r="K14" s="2946" t="s">
        <v>215</v>
      </c>
      <c r="L14" s="2945" t="s">
        <v>216</v>
      </c>
      <c r="M14" s="2945" t="s">
        <v>217</v>
      </c>
      <c r="N14" s="2945" t="s">
        <v>218</v>
      </c>
      <c r="O14" s="2945" t="s">
        <v>240</v>
      </c>
      <c r="P14" s="2945" t="s">
        <v>213</v>
      </c>
      <c r="Q14" s="2945" t="s">
        <v>2902</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2903</v>
      </c>
      <c r="P15" s="2945" t="s">
        <v>2904</v>
      </c>
      <c r="Q15" s="2945" t="s">
        <v>242</v>
      </c>
      <c r="R15" s="2945" t="s">
        <v>2905</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2906</v>
      </c>
      <c r="P16" s="2945" t="s">
        <v>227</v>
      </c>
      <c r="Q16" s="2945" t="s">
        <v>250</v>
      </c>
      <c r="R16" s="2945" t="s">
        <v>207</v>
      </c>
      <c r="S16" s="2945" t="s">
        <v>2907</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2908</v>
      </c>
      <c r="P17" s="2945" t="s">
        <v>2909</v>
      </c>
      <c r="Q17" s="2945" t="s">
        <v>256</v>
      </c>
      <c r="R17" s="2945" t="s">
        <v>2910</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2911</v>
      </c>
      <c r="P18" s="2945" t="s">
        <v>241</v>
      </c>
      <c r="Q18" s="2945" t="s">
        <v>2912</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2913</v>
      </c>
      <c r="P19" s="2945" t="s">
        <v>249</v>
      </c>
      <c r="Q19" s="2945" t="s">
        <v>2914</v>
      </c>
      <c r="R19" s="2945" t="s">
        <v>265</v>
      </c>
      <c r="S19" s="2945" t="s">
        <v>2915</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2916</v>
      </c>
      <c r="P20" s="2945" t="s">
        <v>2917</v>
      </c>
      <c r="Q20" s="2945" t="s">
        <v>290</v>
      </c>
      <c r="R20" s="2945" t="s">
        <v>2918</v>
      </c>
      <c r="S20" s="2945" t="s">
        <v>277</v>
      </c>
    </row>
    <row r="21" spans="1:19" ht="14.25" customHeight="1" thickBot="1">
      <c r="A21" s="2945" t="s">
        <v>184</v>
      </c>
      <c r="B21" s="2946" t="s">
        <v>208</v>
      </c>
      <c r="C21" s="2945">
        <v>32370</v>
      </c>
      <c r="D21" s="2945">
        <v>26730</v>
      </c>
      <c r="E21" s="2945">
        <v>26640</v>
      </c>
      <c r="F21" s="2945"/>
      <c r="G21" s="2945">
        <v>19440</v>
      </c>
      <c r="J21" s="2952" t="s">
        <v>2919</v>
      </c>
      <c r="K21" s="2946" t="s">
        <v>267</v>
      </c>
      <c r="L21" s="2945" t="s">
        <v>268</v>
      </c>
      <c r="M21" s="2945" t="s">
        <v>269</v>
      </c>
      <c r="N21" s="2945" t="s">
        <v>270</v>
      </c>
      <c r="O21" s="2945" t="s">
        <v>264</v>
      </c>
      <c r="P21" s="2945" t="s">
        <v>283</v>
      </c>
      <c r="Q21" s="2945" t="s">
        <v>293</v>
      </c>
      <c r="R21" s="2945" t="s">
        <v>2920</v>
      </c>
      <c r="S21" s="2952" t="s">
        <v>2921</v>
      </c>
    </row>
    <row r="22" spans="1:19" ht="14.25" customHeight="1">
      <c r="A22" s="2945" t="s">
        <v>184</v>
      </c>
      <c r="B22" s="2946" t="s">
        <v>2901</v>
      </c>
      <c r="C22" s="2945">
        <v>29830</v>
      </c>
      <c r="D22" s="2945">
        <v>27600</v>
      </c>
      <c r="E22" s="2945">
        <v>28150</v>
      </c>
      <c r="F22" s="2945"/>
      <c r="G22" s="2945">
        <v>20080</v>
      </c>
      <c r="K22" s="2946" t="s">
        <v>2922</v>
      </c>
      <c r="L22" s="2945" t="s">
        <v>272</v>
      </c>
      <c r="M22" s="2945" t="s">
        <v>273</v>
      </c>
      <c r="N22" s="2945" t="s">
        <v>274</v>
      </c>
      <c r="O22" s="2945" t="s">
        <v>2923</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2924</v>
      </c>
      <c r="L23" s="2945" t="s">
        <v>278</v>
      </c>
      <c r="M23" s="2945" t="s">
        <v>279</v>
      </c>
      <c r="N23" s="2945" t="s">
        <v>2925</v>
      </c>
      <c r="O23" s="2945" t="s">
        <v>2926</v>
      </c>
      <c r="P23" s="2945" t="s">
        <v>289</v>
      </c>
      <c r="Q23" s="2945" t="s">
        <v>298</v>
      </c>
      <c r="R23" s="2945" t="s">
        <v>2927</v>
      </c>
    </row>
    <row r="24" spans="1:19" ht="14.25" customHeight="1">
      <c r="A24" s="2945" t="s">
        <v>184</v>
      </c>
      <c r="B24" s="2946" t="s">
        <v>230</v>
      </c>
      <c r="C24" s="2945">
        <v>27930</v>
      </c>
      <c r="D24" s="2945">
        <v>32260</v>
      </c>
      <c r="E24" s="2945">
        <v>32120</v>
      </c>
      <c r="F24" s="2945"/>
      <c r="G24" s="2945">
        <v>23470</v>
      </c>
      <c r="K24" s="2946" t="s">
        <v>2928</v>
      </c>
      <c r="L24" s="2945" t="s">
        <v>281</v>
      </c>
      <c r="M24" s="2945" t="s">
        <v>282</v>
      </c>
      <c r="N24" s="2945" t="s">
        <v>2929</v>
      </c>
      <c r="O24" s="2945" t="s">
        <v>285</v>
      </c>
      <c r="P24" s="2945" t="s">
        <v>2930</v>
      </c>
      <c r="Q24" s="2954" t="s">
        <v>2931</v>
      </c>
      <c r="R24" s="2945" t="s">
        <v>2932</v>
      </c>
    </row>
    <row r="25" spans="1:19" ht="14.25" customHeight="1">
      <c r="A25" s="2945" t="s">
        <v>184</v>
      </c>
      <c r="B25" s="2946" t="s">
        <v>235</v>
      </c>
      <c r="C25" s="2945">
        <v>32230</v>
      </c>
      <c r="D25" s="2945">
        <v>29640</v>
      </c>
      <c r="E25" s="2945">
        <v>29510</v>
      </c>
      <c r="F25" s="2945"/>
      <c r="G25" s="2945">
        <v>21560</v>
      </c>
      <c r="K25" s="2946" t="s">
        <v>2933</v>
      </c>
      <c r="L25" s="2945" t="s">
        <v>2934</v>
      </c>
      <c r="M25" s="2945" t="s">
        <v>284</v>
      </c>
      <c r="N25" s="2945" t="s">
        <v>292</v>
      </c>
      <c r="O25" s="2945" t="s">
        <v>288</v>
      </c>
      <c r="P25" s="2945" t="s">
        <v>275</v>
      </c>
      <c r="Q25" s="2954" t="s">
        <v>271</v>
      </c>
      <c r="R25" s="2945" t="s">
        <v>2935</v>
      </c>
    </row>
    <row r="26" spans="1:19" ht="14.25" customHeight="1" thickBot="1">
      <c r="A26" s="2945" t="s">
        <v>184</v>
      </c>
      <c r="B26" s="2946" t="s">
        <v>244</v>
      </c>
      <c r="C26" s="2945">
        <v>31690</v>
      </c>
      <c r="D26" s="2945">
        <v>27650</v>
      </c>
      <c r="E26" s="2945">
        <v>28200</v>
      </c>
      <c r="F26" s="2945"/>
      <c r="G26" s="2945">
        <v>20110</v>
      </c>
      <c r="K26" s="2951" t="s">
        <v>2936</v>
      </c>
      <c r="L26" s="2945" t="s">
        <v>2937</v>
      </c>
      <c r="M26" s="2945" t="s">
        <v>287</v>
      </c>
      <c r="N26" s="2945" t="s">
        <v>294</v>
      </c>
      <c r="O26" s="2945" t="s">
        <v>2938</v>
      </c>
      <c r="P26" s="2945" t="s">
        <v>2939</v>
      </c>
      <c r="Q26" s="2954" t="s">
        <v>276</v>
      </c>
      <c r="R26" s="2945" t="s">
        <v>2940</v>
      </c>
    </row>
    <row r="27" spans="1:19" ht="14.25" customHeight="1">
      <c r="A27" s="2945" t="s">
        <v>184</v>
      </c>
      <c r="B27" s="2946" t="s">
        <v>251</v>
      </c>
      <c r="C27" s="2945">
        <v>29610</v>
      </c>
      <c r="D27" s="2945">
        <v>27770</v>
      </c>
      <c r="E27" s="2945">
        <v>28300</v>
      </c>
      <c r="F27" s="2945"/>
      <c r="G27" s="2945">
        <v>20210</v>
      </c>
      <c r="L27" s="2945" t="s">
        <v>2941</v>
      </c>
      <c r="M27" s="2945" t="s">
        <v>291</v>
      </c>
      <c r="N27" s="2945" t="s">
        <v>297</v>
      </c>
      <c r="O27" s="2945" t="s">
        <v>2942</v>
      </c>
      <c r="P27" s="2945" t="s">
        <v>2943</v>
      </c>
      <c r="Q27" s="2945" t="s">
        <v>2944</v>
      </c>
      <c r="R27" s="2945" t="s">
        <v>2945</v>
      </c>
    </row>
    <row r="28" spans="1:19" ht="14.25" customHeight="1">
      <c r="A28" s="2945" t="s">
        <v>184</v>
      </c>
      <c r="B28" s="2946" t="s">
        <v>259</v>
      </c>
      <c r="C28" s="2945"/>
      <c r="D28" s="2945">
        <v>31520</v>
      </c>
      <c r="E28" s="2945">
        <v>31410</v>
      </c>
      <c r="F28" s="2945"/>
      <c r="G28" s="2945">
        <v>22940</v>
      </c>
      <c r="L28" s="2945" t="s">
        <v>2946</v>
      </c>
      <c r="M28" s="2945" t="s">
        <v>2947</v>
      </c>
      <c r="N28" s="2945" t="s">
        <v>2948</v>
      </c>
      <c r="O28" s="2945" t="s">
        <v>2949</v>
      </c>
      <c r="P28" s="2945" t="s">
        <v>2950</v>
      </c>
      <c r="Q28" s="2945" t="s">
        <v>2951</v>
      </c>
      <c r="R28" s="2945" t="s">
        <v>2952</v>
      </c>
    </row>
    <row r="29" spans="1:19" ht="14.25" customHeight="1" thickBot="1">
      <c r="A29" s="2953" t="s">
        <v>184</v>
      </c>
      <c r="B29" s="2955" t="s">
        <v>2919</v>
      </c>
      <c r="C29" s="2956"/>
      <c r="D29" s="2956">
        <v>29460</v>
      </c>
      <c r="E29" s="2956">
        <v>28640</v>
      </c>
      <c r="F29" s="2956"/>
      <c r="G29" s="2956">
        <v>21430</v>
      </c>
      <c r="L29" s="2945" t="s">
        <v>2953</v>
      </c>
      <c r="M29" s="2945" t="s">
        <v>2954</v>
      </c>
      <c r="N29" s="2945" t="s">
        <v>2955</v>
      </c>
      <c r="O29" s="2945" t="s">
        <v>2956</v>
      </c>
      <c r="P29" s="2945" t="s">
        <v>2957</v>
      </c>
      <c r="Q29" s="2945" t="s">
        <v>2958</v>
      </c>
      <c r="R29" s="2945" t="s">
        <v>280</v>
      </c>
    </row>
    <row r="30" spans="1:19" ht="14.25" customHeight="1">
      <c r="A30" s="2950" t="s">
        <v>296</v>
      </c>
      <c r="B30" s="2941" t="s">
        <v>2852</v>
      </c>
      <c r="C30" s="2941">
        <v>26890</v>
      </c>
      <c r="D30" s="2941">
        <v>26770</v>
      </c>
      <c r="E30" s="2941">
        <v>25700</v>
      </c>
      <c r="F30" s="2941">
        <v>8180</v>
      </c>
      <c r="G30" s="2957">
        <v>18740</v>
      </c>
      <c r="L30" s="2945" t="s">
        <v>2959</v>
      </c>
      <c r="M30" s="2945" t="s">
        <v>2960</v>
      </c>
      <c r="N30" s="2945" t="s">
        <v>2961</v>
      </c>
      <c r="O30" s="2945" t="s">
        <v>2962</v>
      </c>
      <c r="P30" s="2945" t="s">
        <v>2963</v>
      </c>
      <c r="Q30" s="2945" t="s">
        <v>2964</v>
      </c>
      <c r="R30" s="2945" t="s">
        <v>2965</v>
      </c>
    </row>
    <row r="31" spans="1:19" ht="14.25" customHeight="1">
      <c r="A31" s="2945" t="s">
        <v>296</v>
      </c>
      <c r="B31" s="2946" t="s">
        <v>129</v>
      </c>
      <c r="C31" s="2945">
        <v>24550</v>
      </c>
      <c r="D31" s="2945">
        <v>23990</v>
      </c>
      <c r="E31" s="2945">
        <v>22930</v>
      </c>
      <c r="F31" s="2945">
        <v>7470</v>
      </c>
      <c r="G31" s="2958">
        <v>16790</v>
      </c>
      <c r="L31" s="2945" t="s">
        <v>2966</v>
      </c>
      <c r="M31" s="2945" t="s">
        <v>2967</v>
      </c>
      <c r="N31" s="2945" t="s">
        <v>2968</v>
      </c>
      <c r="O31" s="2945" t="s">
        <v>2969</v>
      </c>
      <c r="P31" s="2945" t="s">
        <v>2970</v>
      </c>
      <c r="Q31" s="2945" t="s">
        <v>2971</v>
      </c>
      <c r="R31" s="2945" t="s">
        <v>2972</v>
      </c>
    </row>
    <row r="32" spans="1:19" ht="14.25" customHeight="1" thickBot="1">
      <c r="A32" s="2945" t="s">
        <v>296</v>
      </c>
      <c r="B32" s="2946" t="s">
        <v>138</v>
      </c>
      <c r="C32" s="2945">
        <v>27210</v>
      </c>
      <c r="D32" s="2945">
        <v>23240</v>
      </c>
      <c r="E32" s="2945">
        <v>23260</v>
      </c>
      <c r="F32" s="2945">
        <v>7130</v>
      </c>
      <c r="G32" s="2958">
        <v>16270</v>
      </c>
      <c r="L32" s="2945" t="s">
        <v>2973</v>
      </c>
      <c r="M32" s="2945" t="s">
        <v>2974</v>
      </c>
      <c r="N32" s="2945" t="s">
        <v>300</v>
      </c>
      <c r="O32" s="2945" t="s">
        <v>2975</v>
      </c>
      <c r="P32" s="2945" t="s">
        <v>299</v>
      </c>
      <c r="Q32" s="2945" t="s">
        <v>2976</v>
      </c>
      <c r="R32" s="2952" t="s">
        <v>2977</v>
      </c>
    </row>
    <row r="33" spans="1:17" ht="14.25" customHeight="1" thickBot="1">
      <c r="A33" s="2945" t="s">
        <v>296</v>
      </c>
      <c r="B33" s="2946" t="s">
        <v>147</v>
      </c>
      <c r="C33" s="2945">
        <v>27300</v>
      </c>
      <c r="D33" s="2945">
        <v>22980</v>
      </c>
      <c r="E33" s="2945">
        <v>24260</v>
      </c>
      <c r="F33" s="2945">
        <v>5860</v>
      </c>
      <c r="G33" s="2958">
        <v>16090</v>
      </c>
      <c r="L33" s="2952" t="s">
        <v>2978</v>
      </c>
      <c r="M33" s="2945" t="s">
        <v>2979</v>
      </c>
      <c r="N33" s="2945" t="s">
        <v>301</v>
      </c>
      <c r="O33" s="2945" t="s">
        <v>2980</v>
      </c>
      <c r="P33" s="2945" t="s">
        <v>2981</v>
      </c>
      <c r="Q33" s="2945" t="s">
        <v>2982</v>
      </c>
    </row>
    <row r="34" spans="1:17" ht="14.25" customHeight="1">
      <c r="A34" s="2945" t="s">
        <v>296</v>
      </c>
      <c r="B34" s="2946" t="s">
        <v>156</v>
      </c>
      <c r="C34" s="2945">
        <v>23090</v>
      </c>
      <c r="D34" s="2945">
        <v>23390</v>
      </c>
      <c r="E34" s="2945">
        <v>23510</v>
      </c>
      <c r="F34" s="2945">
        <v>6700</v>
      </c>
      <c r="G34" s="2958">
        <v>16370</v>
      </c>
      <c r="M34" s="2945" t="s">
        <v>2983</v>
      </c>
      <c r="N34" s="2945" t="s">
        <v>302</v>
      </c>
      <c r="O34" s="2945" t="s">
        <v>2984</v>
      </c>
      <c r="P34" s="2945" t="s">
        <v>2985</v>
      </c>
      <c r="Q34" s="2945" t="s">
        <v>2986</v>
      </c>
    </row>
    <row r="35" spans="1:17" ht="14.25" customHeight="1">
      <c r="A35" s="2945" t="s">
        <v>296</v>
      </c>
      <c r="B35" s="2946" t="s">
        <v>163</v>
      </c>
      <c r="C35" s="2945">
        <v>27270</v>
      </c>
      <c r="D35" s="2945">
        <v>24270</v>
      </c>
      <c r="E35" s="2945">
        <v>24950</v>
      </c>
      <c r="F35" s="2945">
        <v>6600</v>
      </c>
      <c r="G35" s="2958">
        <v>16990</v>
      </c>
      <c r="M35" s="2945" t="s">
        <v>2987</v>
      </c>
      <c r="N35" s="2945" t="s">
        <v>2988</v>
      </c>
      <c r="O35" s="2945" t="s">
        <v>2989</v>
      </c>
      <c r="P35" s="2945" t="s">
        <v>2990</v>
      </c>
      <c r="Q35" s="2945" t="s">
        <v>2991</v>
      </c>
    </row>
    <row r="36" spans="1:17" ht="14.25" customHeight="1">
      <c r="A36" s="2945" t="s">
        <v>296</v>
      </c>
      <c r="B36" s="2946" t="s">
        <v>169</v>
      </c>
      <c r="C36" s="2945">
        <v>23490</v>
      </c>
      <c r="D36" s="2945">
        <v>23020</v>
      </c>
      <c r="E36" s="2945">
        <v>25230</v>
      </c>
      <c r="F36" s="2945">
        <v>6780</v>
      </c>
      <c r="G36" s="2958">
        <v>16120</v>
      </c>
      <c r="M36" s="2945" t="s">
        <v>2992</v>
      </c>
      <c r="N36" s="2945" t="s">
        <v>2993</v>
      </c>
      <c r="O36" s="2945" t="s">
        <v>2994</v>
      </c>
      <c r="P36" s="2945" t="s">
        <v>2995</v>
      </c>
      <c r="Q36" s="2945" t="s">
        <v>2996</v>
      </c>
    </row>
    <row r="37" spans="1:17" ht="14.25" customHeight="1">
      <c r="A37" s="2945" t="s">
        <v>296</v>
      </c>
      <c r="B37" s="2946" t="s">
        <v>176</v>
      </c>
      <c r="C37" s="2945">
        <v>24380</v>
      </c>
      <c r="D37" s="2945">
        <v>22240</v>
      </c>
      <c r="E37" s="2945">
        <v>25980</v>
      </c>
      <c r="F37" s="2945">
        <v>8160</v>
      </c>
      <c r="G37" s="2958">
        <v>15570</v>
      </c>
      <c r="M37" s="2945" t="s">
        <v>2997</v>
      </c>
      <c r="N37" s="2945" t="s">
        <v>2998</v>
      </c>
      <c r="O37" s="2945" t="s">
        <v>2999</v>
      </c>
      <c r="P37" s="2945" t="s">
        <v>3000</v>
      </c>
      <c r="Q37" s="2945" t="s">
        <v>3001</v>
      </c>
    </row>
    <row r="38" spans="1:17" ht="14.25" customHeight="1">
      <c r="A38" s="2945" t="s">
        <v>296</v>
      </c>
      <c r="B38" s="2946" t="s">
        <v>186</v>
      </c>
      <c r="C38" s="2945">
        <v>23120</v>
      </c>
      <c r="D38" s="2945">
        <v>24630</v>
      </c>
      <c r="E38" s="2945">
        <v>25030</v>
      </c>
      <c r="F38" s="2945">
        <v>7710</v>
      </c>
      <c r="G38" s="2958">
        <v>17240</v>
      </c>
      <c r="M38" s="2945" t="s">
        <v>3002</v>
      </c>
      <c r="N38" s="2945" t="s">
        <v>3003</v>
      </c>
      <c r="O38" s="2945" t="s">
        <v>3004</v>
      </c>
      <c r="P38" s="2945" t="s">
        <v>3005</v>
      </c>
      <c r="Q38" s="2945" t="s">
        <v>3006</v>
      </c>
    </row>
    <row r="39" spans="1:17" ht="14.25" customHeight="1">
      <c r="A39" s="2945" t="s">
        <v>296</v>
      </c>
      <c r="B39" s="2946" t="s">
        <v>195</v>
      </c>
      <c r="C39" s="2945">
        <v>22330</v>
      </c>
      <c r="D39" s="2945">
        <v>21140</v>
      </c>
      <c r="E39" s="2945">
        <v>23970</v>
      </c>
      <c r="F39" s="2945">
        <v>7940</v>
      </c>
      <c r="G39" s="2958">
        <v>14790</v>
      </c>
      <c r="M39" s="2945" t="s">
        <v>3007</v>
      </c>
      <c r="N39" s="2945" t="s">
        <v>3008</v>
      </c>
      <c r="O39" s="2945" t="s">
        <v>3009</v>
      </c>
      <c r="P39" s="2945" t="s">
        <v>3010</v>
      </c>
      <c r="Q39" s="2945" t="s">
        <v>3011</v>
      </c>
    </row>
    <row r="40" spans="1:17" ht="14.25" customHeight="1">
      <c r="A40" s="2945" t="s">
        <v>296</v>
      </c>
      <c r="B40" s="2946" t="s">
        <v>202</v>
      </c>
      <c r="C40" s="2945">
        <v>24740</v>
      </c>
      <c r="D40" s="2945">
        <v>24690</v>
      </c>
      <c r="E40" s="2945">
        <v>22610</v>
      </c>
      <c r="F40" s="2945"/>
      <c r="G40" s="2958">
        <v>17280</v>
      </c>
      <c r="M40" s="2945" t="s">
        <v>3012</v>
      </c>
      <c r="N40" s="2945" t="s">
        <v>3013</v>
      </c>
      <c r="O40" s="2945" t="s">
        <v>3014</v>
      </c>
      <c r="P40" s="2945" t="s">
        <v>3015</v>
      </c>
      <c r="Q40" s="2945" t="s">
        <v>3016</v>
      </c>
    </row>
    <row r="41" spans="1:17" ht="14.25" customHeight="1" thickBot="1">
      <c r="A41" s="2945" t="s">
        <v>296</v>
      </c>
      <c r="B41" s="2946" t="s">
        <v>209</v>
      </c>
      <c r="C41" s="2945">
        <v>21220</v>
      </c>
      <c r="D41" s="2945">
        <v>21120</v>
      </c>
      <c r="E41" s="2945">
        <v>22590</v>
      </c>
      <c r="F41" s="2945"/>
      <c r="G41" s="2958">
        <v>14780</v>
      </c>
      <c r="M41" s="2952" t="s">
        <v>3017</v>
      </c>
      <c r="N41" s="2945" t="s">
        <v>3018</v>
      </c>
      <c r="O41" s="2945" t="s">
        <v>3019</v>
      </c>
      <c r="P41" s="2945" t="s">
        <v>3020</v>
      </c>
      <c r="Q41" s="2945" t="s">
        <v>3021</v>
      </c>
    </row>
    <row r="42" spans="1:17" ht="14.25" customHeight="1">
      <c r="A42" s="2945" t="s">
        <v>296</v>
      </c>
      <c r="B42" s="2946" t="s">
        <v>215</v>
      </c>
      <c r="C42" s="2945">
        <v>24800</v>
      </c>
      <c r="D42" s="2945">
        <v>22280</v>
      </c>
      <c r="E42" s="2945">
        <v>24350</v>
      </c>
      <c r="F42" s="2945"/>
      <c r="G42" s="2958">
        <v>15590</v>
      </c>
      <c r="N42" s="2945" t="s">
        <v>3022</v>
      </c>
      <c r="O42" s="2945" t="s">
        <v>3023</v>
      </c>
      <c r="P42" s="2945" t="s">
        <v>3024</v>
      </c>
      <c r="Q42" s="2945" t="s">
        <v>3025</v>
      </c>
    </row>
    <row r="43" spans="1:17" ht="14.25" customHeight="1">
      <c r="A43" s="2945" t="s">
        <v>3026</v>
      </c>
      <c r="B43" s="2946" t="s">
        <v>223</v>
      </c>
      <c r="C43" s="2945">
        <v>21210</v>
      </c>
      <c r="D43" s="2945">
        <v>21160</v>
      </c>
      <c r="E43" s="2945">
        <v>22650</v>
      </c>
      <c r="F43" s="2945"/>
      <c r="G43" s="2958">
        <v>14800</v>
      </c>
      <c r="N43" s="2945" t="s">
        <v>3027</v>
      </c>
      <c r="O43" s="2945" t="s">
        <v>3028</v>
      </c>
      <c r="P43" s="2945" t="s">
        <v>3029</v>
      </c>
      <c r="Q43" s="2945" t="s">
        <v>3030</v>
      </c>
    </row>
    <row r="44" spans="1:17" ht="14.25" customHeight="1" thickBot="1">
      <c r="A44" s="2945" t="s">
        <v>296</v>
      </c>
      <c r="B44" s="2946" t="s">
        <v>231</v>
      </c>
      <c r="C44" s="2945">
        <v>22370</v>
      </c>
      <c r="D44" s="2945">
        <v>23140</v>
      </c>
      <c r="E44" s="2945">
        <v>25090</v>
      </c>
      <c r="F44" s="2945"/>
      <c r="G44" s="2958">
        <v>16190</v>
      </c>
      <c r="N44" s="2945" t="s">
        <v>3031</v>
      </c>
      <c r="O44" s="2945" t="s">
        <v>3032</v>
      </c>
      <c r="P44" s="2952" t="s">
        <v>3033</v>
      </c>
      <c r="Q44" s="2945" t="s">
        <v>3034</v>
      </c>
    </row>
    <row r="45" spans="1:17" ht="14.25" customHeight="1" thickBot="1">
      <c r="A45" s="2945" t="s">
        <v>296</v>
      </c>
      <c r="B45" s="2946" t="s">
        <v>236</v>
      </c>
      <c r="C45" s="2945">
        <v>21240</v>
      </c>
      <c r="D45" s="2945">
        <v>27050</v>
      </c>
      <c r="E45" s="2945">
        <v>28000</v>
      </c>
      <c r="F45" s="2945"/>
      <c r="G45" s="2958">
        <v>18940</v>
      </c>
      <c r="N45" s="2945" t="s">
        <v>3035</v>
      </c>
      <c r="O45" s="2952" t="s">
        <v>3036</v>
      </c>
      <c r="Q45" s="2945" t="s">
        <v>3037</v>
      </c>
    </row>
    <row r="46" spans="1:17" ht="14.25" customHeight="1">
      <c r="A46" s="2945" t="s">
        <v>296</v>
      </c>
      <c r="B46" s="2946" t="s">
        <v>245</v>
      </c>
      <c r="C46" s="2945">
        <v>23240</v>
      </c>
      <c r="D46" s="2945">
        <v>23000</v>
      </c>
      <c r="E46" s="2945">
        <v>24980</v>
      </c>
      <c r="F46" s="2945"/>
      <c r="G46" s="2958">
        <v>16100</v>
      </c>
      <c r="N46" s="2945" t="s">
        <v>3038</v>
      </c>
      <c r="Q46" s="2945" t="s">
        <v>3039</v>
      </c>
    </row>
    <row r="47" spans="1:17" ht="14.25" customHeight="1">
      <c r="A47" s="2945" t="s">
        <v>296</v>
      </c>
      <c r="B47" s="2946" t="s">
        <v>252</v>
      </c>
      <c r="C47" s="2945">
        <v>27150</v>
      </c>
      <c r="D47" s="2945">
        <v>23310</v>
      </c>
      <c r="E47" s="2945">
        <v>25150</v>
      </c>
      <c r="F47" s="2945"/>
      <c r="G47" s="2958">
        <v>16310</v>
      </c>
      <c r="N47" s="2945" t="s">
        <v>3040</v>
      </c>
      <c r="Q47" s="2945" t="s">
        <v>3041</v>
      </c>
    </row>
    <row r="48" spans="1:17" ht="14.25" customHeight="1">
      <c r="A48" s="2945" t="s">
        <v>296</v>
      </c>
      <c r="B48" s="2946" t="s">
        <v>260</v>
      </c>
      <c r="C48" s="2945">
        <v>23100</v>
      </c>
      <c r="D48" s="2945">
        <v>21110</v>
      </c>
      <c r="E48" s="2945">
        <v>23080</v>
      </c>
      <c r="F48" s="2945"/>
      <c r="G48" s="2958">
        <v>14780</v>
      </c>
      <c r="N48" s="2945" t="s">
        <v>3042</v>
      </c>
      <c r="Q48" s="2945" t="s">
        <v>3043</v>
      </c>
    </row>
    <row r="49" spans="1:17" ht="14.25" customHeight="1">
      <c r="A49" s="2945" t="s">
        <v>296</v>
      </c>
      <c r="B49" s="2946" t="s">
        <v>267</v>
      </c>
      <c r="C49" s="2945">
        <v>23400</v>
      </c>
      <c r="D49" s="2945">
        <v>22920</v>
      </c>
      <c r="E49" s="2945">
        <v>24900</v>
      </c>
      <c r="F49" s="2945"/>
      <c r="G49" s="2958">
        <v>16040</v>
      </c>
      <c r="N49" s="2945" t="s">
        <v>3044</v>
      </c>
      <c r="Q49" s="2945" t="s">
        <v>3045</v>
      </c>
    </row>
    <row r="50" spans="1:17" ht="14.25" customHeight="1">
      <c r="A50" s="2945" t="s">
        <v>296</v>
      </c>
      <c r="B50" s="2946" t="s">
        <v>2922</v>
      </c>
      <c r="C50" s="2945">
        <v>21200</v>
      </c>
      <c r="D50" s="2945">
        <v>26540</v>
      </c>
      <c r="E50" s="2945">
        <v>23200</v>
      </c>
      <c r="F50" s="2945"/>
      <c r="G50" s="2958">
        <v>18580</v>
      </c>
      <c r="N50" s="2945" t="s">
        <v>3046</v>
      </c>
      <c r="Q50" s="2946" t="s">
        <v>3047</v>
      </c>
    </row>
    <row r="51" spans="1:17" ht="14.25" customHeight="1" thickBot="1">
      <c r="A51" s="2945" t="s">
        <v>296</v>
      </c>
      <c r="B51" s="2946" t="s">
        <v>2924</v>
      </c>
      <c r="C51" s="2945">
        <v>23000</v>
      </c>
      <c r="D51" s="2945">
        <v>23460</v>
      </c>
      <c r="E51" s="2945">
        <v>25290</v>
      </c>
      <c r="F51" s="2945"/>
      <c r="G51" s="2958">
        <v>16420</v>
      </c>
      <c r="N51" s="2945" t="s">
        <v>3048</v>
      </c>
      <c r="Q51" s="2952" t="s">
        <v>3049</v>
      </c>
    </row>
    <row r="52" spans="1:17" ht="14.25" customHeight="1">
      <c r="A52" s="2945" t="s">
        <v>296</v>
      </c>
      <c r="B52" s="2946" t="s">
        <v>2928</v>
      </c>
      <c r="C52" s="2945">
        <v>26660</v>
      </c>
      <c r="D52" s="2945">
        <v>22350</v>
      </c>
      <c r="E52" s="2945">
        <v>22920</v>
      </c>
      <c r="F52" s="2945"/>
      <c r="G52" s="2958">
        <v>15640</v>
      </c>
      <c r="N52" s="2945" t="s">
        <v>3050</v>
      </c>
    </row>
    <row r="53" spans="1:17" ht="14.25" customHeight="1">
      <c r="A53" s="2945" t="s">
        <v>296</v>
      </c>
      <c r="B53" s="2946" t="s">
        <v>2933</v>
      </c>
      <c r="C53" s="2945">
        <v>23580</v>
      </c>
      <c r="D53" s="2945"/>
      <c r="E53" s="2945">
        <v>24280</v>
      </c>
      <c r="F53" s="2945"/>
      <c r="G53" s="2958"/>
      <c r="N53" s="2945" t="s">
        <v>3051</v>
      </c>
    </row>
    <row r="54" spans="1:17" ht="14.25" customHeight="1" thickBot="1">
      <c r="A54" s="2959" t="s">
        <v>296</v>
      </c>
      <c r="B54" s="2951" t="s">
        <v>2936</v>
      </c>
      <c r="C54" s="2952">
        <v>22460</v>
      </c>
      <c r="D54" s="2952"/>
      <c r="E54" s="2952"/>
      <c r="F54" s="2952"/>
      <c r="G54" s="2960"/>
      <c r="N54" s="2945" t="s">
        <v>3052</v>
      </c>
    </row>
    <row r="55" spans="1:17" ht="14.25" customHeight="1">
      <c r="A55" s="2950" t="s">
        <v>110</v>
      </c>
      <c r="B55" s="2941" t="s">
        <v>3053</v>
      </c>
      <c r="C55" s="2945">
        <v>21970</v>
      </c>
      <c r="D55" s="2945">
        <v>20370</v>
      </c>
      <c r="E55" s="2945">
        <v>20180</v>
      </c>
      <c r="F55" s="2945">
        <v>5730</v>
      </c>
      <c r="G55" s="2945">
        <v>13820</v>
      </c>
      <c r="N55" s="2945" t="s">
        <v>3054</v>
      </c>
    </row>
    <row r="56" spans="1:17" ht="14.25" customHeight="1">
      <c r="A56" s="2945" t="s">
        <v>110</v>
      </c>
      <c r="B56" s="2945" t="s">
        <v>130</v>
      </c>
      <c r="C56" s="2945">
        <v>20470</v>
      </c>
      <c r="D56" s="2945">
        <v>20700</v>
      </c>
      <c r="E56" s="2945">
        <v>20380</v>
      </c>
      <c r="F56" s="2945">
        <v>4760</v>
      </c>
      <c r="G56" s="2945">
        <v>14050</v>
      </c>
      <c r="N56" s="2945" t="s">
        <v>3055</v>
      </c>
    </row>
    <row r="57" spans="1:17" ht="14.25" customHeight="1">
      <c r="A57" s="2945" t="s">
        <v>110</v>
      </c>
      <c r="B57" s="2945" t="s">
        <v>139</v>
      </c>
      <c r="C57" s="2945">
        <v>20790</v>
      </c>
      <c r="D57" s="2945">
        <v>21370</v>
      </c>
      <c r="E57" s="2945">
        <v>20890</v>
      </c>
      <c r="F57" s="2945">
        <v>4910</v>
      </c>
      <c r="G57" s="2945">
        <v>14510</v>
      </c>
      <c r="N57" s="2945" t="s">
        <v>3056</v>
      </c>
    </row>
    <row r="58" spans="1:17" ht="14.25" customHeight="1">
      <c r="A58" s="2945" t="s">
        <v>110</v>
      </c>
      <c r="B58" s="2945" t="s">
        <v>148</v>
      </c>
      <c r="C58" s="2945">
        <v>21460</v>
      </c>
      <c r="D58" s="2945">
        <v>20920</v>
      </c>
      <c r="E58" s="2945">
        <v>23410</v>
      </c>
      <c r="F58" s="2945">
        <v>5100</v>
      </c>
      <c r="G58" s="2945">
        <v>14200</v>
      </c>
      <c r="N58" s="2945" t="s">
        <v>3057</v>
      </c>
    </row>
    <row r="59" spans="1:17" ht="14.25" customHeight="1">
      <c r="A59" s="2945" t="s">
        <v>110</v>
      </c>
      <c r="B59" s="2945" t="s">
        <v>157</v>
      </c>
      <c r="C59" s="2945">
        <v>21000</v>
      </c>
      <c r="D59" s="2945">
        <v>21550</v>
      </c>
      <c r="E59" s="2945">
        <v>21150</v>
      </c>
      <c r="F59" s="2945">
        <v>5250</v>
      </c>
      <c r="G59" s="2945">
        <v>14630</v>
      </c>
      <c r="N59" s="2945" t="s">
        <v>3058</v>
      </c>
    </row>
    <row r="60" spans="1:17" ht="14.25" customHeight="1">
      <c r="A60" s="2945" t="s">
        <v>110</v>
      </c>
      <c r="B60" s="2945" t="s">
        <v>164</v>
      </c>
      <c r="C60" s="2945">
        <v>21640</v>
      </c>
      <c r="D60" s="2945">
        <v>21260</v>
      </c>
      <c r="E60" s="2945">
        <v>24040</v>
      </c>
      <c r="F60" s="2945">
        <v>4470</v>
      </c>
      <c r="G60" s="2945">
        <v>14430</v>
      </c>
      <c r="N60" s="2945" t="s">
        <v>3059</v>
      </c>
    </row>
    <row r="61" spans="1:17" ht="14.25" customHeight="1">
      <c r="A61" s="2945" t="s">
        <v>110</v>
      </c>
      <c r="B61" s="2945" t="s">
        <v>170</v>
      </c>
      <c r="C61" s="2945">
        <v>21330</v>
      </c>
      <c r="D61" s="2945">
        <v>18640</v>
      </c>
      <c r="E61" s="2945">
        <v>21190</v>
      </c>
      <c r="F61" s="2945">
        <v>4180</v>
      </c>
      <c r="G61" s="2945">
        <v>12650</v>
      </c>
      <c r="N61" s="2945" t="s">
        <v>3060</v>
      </c>
    </row>
    <row r="62" spans="1:17" ht="14.25" customHeight="1">
      <c r="A62" s="2945" t="s">
        <v>110</v>
      </c>
      <c r="B62" s="2945" t="s">
        <v>177</v>
      </c>
      <c r="C62" s="2945">
        <v>18710</v>
      </c>
      <c r="D62" s="2945">
        <v>19400</v>
      </c>
      <c r="E62" s="2945">
        <v>23750</v>
      </c>
      <c r="F62" s="2945">
        <v>4860</v>
      </c>
      <c r="G62" s="2945">
        <v>13170</v>
      </c>
      <c r="N62" s="2945" t="s">
        <v>3061</v>
      </c>
    </row>
    <row r="63" spans="1:17" ht="14.25" customHeight="1">
      <c r="A63" s="2945" t="s">
        <v>110</v>
      </c>
      <c r="B63" s="2945" t="s">
        <v>187</v>
      </c>
      <c r="C63" s="2945">
        <v>19480</v>
      </c>
      <c r="D63" s="2945">
        <v>16830</v>
      </c>
      <c r="E63" s="2945">
        <v>21590</v>
      </c>
      <c r="F63" s="2945">
        <v>4560</v>
      </c>
      <c r="G63" s="2945">
        <v>11420</v>
      </c>
      <c r="N63" s="2945" t="s">
        <v>3062</v>
      </c>
    </row>
    <row r="64" spans="1:17" ht="14.25" customHeight="1" thickBot="1">
      <c r="A64" s="2945" t="s">
        <v>110</v>
      </c>
      <c r="B64" s="2945" t="s">
        <v>196</v>
      </c>
      <c r="C64" s="2945">
        <v>16920</v>
      </c>
      <c r="D64" s="2945">
        <v>19190</v>
      </c>
      <c r="E64" s="2945">
        <v>22200</v>
      </c>
      <c r="F64" s="2945">
        <v>4390</v>
      </c>
      <c r="G64" s="2945">
        <v>13030</v>
      </c>
      <c r="N64" s="2952" t="s">
        <v>3063</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2934</v>
      </c>
      <c r="C78" s="2945">
        <v>19820</v>
      </c>
      <c r="D78" s="2945">
        <v>19780</v>
      </c>
      <c r="E78" s="2945">
        <v>18560</v>
      </c>
      <c r="F78" s="2945"/>
      <c r="G78" s="2945">
        <v>13430</v>
      </c>
    </row>
    <row r="79" spans="1:7" s="2779" customFormat="1" ht="14.25" customHeight="1">
      <c r="A79" s="2945" t="s">
        <v>110</v>
      </c>
      <c r="B79" s="2945" t="s">
        <v>2937</v>
      </c>
      <c r="C79" s="2945">
        <v>21660</v>
      </c>
      <c r="D79" s="2945">
        <v>18000</v>
      </c>
      <c r="E79" s="2945">
        <v>22570</v>
      </c>
      <c r="F79" s="2945"/>
      <c r="G79" s="2945">
        <v>12220</v>
      </c>
    </row>
    <row r="80" spans="1:7" s="2779" customFormat="1" ht="14.25" customHeight="1">
      <c r="A80" s="2945" t="s">
        <v>110</v>
      </c>
      <c r="B80" s="2945" t="s">
        <v>2941</v>
      </c>
      <c r="C80" s="2945">
        <v>19850</v>
      </c>
      <c r="D80" s="2945"/>
      <c r="E80" s="2945">
        <v>21700</v>
      </c>
      <c r="F80" s="2945"/>
      <c r="G80" s="2945"/>
    </row>
    <row r="81" spans="1:7" s="2779" customFormat="1" ht="14.25" customHeight="1">
      <c r="A81" s="2945" t="s">
        <v>110</v>
      </c>
      <c r="B81" s="2945" t="s">
        <v>2946</v>
      </c>
      <c r="C81" s="2945">
        <v>18080</v>
      </c>
      <c r="D81" s="2945"/>
      <c r="E81" s="2945">
        <v>20900</v>
      </c>
      <c r="F81" s="2945"/>
      <c r="G81" s="2945"/>
    </row>
    <row r="82" spans="1:7" s="2779" customFormat="1" ht="14.25" customHeight="1">
      <c r="A82" s="2945" t="s">
        <v>110</v>
      </c>
      <c r="B82" s="2945" t="s">
        <v>2953</v>
      </c>
      <c r="C82" s="2945"/>
      <c r="D82" s="2945"/>
      <c r="E82" s="2945">
        <v>20840</v>
      </c>
      <c r="F82" s="2945"/>
      <c r="G82" s="2945"/>
    </row>
    <row r="83" spans="1:7" s="2779" customFormat="1" ht="14.25" customHeight="1">
      <c r="A83" s="2945" t="s">
        <v>110</v>
      </c>
      <c r="B83" s="2945" t="s">
        <v>3064</v>
      </c>
      <c r="C83" s="2945"/>
      <c r="D83" s="2945"/>
      <c r="E83" s="2945"/>
      <c r="F83" s="2945">
        <v>4770</v>
      </c>
      <c r="G83" s="2945"/>
    </row>
    <row r="84" spans="1:7" s="2779" customFormat="1" ht="14.25" customHeight="1">
      <c r="A84" s="2945" t="s">
        <v>110</v>
      </c>
      <c r="B84" s="2945" t="s">
        <v>3065</v>
      </c>
      <c r="C84" s="2945"/>
      <c r="D84" s="2945"/>
      <c r="E84" s="2945"/>
      <c r="F84" s="2945">
        <v>4600</v>
      </c>
      <c r="G84" s="2945"/>
    </row>
    <row r="85" spans="1:7" s="2779" customFormat="1" ht="14.25" customHeight="1">
      <c r="A85" s="2945" t="s">
        <v>110</v>
      </c>
      <c r="B85" s="2945" t="s">
        <v>3066</v>
      </c>
      <c r="C85" s="2945"/>
      <c r="D85" s="2945"/>
      <c r="E85" s="2945"/>
      <c r="F85" s="2945">
        <v>4680</v>
      </c>
      <c r="G85" s="2945"/>
    </row>
    <row r="86" spans="1:7" s="2779" customFormat="1" ht="14.25" customHeight="1" thickBot="1">
      <c r="A86" s="2953" t="s">
        <v>110</v>
      </c>
      <c r="B86" s="2955" t="s">
        <v>3067</v>
      </c>
      <c r="C86" s="2956">
        <v>16610</v>
      </c>
      <c r="D86" s="2956">
        <v>16540</v>
      </c>
      <c r="E86" s="2956">
        <v>18850</v>
      </c>
      <c r="F86" s="2956"/>
      <c r="G86" s="2956">
        <v>11220</v>
      </c>
    </row>
    <row r="87" spans="1:7" s="2779" customFormat="1" ht="14.25" customHeight="1">
      <c r="A87" s="2950" t="s">
        <v>303</v>
      </c>
      <c r="B87" s="2941" t="s">
        <v>3068</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2947</v>
      </c>
      <c r="C113" s="2945">
        <v>15520</v>
      </c>
      <c r="D113" s="2945">
        <v>15450</v>
      </c>
      <c r="E113" s="2945"/>
      <c r="F113" s="2945"/>
      <c r="G113" s="2958">
        <v>10210</v>
      </c>
    </row>
    <row r="114" spans="1:7" s="2779" customFormat="1" ht="14.25" customHeight="1">
      <c r="A114" s="2945" t="s">
        <v>303</v>
      </c>
      <c r="B114" s="2945" t="s">
        <v>2954</v>
      </c>
      <c r="C114" s="2945">
        <v>13110</v>
      </c>
      <c r="D114" s="2945">
        <v>13050</v>
      </c>
      <c r="E114" s="2945"/>
      <c r="F114" s="2945"/>
      <c r="G114" s="2958">
        <v>8620</v>
      </c>
    </row>
    <row r="115" spans="1:7" s="2779" customFormat="1" ht="14.25" customHeight="1">
      <c r="A115" s="2945" t="s">
        <v>303</v>
      </c>
      <c r="B115" s="2945" t="s">
        <v>2960</v>
      </c>
      <c r="C115" s="2945">
        <v>12460</v>
      </c>
      <c r="D115" s="2945">
        <v>12390</v>
      </c>
      <c r="E115" s="2945"/>
      <c r="F115" s="2945"/>
      <c r="G115" s="2958">
        <v>8190</v>
      </c>
    </row>
    <row r="116" spans="1:7" s="2779" customFormat="1" ht="14.25" customHeight="1">
      <c r="A116" s="2945" t="s">
        <v>303</v>
      </c>
      <c r="B116" s="2945" t="s">
        <v>2967</v>
      </c>
      <c r="C116" s="2945">
        <v>13580</v>
      </c>
      <c r="D116" s="2945">
        <v>13520</v>
      </c>
      <c r="E116" s="2945"/>
      <c r="F116" s="2945"/>
      <c r="G116" s="2958">
        <v>8930</v>
      </c>
    </row>
    <row r="117" spans="1:7" s="2779" customFormat="1" ht="14.25" customHeight="1">
      <c r="A117" s="2945" t="s">
        <v>303</v>
      </c>
      <c r="B117" s="2945" t="s">
        <v>2974</v>
      </c>
      <c r="C117" s="2945">
        <v>17120</v>
      </c>
      <c r="D117" s="2945">
        <v>17040</v>
      </c>
      <c r="E117" s="2945"/>
      <c r="F117" s="2945"/>
      <c r="G117" s="2958">
        <v>11260</v>
      </c>
    </row>
    <row r="118" spans="1:7" s="2779" customFormat="1" ht="14.25" customHeight="1">
      <c r="A118" s="2945" t="s">
        <v>303</v>
      </c>
      <c r="B118" s="2945" t="s">
        <v>2979</v>
      </c>
      <c r="C118" s="2945">
        <v>14860</v>
      </c>
      <c r="D118" s="2945">
        <v>14790</v>
      </c>
      <c r="E118" s="2945"/>
      <c r="F118" s="2945"/>
      <c r="G118" s="2958">
        <v>9780</v>
      </c>
    </row>
    <row r="119" spans="1:7" s="2779" customFormat="1" ht="14.25" customHeight="1">
      <c r="A119" s="2945" t="s">
        <v>303</v>
      </c>
      <c r="B119" s="2945" t="s">
        <v>2983</v>
      </c>
      <c r="C119" s="2945">
        <v>16470</v>
      </c>
      <c r="D119" s="2945">
        <v>16400</v>
      </c>
      <c r="E119" s="2945"/>
      <c r="F119" s="2945"/>
      <c r="G119" s="2958">
        <v>10840</v>
      </c>
    </row>
    <row r="120" spans="1:7" s="2779" customFormat="1" ht="14.25" customHeight="1">
      <c r="A120" s="2945" t="s">
        <v>303</v>
      </c>
      <c r="B120" s="2945" t="s">
        <v>3069</v>
      </c>
      <c r="C120" s="2945"/>
      <c r="D120" s="2945"/>
      <c r="E120" s="2945"/>
      <c r="F120" s="2945">
        <v>4160</v>
      </c>
      <c r="G120" s="2958"/>
    </row>
    <row r="121" spans="1:7" s="2779" customFormat="1" ht="14.25" customHeight="1">
      <c r="A121" s="2945" t="s">
        <v>303</v>
      </c>
      <c r="B121" s="2945" t="s">
        <v>3070</v>
      </c>
      <c r="C121" s="2945"/>
      <c r="D121" s="2945"/>
      <c r="E121" s="2945"/>
      <c r="F121" s="2945">
        <v>3880</v>
      </c>
      <c r="G121" s="2958"/>
    </row>
    <row r="122" spans="1:7" s="2779" customFormat="1" ht="14.25" customHeight="1">
      <c r="A122" s="2945" t="s">
        <v>303</v>
      </c>
      <c r="B122" s="2945" t="s">
        <v>3071</v>
      </c>
      <c r="C122" s="2945">
        <v>13750</v>
      </c>
      <c r="D122" s="2945">
        <v>13680</v>
      </c>
      <c r="E122" s="2945">
        <v>16460</v>
      </c>
      <c r="F122" s="2945">
        <v>2880</v>
      </c>
      <c r="G122" s="2958">
        <v>9040</v>
      </c>
    </row>
    <row r="123" spans="1:7" s="2779" customFormat="1" ht="14.25" customHeight="1">
      <c r="A123" s="2945" t="s">
        <v>303</v>
      </c>
      <c r="B123" s="2945" t="s">
        <v>3002</v>
      </c>
      <c r="C123" s="2945">
        <v>13590</v>
      </c>
      <c r="D123" s="2945">
        <v>13520</v>
      </c>
      <c r="E123" s="2945">
        <v>16290</v>
      </c>
      <c r="F123" s="2945">
        <v>2790</v>
      </c>
      <c r="G123" s="2958">
        <v>8930</v>
      </c>
    </row>
    <row r="124" spans="1:7" s="2779" customFormat="1" ht="14.25" customHeight="1">
      <c r="A124" s="2945" t="s">
        <v>303</v>
      </c>
      <c r="B124" s="2945" t="s">
        <v>3007</v>
      </c>
      <c r="C124" s="2945">
        <v>13400</v>
      </c>
      <c r="D124" s="2945">
        <v>13320</v>
      </c>
      <c r="E124" s="2945">
        <v>16100</v>
      </c>
      <c r="F124" s="2945">
        <v>2320</v>
      </c>
      <c r="G124" s="2958">
        <v>8800</v>
      </c>
    </row>
    <row r="125" spans="1:7" s="2779" customFormat="1" ht="14.25" customHeight="1">
      <c r="A125" s="2945" t="s">
        <v>303</v>
      </c>
      <c r="B125" s="2945" t="s">
        <v>3012</v>
      </c>
      <c r="C125" s="2945">
        <v>12860</v>
      </c>
      <c r="D125" s="2945">
        <v>12790</v>
      </c>
      <c r="E125" s="2945">
        <v>15370</v>
      </c>
      <c r="F125" s="2945">
        <v>2280</v>
      </c>
      <c r="G125" s="2958">
        <v>8450</v>
      </c>
    </row>
    <row r="126" spans="1:7" s="2779" customFormat="1" ht="14.25" customHeight="1" thickBot="1">
      <c r="A126" s="2959" t="s">
        <v>303</v>
      </c>
      <c r="B126" s="2952" t="s">
        <v>3017</v>
      </c>
      <c r="C126" s="2952">
        <v>12960</v>
      </c>
      <c r="D126" s="2952">
        <v>12890</v>
      </c>
      <c r="E126" s="2952">
        <v>15530</v>
      </c>
      <c r="F126" s="2952">
        <v>2910</v>
      </c>
      <c r="G126" s="2960">
        <v>8520</v>
      </c>
    </row>
    <row r="127" spans="1:7" s="2779" customFormat="1" ht="14.25" customHeight="1">
      <c r="A127" s="2950" t="s">
        <v>29</v>
      </c>
      <c r="B127" s="2941" t="s">
        <v>3072</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3073</v>
      </c>
      <c r="C148" s="2945">
        <v>10370</v>
      </c>
      <c r="D148" s="2945">
        <v>10310</v>
      </c>
      <c r="E148" s="2945">
        <v>12970</v>
      </c>
      <c r="F148" s="2945"/>
      <c r="G148" s="2945">
        <v>6630</v>
      </c>
    </row>
    <row r="149" spans="1:7" s="2779" customFormat="1" ht="14.25" customHeight="1">
      <c r="A149" s="2945" t="s">
        <v>29</v>
      </c>
      <c r="B149" s="2945" t="s">
        <v>3074</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2948</v>
      </c>
      <c r="C153" s="2945">
        <v>10880</v>
      </c>
      <c r="D153" s="2945">
        <v>10820</v>
      </c>
      <c r="E153" s="2945">
        <v>13660</v>
      </c>
      <c r="F153" s="2945">
        <v>2260</v>
      </c>
      <c r="G153" s="2945">
        <v>6970</v>
      </c>
    </row>
    <row r="154" spans="1:7" s="2779" customFormat="1" ht="14.25" customHeight="1">
      <c r="A154" s="2945" t="s">
        <v>29</v>
      </c>
      <c r="B154" s="2945" t="s">
        <v>3075</v>
      </c>
      <c r="C154" s="2945">
        <v>11220</v>
      </c>
      <c r="D154" s="2945">
        <v>11160</v>
      </c>
      <c r="E154" s="2945">
        <v>14130</v>
      </c>
      <c r="F154" s="2945">
        <v>2230</v>
      </c>
      <c r="G154" s="2945">
        <v>7180</v>
      </c>
    </row>
    <row r="155" spans="1:7" s="2779" customFormat="1" ht="14.25" customHeight="1">
      <c r="A155" s="2945" t="s">
        <v>29</v>
      </c>
      <c r="B155" s="2945" t="s">
        <v>2961</v>
      </c>
      <c r="C155" s="2945">
        <v>10430</v>
      </c>
      <c r="D155" s="2945">
        <v>10380</v>
      </c>
      <c r="E155" s="2945">
        <v>13140</v>
      </c>
      <c r="F155" s="2945">
        <v>2080</v>
      </c>
      <c r="G155" s="2945">
        <v>6650</v>
      </c>
    </row>
    <row r="156" spans="1:7" s="2779" customFormat="1" ht="14.25" customHeight="1">
      <c r="A156" s="2945" t="s">
        <v>29</v>
      </c>
      <c r="B156" s="2945" t="s">
        <v>3076</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3077</v>
      </c>
      <c r="C160" s="2945">
        <v>11180</v>
      </c>
      <c r="D160" s="2945">
        <v>11140</v>
      </c>
      <c r="E160" s="2945">
        <v>14050</v>
      </c>
      <c r="F160" s="2945">
        <v>2270</v>
      </c>
      <c r="G160" s="2945">
        <v>7170</v>
      </c>
    </row>
    <row r="161" spans="1:7" s="2779" customFormat="1" ht="14.25" customHeight="1">
      <c r="A161" s="2945" t="s">
        <v>29</v>
      </c>
      <c r="B161" s="2945" t="s">
        <v>2993</v>
      </c>
      <c r="C161" s="2945">
        <v>11160</v>
      </c>
      <c r="D161" s="2945">
        <v>11120</v>
      </c>
      <c r="E161" s="2945">
        <v>14020</v>
      </c>
      <c r="F161" s="2945">
        <v>2150</v>
      </c>
      <c r="G161" s="2945">
        <v>7160</v>
      </c>
    </row>
    <row r="162" spans="1:7" s="2779" customFormat="1" ht="14.25" customHeight="1">
      <c r="A162" s="2945" t="s">
        <v>29</v>
      </c>
      <c r="B162" s="2945" t="s">
        <v>2998</v>
      </c>
      <c r="C162" s="2945">
        <v>9620</v>
      </c>
      <c r="D162" s="2945">
        <v>9570</v>
      </c>
      <c r="E162" s="2945">
        <v>12320</v>
      </c>
      <c r="F162" s="2945">
        <v>2010</v>
      </c>
      <c r="G162" s="2945">
        <v>6160</v>
      </c>
    </row>
    <row r="163" spans="1:7" s="2779" customFormat="1" ht="14.25" customHeight="1">
      <c r="A163" s="2945" t="s">
        <v>29</v>
      </c>
      <c r="B163" s="2945" t="s">
        <v>3003</v>
      </c>
      <c r="C163" s="2945">
        <v>9320</v>
      </c>
      <c r="D163" s="2945">
        <v>9270</v>
      </c>
      <c r="E163" s="2945">
        <v>11790</v>
      </c>
      <c r="F163" s="2945">
        <v>1920</v>
      </c>
      <c r="G163" s="2945">
        <v>5960</v>
      </c>
    </row>
    <row r="164" spans="1:7" s="2779" customFormat="1" ht="14.25" customHeight="1">
      <c r="A164" s="2945" t="s">
        <v>29</v>
      </c>
      <c r="B164" s="2945" t="s">
        <v>3008</v>
      </c>
      <c r="C164" s="2945"/>
      <c r="D164" s="2945"/>
      <c r="E164" s="2945"/>
      <c r="F164" s="2945">
        <v>1980</v>
      </c>
      <c r="G164" s="2945"/>
    </row>
    <row r="165" spans="1:7" s="2779" customFormat="1" ht="14.25" customHeight="1">
      <c r="A165" s="2945" t="s">
        <v>29</v>
      </c>
      <c r="B165" s="2945" t="s">
        <v>3078</v>
      </c>
      <c r="C165" s="2945">
        <v>11060</v>
      </c>
      <c r="D165" s="2945">
        <v>11030</v>
      </c>
      <c r="E165" s="2945">
        <v>13850</v>
      </c>
      <c r="F165" s="2945">
        <v>2170</v>
      </c>
      <c r="G165" s="2945">
        <v>7090</v>
      </c>
    </row>
    <row r="166" spans="1:7" s="2779" customFormat="1" ht="14.25" customHeight="1">
      <c r="A166" s="2945" t="s">
        <v>29</v>
      </c>
      <c r="B166" s="2945" t="s">
        <v>3018</v>
      </c>
      <c r="C166" s="2945">
        <v>11050</v>
      </c>
      <c r="D166" s="2945">
        <v>11010</v>
      </c>
      <c r="E166" s="2945">
        <v>13920</v>
      </c>
      <c r="F166" s="2945">
        <v>2140</v>
      </c>
      <c r="G166" s="2945">
        <v>7080</v>
      </c>
    </row>
    <row r="167" spans="1:7" s="2779" customFormat="1" ht="14.25" customHeight="1">
      <c r="A167" s="2945" t="s">
        <v>29</v>
      </c>
      <c r="B167" s="2945" t="s">
        <v>3022</v>
      </c>
      <c r="C167" s="2945">
        <v>10930</v>
      </c>
      <c r="D167" s="2945">
        <v>10890</v>
      </c>
      <c r="E167" s="2945">
        <v>13790</v>
      </c>
      <c r="F167" s="2945">
        <v>2010</v>
      </c>
      <c r="G167" s="2945">
        <v>7000</v>
      </c>
    </row>
    <row r="168" spans="1:7" s="2779" customFormat="1" ht="14.25" customHeight="1">
      <c r="A168" s="2945" t="s">
        <v>29</v>
      </c>
      <c r="B168" s="2945" t="s">
        <v>3027</v>
      </c>
      <c r="C168" s="2945">
        <v>9420</v>
      </c>
      <c r="D168" s="2945">
        <v>9380</v>
      </c>
      <c r="E168" s="2945">
        <v>11970</v>
      </c>
      <c r="F168" s="2945"/>
      <c r="G168" s="2945">
        <v>6040</v>
      </c>
    </row>
    <row r="169" spans="1:7" s="2779" customFormat="1" ht="14.25" customHeight="1">
      <c r="A169" s="2945" t="s">
        <v>29</v>
      </c>
      <c r="B169" s="2945" t="s">
        <v>3079</v>
      </c>
      <c r="C169" s="2945"/>
      <c r="D169" s="2945"/>
      <c r="E169" s="2945"/>
      <c r="F169" s="2945">
        <v>2880</v>
      </c>
      <c r="G169" s="2945"/>
    </row>
    <row r="170" spans="1:7" s="2779" customFormat="1" ht="14.25" customHeight="1">
      <c r="A170" s="2945" t="s">
        <v>29</v>
      </c>
      <c r="B170" s="2945" t="s">
        <v>3035</v>
      </c>
      <c r="C170" s="2945"/>
      <c r="D170" s="2945"/>
      <c r="E170" s="2945"/>
      <c r="F170" s="2945">
        <v>2880</v>
      </c>
      <c r="G170" s="2945"/>
    </row>
    <row r="171" spans="1:7" s="2779" customFormat="1" ht="14.25" customHeight="1">
      <c r="A171" s="2945" t="s">
        <v>29</v>
      </c>
      <c r="B171" s="2945" t="s">
        <v>3038</v>
      </c>
      <c r="C171" s="2945"/>
      <c r="D171" s="2945"/>
      <c r="E171" s="2945"/>
      <c r="F171" s="2945">
        <v>2880</v>
      </c>
      <c r="G171" s="2945"/>
    </row>
    <row r="172" spans="1:7" s="2779" customFormat="1" ht="14.25" customHeight="1">
      <c r="A172" s="2945" t="s">
        <v>29</v>
      </c>
      <c r="B172" s="2945" t="s">
        <v>3040</v>
      </c>
      <c r="C172" s="2945"/>
      <c r="D172" s="2945"/>
      <c r="E172" s="2945"/>
      <c r="F172" s="2945">
        <v>2880</v>
      </c>
      <c r="G172" s="2945"/>
    </row>
    <row r="173" spans="1:7" s="2779" customFormat="1" ht="14.25" customHeight="1">
      <c r="A173" s="2945" t="s">
        <v>29</v>
      </c>
      <c r="B173" s="2945" t="s">
        <v>3042</v>
      </c>
      <c r="C173" s="2945"/>
      <c r="D173" s="2945"/>
      <c r="E173" s="2945"/>
      <c r="F173" s="2945">
        <v>2150</v>
      </c>
      <c r="G173" s="2945"/>
    </row>
    <row r="174" spans="1:7" s="2779" customFormat="1" ht="14.25" customHeight="1">
      <c r="A174" s="2945" t="s">
        <v>29</v>
      </c>
      <c r="B174" s="2945" t="s">
        <v>3044</v>
      </c>
      <c r="C174" s="2945"/>
      <c r="D174" s="2945"/>
      <c r="E174" s="2945"/>
      <c r="F174" s="2945">
        <v>2030</v>
      </c>
      <c r="G174" s="2945"/>
    </row>
    <row r="175" spans="1:7" s="2779" customFormat="1" ht="14.25" customHeight="1">
      <c r="A175" s="2945" t="s">
        <v>29</v>
      </c>
      <c r="B175" s="2945" t="s">
        <v>3046</v>
      </c>
      <c r="C175" s="2945"/>
      <c r="D175" s="2945"/>
      <c r="E175" s="2945"/>
      <c r="F175" s="2945">
        <v>2780</v>
      </c>
      <c r="G175" s="2945"/>
    </row>
    <row r="176" spans="1:7" s="2779" customFormat="1" ht="14.25" customHeight="1">
      <c r="A176" s="2945" t="s">
        <v>29</v>
      </c>
      <c r="B176" s="2945" t="s">
        <v>3048</v>
      </c>
      <c r="C176" s="2945"/>
      <c r="D176" s="2945"/>
      <c r="E176" s="2945"/>
      <c r="F176" s="2945">
        <v>2780</v>
      </c>
      <c r="G176" s="2945"/>
    </row>
    <row r="177" spans="1:7" s="2779" customFormat="1" ht="14.25" customHeight="1">
      <c r="A177" s="2945" t="s">
        <v>29</v>
      </c>
      <c r="B177" s="2945" t="s">
        <v>3080</v>
      </c>
      <c r="C177" s="2945"/>
      <c r="D177" s="2945"/>
      <c r="E177" s="2945"/>
      <c r="F177" s="2945">
        <v>2780</v>
      </c>
      <c r="G177" s="2945"/>
    </row>
    <row r="178" spans="1:7" s="2779" customFormat="1" ht="14.25" customHeight="1">
      <c r="A178" s="2945" t="s">
        <v>29</v>
      </c>
      <c r="B178" s="2945" t="s">
        <v>3081</v>
      </c>
      <c r="C178" s="2945"/>
      <c r="D178" s="2945"/>
      <c r="E178" s="2945"/>
      <c r="F178" s="2945">
        <v>2060</v>
      </c>
      <c r="G178" s="2945"/>
    </row>
    <row r="179" spans="1:7" s="2779" customFormat="1" ht="14.25" customHeight="1">
      <c r="A179" s="2945" t="s">
        <v>29</v>
      </c>
      <c r="B179" s="2945" t="s">
        <v>3082</v>
      </c>
      <c r="C179" s="2945"/>
      <c r="D179" s="2945"/>
      <c r="E179" s="2945"/>
      <c r="F179" s="2945">
        <v>2120</v>
      </c>
      <c r="G179" s="2945"/>
    </row>
    <row r="180" spans="1:7" s="2779" customFormat="1" ht="14.25" customHeight="1">
      <c r="A180" s="2945" t="s">
        <v>29</v>
      </c>
      <c r="B180" s="2945" t="s">
        <v>3054</v>
      </c>
      <c r="C180" s="2945"/>
      <c r="D180" s="2945"/>
      <c r="E180" s="2945"/>
      <c r="F180" s="2945">
        <v>2340</v>
      </c>
      <c r="G180" s="2945"/>
    </row>
    <row r="181" spans="1:7" s="2779" customFormat="1" ht="14.25" customHeight="1">
      <c r="A181" s="2945" t="s">
        <v>29</v>
      </c>
      <c r="B181" s="2945" t="s">
        <v>3055</v>
      </c>
      <c r="C181" s="2945"/>
      <c r="D181" s="2945"/>
      <c r="E181" s="2945"/>
      <c r="F181" s="2945">
        <v>2340</v>
      </c>
      <c r="G181" s="2945"/>
    </row>
    <row r="182" spans="1:7" s="2779" customFormat="1" ht="14.25" customHeight="1">
      <c r="A182" s="2945" t="s">
        <v>29</v>
      </c>
      <c r="B182" s="2945" t="s">
        <v>3056</v>
      </c>
      <c r="C182" s="2945"/>
      <c r="D182" s="2945"/>
      <c r="E182" s="2945"/>
      <c r="F182" s="2945">
        <v>2340</v>
      </c>
      <c r="G182" s="2945"/>
    </row>
    <row r="183" spans="1:7" s="2779" customFormat="1" ht="14.25" customHeight="1">
      <c r="A183" s="2945" t="s">
        <v>29</v>
      </c>
      <c r="B183" s="2945" t="s">
        <v>3057</v>
      </c>
      <c r="C183" s="2945"/>
      <c r="D183" s="2945"/>
      <c r="E183" s="2945"/>
      <c r="F183" s="2945">
        <v>2340</v>
      </c>
      <c r="G183" s="2945"/>
    </row>
    <row r="184" spans="1:7" s="2779" customFormat="1" ht="14.25" customHeight="1">
      <c r="A184" s="2945" t="s">
        <v>29</v>
      </c>
      <c r="B184" s="2945" t="s">
        <v>3058</v>
      </c>
      <c r="C184" s="2945"/>
      <c r="D184" s="2945"/>
      <c r="E184" s="2945"/>
      <c r="F184" s="2945">
        <v>2340</v>
      </c>
      <c r="G184" s="2945"/>
    </row>
    <row r="185" spans="1:7" s="2779" customFormat="1" ht="14.25" customHeight="1">
      <c r="A185" s="2945" t="s">
        <v>29</v>
      </c>
      <c r="B185" s="2945" t="s">
        <v>3059</v>
      </c>
      <c r="C185" s="2945"/>
      <c r="D185" s="2945"/>
      <c r="E185" s="2945"/>
      <c r="F185" s="2945">
        <v>2530</v>
      </c>
      <c r="G185" s="2945"/>
    </row>
    <row r="186" spans="1:7" s="2779" customFormat="1" ht="14.25" customHeight="1">
      <c r="A186" s="2945" t="s">
        <v>29</v>
      </c>
      <c r="B186" s="2945" t="s">
        <v>3060</v>
      </c>
      <c r="C186" s="2945"/>
      <c r="D186" s="2945"/>
      <c r="E186" s="2945"/>
      <c r="F186" s="2945">
        <v>2550</v>
      </c>
      <c r="G186" s="2945"/>
    </row>
    <row r="187" spans="1:7" s="2779" customFormat="1" ht="14.25" customHeight="1">
      <c r="A187" s="2945" t="s">
        <v>29</v>
      </c>
      <c r="B187" s="2945" t="s">
        <v>3061</v>
      </c>
      <c r="C187" s="2945"/>
      <c r="D187" s="2945"/>
      <c r="E187" s="2945"/>
      <c r="F187" s="2945">
        <v>2070</v>
      </c>
      <c r="G187" s="2945"/>
    </row>
    <row r="188" spans="1:7" s="2779" customFormat="1" ht="14.25" customHeight="1">
      <c r="A188" s="2945" t="s">
        <v>29</v>
      </c>
      <c r="B188" s="2945" t="s">
        <v>3062</v>
      </c>
      <c r="C188" s="2945"/>
      <c r="D188" s="2945"/>
      <c r="E188" s="2945"/>
      <c r="F188" s="2945">
        <v>2340</v>
      </c>
      <c r="G188" s="2945"/>
    </row>
    <row r="189" spans="1:7" s="2779" customFormat="1" ht="14.25" customHeight="1" thickBot="1">
      <c r="A189" s="2953" t="s">
        <v>29</v>
      </c>
      <c r="B189" s="2956" t="s">
        <v>3063</v>
      </c>
      <c r="C189" s="2956"/>
      <c r="D189" s="2956"/>
      <c r="E189" s="2956"/>
      <c r="F189" s="2956">
        <v>2050</v>
      </c>
      <c r="G189" s="2956"/>
    </row>
    <row r="190" spans="1:7" s="2779" customFormat="1" ht="14.25" customHeight="1">
      <c r="A190" s="2950" t="s">
        <v>304</v>
      </c>
      <c r="B190" s="2941" t="s">
        <v>3083</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3084</v>
      </c>
      <c r="C199" s="2945">
        <v>8690</v>
      </c>
      <c r="D199" s="2945">
        <v>8630</v>
      </c>
      <c r="E199" s="2945">
        <v>11350</v>
      </c>
      <c r="F199" s="2945">
        <v>1600</v>
      </c>
      <c r="G199" s="2958">
        <v>5450</v>
      </c>
    </row>
    <row r="200" spans="1:7" s="2779" customFormat="1" ht="14.25" customHeight="1">
      <c r="A200" s="2945" t="s">
        <v>304</v>
      </c>
      <c r="B200" s="2945" t="s">
        <v>2895</v>
      </c>
      <c r="C200" s="2945"/>
      <c r="D200" s="2945"/>
      <c r="E200" s="2945"/>
      <c r="F200" s="2945">
        <v>1510</v>
      </c>
      <c r="G200" s="2958"/>
    </row>
    <row r="201" spans="1:7" s="2779" customFormat="1" ht="14.25" customHeight="1">
      <c r="A201" s="2945" t="s">
        <v>304</v>
      </c>
      <c r="B201" s="2945" t="s">
        <v>3085</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3086</v>
      </c>
      <c r="C203" s="2945">
        <v>8130</v>
      </c>
      <c r="D203" s="2945">
        <v>8070</v>
      </c>
      <c r="E203" s="2945">
        <v>10820</v>
      </c>
      <c r="F203" s="2945">
        <v>1690</v>
      </c>
      <c r="G203" s="2958">
        <v>5100</v>
      </c>
    </row>
    <row r="204" spans="1:7" s="2779" customFormat="1" ht="14.25" customHeight="1">
      <c r="A204" s="2945" t="s">
        <v>304</v>
      </c>
      <c r="B204" s="2945" t="s">
        <v>2906</v>
      </c>
      <c r="C204" s="2945">
        <v>8350</v>
      </c>
      <c r="D204" s="2945">
        <v>8290</v>
      </c>
      <c r="E204" s="2945">
        <v>11080</v>
      </c>
      <c r="F204" s="2945">
        <v>1450</v>
      </c>
      <c r="G204" s="2958">
        <v>5240</v>
      </c>
    </row>
    <row r="205" spans="1:7" s="2779" customFormat="1" ht="14.25" customHeight="1">
      <c r="A205" s="2945" t="s">
        <v>304</v>
      </c>
      <c r="B205" s="2945" t="s">
        <v>2908</v>
      </c>
      <c r="C205" s="2945">
        <v>7190</v>
      </c>
      <c r="D205" s="2945">
        <v>7130</v>
      </c>
      <c r="E205" s="2945">
        <v>9490</v>
      </c>
      <c r="F205" s="2945">
        <v>1470</v>
      </c>
      <c r="G205" s="2958">
        <v>4510</v>
      </c>
    </row>
    <row r="206" spans="1:7" s="2779" customFormat="1" ht="14.25" customHeight="1">
      <c r="A206" s="2945" t="s">
        <v>304</v>
      </c>
      <c r="B206" s="2945" t="s">
        <v>2911</v>
      </c>
      <c r="C206" s="2945">
        <v>7000</v>
      </c>
      <c r="D206" s="2945">
        <v>6950</v>
      </c>
      <c r="E206" s="2945">
        <v>9170</v>
      </c>
      <c r="F206" s="2945">
        <v>1400</v>
      </c>
      <c r="G206" s="2958">
        <v>4380</v>
      </c>
    </row>
    <row r="207" spans="1:7" s="2779" customFormat="1" ht="14.25" customHeight="1">
      <c r="A207" s="2945" t="s">
        <v>304</v>
      </c>
      <c r="B207" s="2945" t="s">
        <v>2913</v>
      </c>
      <c r="C207" s="2945">
        <v>6950</v>
      </c>
      <c r="D207" s="2945">
        <v>6900</v>
      </c>
      <c r="E207" s="2945">
        <v>9110</v>
      </c>
      <c r="F207" s="2945">
        <v>1790</v>
      </c>
      <c r="G207" s="2958">
        <v>4360</v>
      </c>
    </row>
    <row r="208" spans="1:7" s="2779" customFormat="1" ht="14.25" customHeight="1">
      <c r="A208" s="2945" t="s">
        <v>304</v>
      </c>
      <c r="B208" s="2945" t="s">
        <v>3087</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2923</v>
      </c>
      <c r="C210" s="2945">
        <v>8710</v>
      </c>
      <c r="D210" s="2945">
        <v>8660</v>
      </c>
      <c r="E210" s="2945">
        <v>11440</v>
      </c>
      <c r="F210" s="2945">
        <v>1740</v>
      </c>
      <c r="G210" s="2958">
        <v>5470</v>
      </c>
    </row>
    <row r="211" spans="1:7" s="2779" customFormat="1" ht="14.25" customHeight="1">
      <c r="A211" s="2945" t="s">
        <v>304</v>
      </c>
      <c r="B211" s="2945" t="s">
        <v>3088</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3089</v>
      </c>
      <c r="C214" s="2945">
        <v>8090</v>
      </c>
      <c r="D214" s="2945">
        <v>8030</v>
      </c>
      <c r="E214" s="2945">
        <v>10780</v>
      </c>
      <c r="F214" s="2945">
        <v>1570</v>
      </c>
      <c r="G214" s="2958">
        <v>5070</v>
      </c>
    </row>
    <row r="215" spans="1:7" s="2779" customFormat="1" ht="14.25" customHeight="1">
      <c r="A215" s="2945" t="s">
        <v>304</v>
      </c>
      <c r="B215" s="2945" t="s">
        <v>3090</v>
      </c>
      <c r="C215" s="2945">
        <v>7950</v>
      </c>
      <c r="D215" s="2945">
        <v>7900</v>
      </c>
      <c r="E215" s="2945">
        <v>10560</v>
      </c>
      <c r="F215" s="2945">
        <v>1630</v>
      </c>
      <c r="G215" s="2958">
        <v>4990</v>
      </c>
    </row>
    <row r="216" spans="1:7" s="2779" customFormat="1" ht="14.25" customHeight="1">
      <c r="A216" s="2945" t="s">
        <v>304</v>
      </c>
      <c r="B216" s="2945" t="s">
        <v>3091</v>
      </c>
      <c r="C216" s="2945">
        <v>8490</v>
      </c>
      <c r="D216" s="2945">
        <v>8440</v>
      </c>
      <c r="E216" s="2945">
        <v>11260</v>
      </c>
      <c r="F216" s="2945">
        <v>1690</v>
      </c>
      <c r="G216" s="2958">
        <v>5330</v>
      </c>
    </row>
    <row r="217" spans="1:7" s="2779" customFormat="1" ht="14.25" customHeight="1">
      <c r="A217" s="2945" t="s">
        <v>304</v>
      </c>
      <c r="B217" s="2945" t="s">
        <v>2956</v>
      </c>
      <c r="C217" s="2945">
        <v>8200</v>
      </c>
      <c r="D217" s="2945">
        <v>8150</v>
      </c>
      <c r="E217" s="2945">
        <v>10910</v>
      </c>
      <c r="F217" s="2945">
        <v>1670</v>
      </c>
      <c r="G217" s="2958">
        <v>5150</v>
      </c>
    </row>
    <row r="218" spans="1:7" s="2779" customFormat="1" ht="14.25" customHeight="1">
      <c r="A218" s="2945" t="s">
        <v>304</v>
      </c>
      <c r="B218" s="2945" t="s">
        <v>3092</v>
      </c>
      <c r="C218" s="2945"/>
      <c r="D218" s="2945"/>
      <c r="E218" s="2945"/>
      <c r="F218" s="2945">
        <v>2040</v>
      </c>
      <c r="G218" s="2958"/>
    </row>
    <row r="219" spans="1:7" s="2779" customFormat="1" ht="14.25" customHeight="1">
      <c r="A219" s="2945" t="s">
        <v>304</v>
      </c>
      <c r="B219" s="2945" t="s">
        <v>3093</v>
      </c>
      <c r="C219" s="2945"/>
      <c r="D219" s="2945"/>
      <c r="E219" s="2945"/>
      <c r="F219" s="2945">
        <v>2040</v>
      </c>
      <c r="G219" s="2958"/>
    </row>
    <row r="220" spans="1:7" s="2779" customFormat="1" ht="14.25" customHeight="1">
      <c r="A220" s="2945" t="s">
        <v>304</v>
      </c>
      <c r="B220" s="2945" t="s">
        <v>3094</v>
      </c>
      <c r="C220" s="2945"/>
      <c r="D220" s="2945"/>
      <c r="E220" s="2945"/>
      <c r="F220" s="2945">
        <v>2040</v>
      </c>
      <c r="G220" s="2958"/>
    </row>
    <row r="221" spans="1:7" s="2779" customFormat="1" ht="14.25" customHeight="1">
      <c r="A221" s="2945" t="s">
        <v>304</v>
      </c>
      <c r="B221" s="2945" t="s">
        <v>3095</v>
      </c>
      <c r="C221" s="2945"/>
      <c r="D221" s="2945"/>
      <c r="E221" s="2945"/>
      <c r="F221" s="2945">
        <v>2040</v>
      </c>
      <c r="G221" s="2958"/>
    </row>
    <row r="222" spans="1:7" s="2779" customFormat="1" ht="14.25" customHeight="1">
      <c r="A222" s="2945" t="s">
        <v>304</v>
      </c>
      <c r="B222" s="2945" t="s">
        <v>3096</v>
      </c>
      <c r="C222" s="2945"/>
      <c r="D222" s="2945"/>
      <c r="E222" s="2945"/>
      <c r="F222" s="2945">
        <v>2040</v>
      </c>
      <c r="G222" s="2958"/>
    </row>
    <row r="223" spans="1:7" s="2779" customFormat="1" ht="14.25" customHeight="1">
      <c r="A223" s="2945" t="s">
        <v>304</v>
      </c>
      <c r="B223" s="2945" t="s">
        <v>3097</v>
      </c>
      <c r="C223" s="2945"/>
      <c r="D223" s="2945"/>
      <c r="E223" s="2945"/>
      <c r="F223" s="2945">
        <v>1930</v>
      </c>
      <c r="G223" s="2958"/>
    </row>
    <row r="224" spans="1:7" s="2779" customFormat="1" ht="14.25" customHeight="1">
      <c r="A224" s="2945" t="s">
        <v>304</v>
      </c>
      <c r="B224" s="2945" t="s">
        <v>3098</v>
      </c>
      <c r="C224" s="2945"/>
      <c r="D224" s="2945"/>
      <c r="E224" s="2945"/>
      <c r="F224" s="2945">
        <v>1930</v>
      </c>
      <c r="G224" s="2958"/>
    </row>
    <row r="225" spans="1:7" s="2779" customFormat="1" ht="14.25" customHeight="1">
      <c r="A225" s="2945" t="s">
        <v>304</v>
      </c>
      <c r="B225" s="2945" t="s">
        <v>3099</v>
      </c>
      <c r="C225" s="2945"/>
      <c r="D225" s="2945"/>
      <c r="E225" s="2945"/>
      <c r="F225" s="2945">
        <v>1930</v>
      </c>
      <c r="G225" s="2958"/>
    </row>
    <row r="226" spans="1:7" s="2779" customFormat="1" ht="14.25" customHeight="1">
      <c r="A226" s="2945" t="s">
        <v>304</v>
      </c>
      <c r="B226" s="2945" t="s">
        <v>3100</v>
      </c>
      <c r="C226" s="2945"/>
      <c r="D226" s="2945"/>
      <c r="E226" s="2945"/>
      <c r="F226" s="2945">
        <v>1700</v>
      </c>
      <c r="G226" s="2958"/>
    </row>
    <row r="227" spans="1:7" s="2779" customFormat="1" ht="14.25" customHeight="1">
      <c r="A227" s="2945" t="s">
        <v>304</v>
      </c>
      <c r="B227" s="2945" t="s">
        <v>3101</v>
      </c>
      <c r="C227" s="2945"/>
      <c r="D227" s="2945"/>
      <c r="E227" s="2945"/>
      <c r="F227" s="2945">
        <v>1520</v>
      </c>
      <c r="G227" s="2958"/>
    </row>
    <row r="228" spans="1:7" s="2779" customFormat="1" ht="14.25" customHeight="1">
      <c r="A228" s="2945" t="s">
        <v>304</v>
      </c>
      <c r="B228" s="2945" t="s">
        <v>3102</v>
      </c>
      <c r="C228" s="2945"/>
      <c r="D228" s="2945"/>
      <c r="E228" s="2945"/>
      <c r="F228" s="2945">
        <v>1520</v>
      </c>
      <c r="G228" s="2958"/>
    </row>
    <row r="229" spans="1:7" s="2779" customFormat="1" ht="14.25" customHeight="1">
      <c r="A229" s="2945" t="s">
        <v>304</v>
      </c>
      <c r="B229" s="2945" t="s">
        <v>3019</v>
      </c>
      <c r="C229" s="2945"/>
      <c r="D229" s="2945"/>
      <c r="E229" s="2945"/>
      <c r="F229" s="2945">
        <v>1520</v>
      </c>
      <c r="G229" s="2958"/>
    </row>
    <row r="230" spans="1:7" s="2779" customFormat="1" ht="14.25" customHeight="1">
      <c r="A230" s="2945" t="s">
        <v>304</v>
      </c>
      <c r="B230" s="2945" t="s">
        <v>3103</v>
      </c>
      <c r="C230" s="2945"/>
      <c r="D230" s="2945"/>
      <c r="E230" s="2945"/>
      <c r="F230" s="2945">
        <v>1820</v>
      </c>
      <c r="G230" s="2958"/>
    </row>
    <row r="231" spans="1:7" s="2779" customFormat="1" ht="14.25" customHeight="1">
      <c r="A231" s="2945" t="s">
        <v>304</v>
      </c>
      <c r="B231" s="2945" t="s">
        <v>3104</v>
      </c>
      <c r="C231" s="2945"/>
      <c r="D231" s="2945"/>
      <c r="E231" s="2945"/>
      <c r="F231" s="2945">
        <v>1760</v>
      </c>
      <c r="G231" s="2958"/>
    </row>
    <row r="232" spans="1:7" s="2779" customFormat="1" ht="14.25" customHeight="1">
      <c r="A232" s="2945" t="s">
        <v>304</v>
      </c>
      <c r="B232" s="2945" t="s">
        <v>3105</v>
      </c>
      <c r="C232" s="2945"/>
      <c r="D232" s="2945"/>
      <c r="E232" s="2945"/>
      <c r="F232" s="2945">
        <v>1840</v>
      </c>
      <c r="G232" s="2958"/>
    </row>
    <row r="233" spans="1:7" s="2779" customFormat="1" ht="14.25" customHeight="1" thickBot="1">
      <c r="A233" s="2959" t="s">
        <v>304</v>
      </c>
      <c r="B233" s="2952" t="s">
        <v>3036</v>
      </c>
      <c r="C233" s="2952"/>
      <c r="D233" s="2952"/>
      <c r="E233" s="2952"/>
      <c r="F233" s="2952">
        <v>1770</v>
      </c>
      <c r="G233" s="2960"/>
    </row>
    <row r="234" spans="1:7" s="2779" customFormat="1" ht="14.25" customHeight="1">
      <c r="A234" s="2950" t="s">
        <v>305</v>
      </c>
      <c r="B234" s="2941" t="s">
        <v>3106</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2877</v>
      </c>
      <c r="C238" s="2945">
        <v>6920</v>
      </c>
      <c r="D238" s="2945">
        <v>6890</v>
      </c>
      <c r="E238" s="2945">
        <v>8640</v>
      </c>
      <c r="F238" s="2945">
        <v>1310</v>
      </c>
      <c r="G238" s="2945">
        <v>4230</v>
      </c>
    </row>
    <row r="239" spans="1:7" s="2779" customFormat="1" ht="14.25" customHeight="1">
      <c r="A239" s="2945" t="s">
        <v>305</v>
      </c>
      <c r="B239" s="2945" t="s">
        <v>3107</v>
      </c>
      <c r="C239" s="2945">
        <v>6780</v>
      </c>
      <c r="D239" s="2945">
        <v>6750</v>
      </c>
      <c r="E239" s="2945">
        <v>8440</v>
      </c>
      <c r="F239" s="2945">
        <v>1160</v>
      </c>
      <c r="G239" s="2945">
        <v>4140</v>
      </c>
    </row>
    <row r="240" spans="1:7" s="2779" customFormat="1" ht="14.25" customHeight="1">
      <c r="A240" s="2945" t="s">
        <v>305</v>
      </c>
      <c r="B240" s="2945" t="s">
        <v>3108</v>
      </c>
      <c r="C240" s="2945">
        <v>5420</v>
      </c>
      <c r="D240" s="2945">
        <v>5380</v>
      </c>
      <c r="E240" s="2945">
        <v>6640</v>
      </c>
      <c r="F240" s="2945">
        <v>1020</v>
      </c>
      <c r="G240" s="2945">
        <v>3300</v>
      </c>
    </row>
    <row r="241" spans="1:7" s="2779" customFormat="1" ht="14.25" customHeight="1">
      <c r="A241" s="2945" t="s">
        <v>305</v>
      </c>
      <c r="B241" s="2945" t="s">
        <v>3109</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3110</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3111</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3112</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3113</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3114</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2939</v>
      </c>
      <c r="C258" s="2945">
        <v>6190</v>
      </c>
      <c r="D258" s="2945">
        <v>6160</v>
      </c>
      <c r="E258" s="2945">
        <v>7680</v>
      </c>
      <c r="F258" s="2945">
        <v>1170</v>
      </c>
      <c r="G258" s="2945">
        <v>3780</v>
      </c>
    </row>
    <row r="259" spans="1:7" s="2779" customFormat="1" ht="14.25" customHeight="1">
      <c r="A259" s="2945" t="s">
        <v>305</v>
      </c>
      <c r="B259" s="2945" t="s">
        <v>3115</v>
      </c>
      <c r="C259" s="2945">
        <v>7610</v>
      </c>
      <c r="D259" s="2945">
        <v>7570</v>
      </c>
      <c r="E259" s="2945">
        <v>9350</v>
      </c>
      <c r="F259" s="2945">
        <v>1350</v>
      </c>
      <c r="G259" s="2945">
        <v>4650</v>
      </c>
    </row>
    <row r="260" spans="1:7" s="2779" customFormat="1" ht="14.25" customHeight="1">
      <c r="A260" s="2945" t="s">
        <v>305</v>
      </c>
      <c r="B260" s="2945" t="s">
        <v>3116</v>
      </c>
      <c r="C260" s="2945">
        <v>6920</v>
      </c>
      <c r="D260" s="2945">
        <v>6880</v>
      </c>
      <c r="E260" s="2945">
        <v>8380</v>
      </c>
      <c r="F260" s="2945">
        <v>1160</v>
      </c>
      <c r="G260" s="2945">
        <v>4220</v>
      </c>
    </row>
    <row r="261" spans="1:7" s="2779" customFormat="1" ht="14.25" customHeight="1">
      <c r="A261" s="2945" t="s">
        <v>305</v>
      </c>
      <c r="B261" s="2945" t="s">
        <v>3117</v>
      </c>
      <c r="C261" s="2945">
        <v>6850</v>
      </c>
      <c r="D261" s="2945">
        <v>6810</v>
      </c>
      <c r="E261" s="2945">
        <v>8290</v>
      </c>
      <c r="F261" s="2945">
        <v>1130</v>
      </c>
      <c r="G261" s="2945">
        <v>4180</v>
      </c>
    </row>
    <row r="262" spans="1:7" s="2779" customFormat="1" ht="14.25" customHeight="1">
      <c r="A262" s="2945" t="s">
        <v>305</v>
      </c>
      <c r="B262" s="2945" t="s">
        <v>3118</v>
      </c>
      <c r="C262" s="2945">
        <v>5860</v>
      </c>
      <c r="D262" s="2945">
        <v>5820</v>
      </c>
      <c r="E262" s="2945">
        <v>7640</v>
      </c>
      <c r="F262" s="2945">
        <v>1070</v>
      </c>
      <c r="G262" s="2945">
        <v>3570</v>
      </c>
    </row>
    <row r="263" spans="1:7" s="2779" customFormat="1" ht="14.25" customHeight="1">
      <c r="A263" s="2945" t="s">
        <v>305</v>
      </c>
      <c r="B263" s="2945" t="s">
        <v>3119</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3120</v>
      </c>
      <c r="C265" s="2945"/>
      <c r="D265" s="2945"/>
      <c r="E265" s="2945"/>
      <c r="F265" s="2945">
        <v>1500</v>
      </c>
      <c r="G265" s="2945"/>
    </row>
    <row r="266" spans="1:7" s="2779" customFormat="1" ht="14.25" customHeight="1">
      <c r="A266" s="2945" t="s">
        <v>305</v>
      </c>
      <c r="B266" s="2945" t="s">
        <v>3121</v>
      </c>
      <c r="C266" s="2945"/>
      <c r="D266" s="2945"/>
      <c r="E266" s="2945"/>
      <c r="F266" s="2945">
        <v>1500</v>
      </c>
      <c r="G266" s="2945"/>
    </row>
    <row r="267" spans="1:7" s="2779" customFormat="1" ht="14.25" customHeight="1">
      <c r="A267" s="2945" t="s">
        <v>305</v>
      </c>
      <c r="B267" s="2945" t="s">
        <v>3122</v>
      </c>
      <c r="C267" s="2945"/>
      <c r="D267" s="2945"/>
      <c r="E267" s="2945"/>
      <c r="F267" s="2945">
        <v>1500</v>
      </c>
      <c r="G267" s="2945"/>
    </row>
    <row r="268" spans="1:7" s="2779" customFormat="1" ht="14.25" customHeight="1">
      <c r="A268" s="2945" t="s">
        <v>305</v>
      </c>
      <c r="B268" s="2945" t="s">
        <v>3123</v>
      </c>
      <c r="C268" s="2945"/>
      <c r="D268" s="2945"/>
      <c r="E268" s="2945"/>
      <c r="F268" s="2945">
        <v>1290</v>
      </c>
      <c r="G268" s="2945"/>
    </row>
    <row r="269" spans="1:7" s="2779" customFormat="1" ht="14.25" customHeight="1">
      <c r="A269" s="2945" t="s">
        <v>305</v>
      </c>
      <c r="B269" s="2945" t="s">
        <v>3124</v>
      </c>
      <c r="C269" s="2945"/>
      <c r="D269" s="2945"/>
      <c r="E269" s="2945"/>
      <c r="F269" s="2945">
        <v>1150</v>
      </c>
      <c r="G269" s="2945"/>
    </row>
    <row r="270" spans="1:7" s="2779" customFormat="1" ht="14.25" customHeight="1">
      <c r="A270" s="2945" t="s">
        <v>305</v>
      </c>
      <c r="B270" s="2945" t="s">
        <v>3125</v>
      </c>
      <c r="C270" s="2945"/>
      <c r="D270" s="2945"/>
      <c r="E270" s="2945"/>
      <c r="F270" s="2945">
        <v>1380</v>
      </c>
      <c r="G270" s="2945"/>
    </row>
    <row r="271" spans="1:7" s="2779" customFormat="1" ht="14.25" customHeight="1">
      <c r="A271" s="2945" t="s">
        <v>305</v>
      </c>
      <c r="B271" s="2945" t="s">
        <v>3126</v>
      </c>
      <c r="C271" s="2945"/>
      <c r="D271" s="2945"/>
      <c r="E271" s="2945"/>
      <c r="F271" s="2945">
        <v>1460</v>
      </c>
      <c r="G271" s="2945"/>
    </row>
    <row r="272" spans="1:7" s="2779" customFormat="1" ht="14.25" customHeight="1">
      <c r="A272" s="2945" t="s">
        <v>305</v>
      </c>
      <c r="B272" s="2945" t="s">
        <v>3127</v>
      </c>
      <c r="C272" s="2945"/>
      <c r="D272" s="2945"/>
      <c r="E272" s="2945"/>
      <c r="F272" s="2945">
        <v>1460</v>
      </c>
      <c r="G272" s="2945"/>
    </row>
    <row r="273" spans="1:7" s="2779" customFormat="1" ht="14.25" customHeight="1">
      <c r="A273" s="2945" t="s">
        <v>305</v>
      </c>
      <c r="B273" s="2945" t="s">
        <v>3020</v>
      </c>
      <c r="C273" s="2945"/>
      <c r="D273" s="2945"/>
      <c r="E273" s="2945"/>
      <c r="F273" s="2945">
        <v>1490</v>
      </c>
      <c r="G273" s="2945"/>
    </row>
    <row r="274" spans="1:7" s="2779" customFormat="1" ht="14.25" customHeight="1">
      <c r="A274" s="2945" t="s">
        <v>305</v>
      </c>
      <c r="B274" s="2945" t="s">
        <v>3128</v>
      </c>
      <c r="C274" s="2945"/>
      <c r="D274" s="2945"/>
      <c r="E274" s="2945"/>
      <c r="F274" s="2945">
        <v>1490</v>
      </c>
      <c r="G274" s="2945"/>
    </row>
    <row r="275" spans="1:7" s="2779" customFormat="1" ht="14.25" customHeight="1">
      <c r="A275" s="2945" t="s">
        <v>305</v>
      </c>
      <c r="B275" s="2945" t="s">
        <v>3129</v>
      </c>
      <c r="C275" s="2945"/>
      <c r="D275" s="2945"/>
      <c r="E275" s="2945"/>
      <c r="F275" s="2945">
        <v>1220</v>
      </c>
      <c r="G275" s="2945"/>
    </row>
    <row r="276" spans="1:7" s="2779" customFormat="1" ht="14.25" customHeight="1" thickBot="1">
      <c r="A276" s="2953" t="s">
        <v>305</v>
      </c>
      <c r="B276" s="2955" t="s">
        <v>3130</v>
      </c>
      <c r="C276" s="2956"/>
      <c r="D276" s="2956"/>
      <c r="E276" s="2956"/>
      <c r="F276" s="2956">
        <v>1380</v>
      </c>
      <c r="G276" s="2956"/>
    </row>
    <row r="277" spans="1:7" s="2779" customFormat="1" ht="14.25" customHeight="1">
      <c r="A277" s="2950" t="s">
        <v>306</v>
      </c>
      <c r="B277" s="2941" t="s">
        <v>3131</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3132</v>
      </c>
      <c r="C279" s="2945">
        <v>4760</v>
      </c>
      <c r="D279" s="2945">
        <v>4720</v>
      </c>
      <c r="E279" s="2945">
        <v>5540</v>
      </c>
      <c r="F279" s="2945">
        <v>810</v>
      </c>
      <c r="G279" s="2958">
        <v>2850</v>
      </c>
    </row>
    <row r="280" spans="1:7" s="2779" customFormat="1" ht="14.25" customHeight="1">
      <c r="A280" s="2945" t="s">
        <v>306</v>
      </c>
      <c r="B280" s="2945" t="s">
        <v>3133</v>
      </c>
      <c r="C280" s="2945">
        <v>4010</v>
      </c>
      <c r="D280" s="2945">
        <v>3950</v>
      </c>
      <c r="E280" s="2945">
        <v>4710</v>
      </c>
      <c r="F280" s="2945">
        <v>800</v>
      </c>
      <c r="G280" s="2958">
        <v>2390</v>
      </c>
    </row>
    <row r="281" spans="1:7" s="2779" customFormat="1" ht="14.25" customHeight="1">
      <c r="A281" s="2945" t="s">
        <v>306</v>
      </c>
      <c r="B281" s="2945" t="s">
        <v>3134</v>
      </c>
      <c r="C281" s="2945">
        <v>4480</v>
      </c>
      <c r="D281" s="2945">
        <v>4420</v>
      </c>
      <c r="E281" s="2945">
        <v>5230</v>
      </c>
      <c r="F281" s="2945">
        <v>870</v>
      </c>
      <c r="G281" s="2958">
        <v>2660</v>
      </c>
    </row>
    <row r="282" spans="1:7" s="2779" customFormat="1" ht="14.25" customHeight="1">
      <c r="A282" s="2945" t="s">
        <v>306</v>
      </c>
      <c r="B282" s="2945" t="s">
        <v>3135</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3136</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3137</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2912</v>
      </c>
      <c r="C293" s="2945">
        <v>5320</v>
      </c>
      <c r="D293" s="2945">
        <v>5270</v>
      </c>
      <c r="E293" s="2945">
        <v>6160</v>
      </c>
      <c r="F293" s="2945">
        <v>990</v>
      </c>
      <c r="G293" s="2958">
        <v>3170</v>
      </c>
    </row>
    <row r="294" spans="1:7" s="2779" customFormat="1" ht="14.25" customHeight="1">
      <c r="A294" s="2945" t="s">
        <v>306</v>
      </c>
      <c r="B294" s="2945" t="s">
        <v>3138</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2931</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3139</v>
      </c>
      <c r="C302" s="2945">
        <v>5520</v>
      </c>
      <c r="D302" s="2945">
        <v>5470</v>
      </c>
      <c r="E302" s="2945">
        <v>6410</v>
      </c>
      <c r="F302" s="2945">
        <v>950</v>
      </c>
      <c r="G302" s="2958">
        <v>3300</v>
      </c>
    </row>
    <row r="303" spans="1:7" s="2779" customFormat="1" ht="14.25" customHeight="1">
      <c r="A303" s="2945" t="s">
        <v>306</v>
      </c>
      <c r="B303" s="2945" t="s">
        <v>2951</v>
      </c>
      <c r="C303" s="2945">
        <v>5630</v>
      </c>
      <c r="D303" s="2945">
        <v>5590</v>
      </c>
      <c r="E303" s="2945">
        <v>6550</v>
      </c>
      <c r="F303" s="2945">
        <v>1010</v>
      </c>
      <c r="G303" s="2958">
        <v>3370</v>
      </c>
    </row>
    <row r="304" spans="1:7" s="2779" customFormat="1" ht="14.25" customHeight="1">
      <c r="A304" s="2945" t="s">
        <v>306</v>
      </c>
      <c r="B304" s="2945" t="s">
        <v>2958</v>
      </c>
      <c r="C304" s="2945">
        <v>5680</v>
      </c>
      <c r="D304" s="2945">
        <v>5620</v>
      </c>
      <c r="E304" s="2945">
        <v>6620</v>
      </c>
      <c r="F304" s="2945">
        <v>1050</v>
      </c>
      <c r="G304" s="2958">
        <v>3390</v>
      </c>
    </row>
    <row r="305" spans="1:7" s="2779" customFormat="1" ht="14.25" customHeight="1">
      <c r="A305" s="2945" t="s">
        <v>306</v>
      </c>
      <c r="B305" s="2945" t="s">
        <v>2964</v>
      </c>
      <c r="C305" s="2945">
        <v>5590</v>
      </c>
      <c r="D305" s="2945">
        <v>5530</v>
      </c>
      <c r="E305" s="2945">
        <v>6460</v>
      </c>
      <c r="F305" s="2945">
        <v>900</v>
      </c>
      <c r="G305" s="2958">
        <v>3340</v>
      </c>
    </row>
    <row r="306" spans="1:7" s="2779" customFormat="1" ht="14.25" customHeight="1">
      <c r="A306" s="2945" t="s">
        <v>306</v>
      </c>
      <c r="B306" s="2945" t="s">
        <v>3140</v>
      </c>
      <c r="C306" s="2945">
        <v>5560</v>
      </c>
      <c r="D306" s="2945">
        <v>5510</v>
      </c>
      <c r="E306" s="2945">
        <v>6440</v>
      </c>
      <c r="F306" s="2945">
        <v>900</v>
      </c>
      <c r="G306" s="2958">
        <v>3320</v>
      </c>
    </row>
    <row r="307" spans="1:7" s="2779" customFormat="1" ht="14.25" customHeight="1">
      <c r="A307" s="2945" t="s">
        <v>306</v>
      </c>
      <c r="B307" s="2945" t="s">
        <v>2976</v>
      </c>
      <c r="C307" s="2945">
        <v>5650</v>
      </c>
      <c r="D307" s="2945">
        <v>5600</v>
      </c>
      <c r="E307" s="2945">
        <v>6590</v>
      </c>
      <c r="F307" s="2945">
        <v>930</v>
      </c>
      <c r="G307" s="2958">
        <v>3380</v>
      </c>
    </row>
    <row r="308" spans="1:7" s="2779" customFormat="1" ht="14.25" customHeight="1">
      <c r="A308" s="2945" t="s">
        <v>306</v>
      </c>
      <c r="B308" s="2945" t="s">
        <v>3141</v>
      </c>
      <c r="C308" s="2945">
        <v>5620</v>
      </c>
      <c r="D308" s="2945">
        <v>5580</v>
      </c>
      <c r="E308" s="2945">
        <v>6540</v>
      </c>
      <c r="F308" s="2945">
        <v>910</v>
      </c>
      <c r="G308" s="2958">
        <v>3370</v>
      </c>
    </row>
    <row r="309" spans="1:7" s="2779" customFormat="1" ht="14.25" customHeight="1">
      <c r="A309" s="2945" t="s">
        <v>306</v>
      </c>
      <c r="B309" s="2945" t="s">
        <v>3142</v>
      </c>
      <c r="C309" s="2945">
        <v>5060</v>
      </c>
      <c r="D309" s="2945">
        <v>5020</v>
      </c>
      <c r="E309" s="2945">
        <v>6370</v>
      </c>
      <c r="F309" s="2945">
        <v>800</v>
      </c>
      <c r="G309" s="2958">
        <v>3020</v>
      </c>
    </row>
    <row r="310" spans="1:7" s="2779" customFormat="1" ht="14.25" customHeight="1">
      <c r="A310" s="2945" t="s">
        <v>306</v>
      </c>
      <c r="B310" s="2945" t="s">
        <v>2991</v>
      </c>
      <c r="C310" s="2945">
        <v>5150</v>
      </c>
      <c r="D310" s="2945">
        <v>5110</v>
      </c>
      <c r="E310" s="2945">
        <v>6500</v>
      </c>
      <c r="F310" s="2945">
        <v>880</v>
      </c>
      <c r="G310" s="2958">
        <v>3080</v>
      </c>
    </row>
    <row r="311" spans="1:7" s="2779" customFormat="1" ht="14.25" customHeight="1">
      <c r="A311" s="2945" t="s">
        <v>306</v>
      </c>
      <c r="B311" s="2945" t="s">
        <v>3143</v>
      </c>
      <c r="C311" s="2945">
        <v>4750</v>
      </c>
      <c r="D311" s="2945">
        <v>4710</v>
      </c>
      <c r="E311" s="2945">
        <v>5510</v>
      </c>
      <c r="F311" s="2945">
        <v>880</v>
      </c>
      <c r="G311" s="2958">
        <v>2840</v>
      </c>
    </row>
    <row r="312" spans="1:7" s="2779" customFormat="1" ht="14.25" customHeight="1">
      <c r="A312" s="2945" t="s">
        <v>306</v>
      </c>
      <c r="B312" s="2945" t="s">
        <v>3001</v>
      </c>
      <c r="C312" s="2945">
        <v>4690</v>
      </c>
      <c r="D312" s="2945">
        <v>4640</v>
      </c>
      <c r="E312" s="2945">
        <v>5420</v>
      </c>
      <c r="F312" s="2945">
        <v>800</v>
      </c>
      <c r="G312" s="2958">
        <v>2800</v>
      </c>
    </row>
    <row r="313" spans="1:7" s="2779" customFormat="1" ht="14.25" customHeight="1">
      <c r="A313" s="2945" t="s">
        <v>306</v>
      </c>
      <c r="B313" s="2945" t="s">
        <v>3006</v>
      </c>
      <c r="C313" s="2945">
        <v>4810</v>
      </c>
      <c r="D313" s="2945">
        <v>4760</v>
      </c>
      <c r="E313" s="2945">
        <v>5550</v>
      </c>
      <c r="F313" s="2945">
        <v>920</v>
      </c>
      <c r="G313" s="2958">
        <v>2870</v>
      </c>
    </row>
    <row r="314" spans="1:7" s="2779" customFormat="1" ht="14.25" customHeight="1">
      <c r="A314" s="2945" t="s">
        <v>306</v>
      </c>
      <c r="B314" s="2945" t="s">
        <v>3144</v>
      </c>
      <c r="C314" s="2945"/>
      <c r="D314" s="2945"/>
      <c r="E314" s="2945"/>
      <c r="F314" s="2945">
        <v>1020</v>
      </c>
      <c r="G314" s="2958"/>
    </row>
    <row r="315" spans="1:7" s="2779" customFormat="1" ht="14.25" customHeight="1">
      <c r="A315" s="2945" t="s">
        <v>306</v>
      </c>
      <c r="B315" s="2945" t="s">
        <v>3145</v>
      </c>
      <c r="C315" s="2945"/>
      <c r="D315" s="2945"/>
      <c r="E315" s="2945"/>
      <c r="F315" s="2945">
        <v>1050</v>
      </c>
      <c r="G315" s="2958"/>
    </row>
    <row r="316" spans="1:7" s="2779" customFormat="1" ht="14.25" customHeight="1">
      <c r="A316" s="2945" t="s">
        <v>306</v>
      </c>
      <c r="B316" s="2945" t="s">
        <v>3021</v>
      </c>
      <c r="C316" s="2945"/>
      <c r="D316" s="2945"/>
      <c r="E316" s="2945"/>
      <c r="F316" s="2945">
        <v>900</v>
      </c>
      <c r="G316" s="2958"/>
    </row>
    <row r="317" spans="1:7" s="2779" customFormat="1" ht="14.25" customHeight="1">
      <c r="A317" s="2945" t="s">
        <v>306</v>
      </c>
      <c r="B317" s="2945" t="s">
        <v>3146</v>
      </c>
      <c r="C317" s="2945"/>
      <c r="D317" s="2945"/>
      <c r="E317" s="2945"/>
      <c r="F317" s="2945">
        <v>920</v>
      </c>
      <c r="G317" s="2958"/>
    </row>
    <row r="318" spans="1:7" s="2779" customFormat="1" ht="14.25" customHeight="1">
      <c r="A318" s="2945" t="s">
        <v>306</v>
      </c>
      <c r="B318" s="2945" t="s">
        <v>3147</v>
      </c>
      <c r="C318" s="2945"/>
      <c r="D318" s="2945"/>
      <c r="E318" s="2945"/>
      <c r="F318" s="2945">
        <v>1080</v>
      </c>
      <c r="G318" s="2958"/>
    </row>
    <row r="319" spans="1:7" s="2779" customFormat="1" ht="14.25" customHeight="1">
      <c r="A319" s="2945" t="s">
        <v>306</v>
      </c>
      <c r="B319" s="2945" t="s">
        <v>3034</v>
      </c>
      <c r="C319" s="2945"/>
      <c r="D319" s="2945"/>
      <c r="E319" s="2945"/>
      <c r="F319" s="2945">
        <v>1020</v>
      </c>
      <c r="G319" s="2958"/>
    </row>
    <row r="320" spans="1:7" s="2779" customFormat="1" ht="14.25" customHeight="1">
      <c r="A320" s="2945" t="s">
        <v>306</v>
      </c>
      <c r="B320" s="2945" t="s">
        <v>3037</v>
      </c>
      <c r="C320" s="2945"/>
      <c r="D320" s="2945"/>
      <c r="E320" s="2945"/>
      <c r="F320" s="2945">
        <v>1050</v>
      </c>
      <c r="G320" s="2958"/>
    </row>
    <row r="321" spans="1:7" s="2779" customFormat="1" ht="14.25" customHeight="1">
      <c r="A321" s="2945" t="s">
        <v>306</v>
      </c>
      <c r="B321" s="2945" t="s">
        <v>3039</v>
      </c>
      <c r="C321" s="2945"/>
      <c r="D321" s="2945"/>
      <c r="E321" s="2945"/>
      <c r="F321" s="2945">
        <v>960</v>
      </c>
      <c r="G321" s="2958"/>
    </row>
    <row r="322" spans="1:7" s="2779" customFormat="1" ht="14.25" customHeight="1">
      <c r="A322" s="2945" t="s">
        <v>306</v>
      </c>
      <c r="B322" s="2945" t="s">
        <v>3041</v>
      </c>
      <c r="C322" s="2945"/>
      <c r="D322" s="2945"/>
      <c r="E322" s="2945"/>
      <c r="F322" s="2945">
        <v>960</v>
      </c>
      <c r="G322" s="2958"/>
    </row>
    <row r="323" spans="1:7" s="2779" customFormat="1" ht="14.25" customHeight="1">
      <c r="A323" s="2945" t="s">
        <v>306</v>
      </c>
      <c r="B323" s="2945" t="s">
        <v>3043</v>
      </c>
      <c r="C323" s="2945"/>
      <c r="D323" s="2945"/>
      <c r="E323" s="2945"/>
      <c r="F323" s="2945">
        <v>880</v>
      </c>
      <c r="G323" s="2958"/>
    </row>
    <row r="324" spans="1:7" s="2779" customFormat="1" ht="14.25" customHeight="1">
      <c r="A324" s="2945" t="s">
        <v>306</v>
      </c>
      <c r="B324" s="2945" t="s">
        <v>3045</v>
      </c>
      <c r="C324" s="2945"/>
      <c r="D324" s="2945"/>
      <c r="E324" s="2945"/>
      <c r="F324" s="2945">
        <v>930</v>
      </c>
      <c r="G324" s="2958"/>
    </row>
    <row r="325" spans="1:7" s="2779" customFormat="1" ht="14.25" customHeight="1">
      <c r="A325" s="2945" t="s">
        <v>306</v>
      </c>
      <c r="B325" s="2946" t="s">
        <v>3047</v>
      </c>
      <c r="C325" s="2945"/>
      <c r="D325" s="2945"/>
      <c r="E325" s="2945"/>
      <c r="F325" s="2945">
        <v>900</v>
      </c>
      <c r="G325" s="2958"/>
    </row>
    <row r="326" spans="1:7" s="2779" customFormat="1" ht="14.25" customHeight="1" thickBot="1">
      <c r="A326" s="2959" t="s">
        <v>306</v>
      </c>
      <c r="B326" s="2952" t="s">
        <v>3049</v>
      </c>
      <c r="C326" s="2952"/>
      <c r="D326" s="2952"/>
      <c r="E326" s="2952"/>
      <c r="F326" s="2952">
        <v>790</v>
      </c>
      <c r="G326" s="2960"/>
    </row>
    <row r="327" spans="1:7" s="2779" customFormat="1" ht="14.25" customHeight="1">
      <c r="A327" s="2950" t="s">
        <v>307</v>
      </c>
      <c r="B327" s="2941" t="s">
        <v>3148</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3149</v>
      </c>
      <c r="C329" s="2945">
        <v>2730</v>
      </c>
      <c r="D329" s="2945">
        <v>2690</v>
      </c>
      <c r="E329" s="2945">
        <v>3100</v>
      </c>
      <c r="F329" s="2945">
        <v>660</v>
      </c>
      <c r="G329" s="2945">
        <v>1610</v>
      </c>
    </row>
    <row r="330" spans="1:7" s="2779" customFormat="1" ht="14.25" customHeight="1">
      <c r="A330" s="2945" t="s">
        <v>307</v>
      </c>
      <c r="B330" s="2945" t="s">
        <v>3150</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2883</v>
      </c>
      <c r="C332" s="2945">
        <v>3520</v>
      </c>
      <c r="D332" s="2945">
        <v>3480</v>
      </c>
      <c r="E332" s="2945">
        <v>3830</v>
      </c>
      <c r="F332" s="2945">
        <v>720</v>
      </c>
      <c r="G332" s="2945">
        <v>2090</v>
      </c>
    </row>
    <row r="333" spans="1:7" s="2779" customFormat="1" ht="14.25" customHeight="1">
      <c r="A333" s="2945" t="s">
        <v>307</v>
      </c>
      <c r="B333" s="2945" t="s">
        <v>3151</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2893</v>
      </c>
      <c r="C336" s="2945">
        <v>3570</v>
      </c>
      <c r="D336" s="2945">
        <v>3530</v>
      </c>
      <c r="E336" s="2945">
        <v>3880</v>
      </c>
      <c r="F336" s="2945">
        <v>770</v>
      </c>
      <c r="G336" s="2945">
        <v>2110</v>
      </c>
    </row>
    <row r="337" spans="1:10" s="2779" customFormat="1" ht="14.25" customHeight="1">
      <c r="A337" s="2945" t="s">
        <v>307</v>
      </c>
      <c r="B337" s="2945" t="s">
        <v>3152</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3153</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3154</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2918</v>
      </c>
      <c r="C345" s="2945">
        <v>3190</v>
      </c>
      <c r="D345" s="2945">
        <v>3140</v>
      </c>
      <c r="E345" s="2945">
        <v>3450</v>
      </c>
      <c r="F345" s="2945">
        <v>720</v>
      </c>
      <c r="G345" s="2945">
        <v>1880</v>
      </c>
      <c r="J345" s="2779"/>
    </row>
    <row r="346" spans="1:10">
      <c r="A346" s="2945" t="s">
        <v>307</v>
      </c>
      <c r="B346" s="2945" t="s">
        <v>3155</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2927</v>
      </c>
      <c r="C348" s="2945">
        <v>4000</v>
      </c>
      <c r="D348" s="2945">
        <v>3950</v>
      </c>
      <c r="E348" s="2945">
        <v>4430</v>
      </c>
      <c r="F348" s="2945">
        <v>760</v>
      </c>
      <c r="G348" s="2945">
        <v>2360</v>
      </c>
      <c r="J348" s="2779"/>
    </row>
    <row r="349" spans="1:10">
      <c r="A349" s="2945" t="s">
        <v>307</v>
      </c>
      <c r="B349" s="2945" t="s">
        <v>2932</v>
      </c>
      <c r="C349" s="2945">
        <v>3820</v>
      </c>
      <c r="D349" s="2945">
        <v>3780</v>
      </c>
      <c r="E349" s="2945">
        <v>4170</v>
      </c>
      <c r="F349" s="2945">
        <v>710</v>
      </c>
      <c r="G349" s="2945">
        <v>2260</v>
      </c>
      <c r="J349" s="2779"/>
    </row>
    <row r="350" spans="1:10">
      <c r="A350" s="2945" t="s">
        <v>307</v>
      </c>
      <c r="B350" s="2945" t="s">
        <v>3156</v>
      </c>
      <c r="C350" s="2945">
        <v>3760</v>
      </c>
      <c r="D350" s="2945">
        <v>3730</v>
      </c>
      <c r="E350" s="2945">
        <v>4100</v>
      </c>
      <c r="F350" s="2945">
        <v>800</v>
      </c>
      <c r="G350" s="2945">
        <v>2230</v>
      </c>
      <c r="J350" s="2779"/>
    </row>
    <row r="351" spans="1:10">
      <c r="A351" s="2945" t="s">
        <v>307</v>
      </c>
      <c r="B351" s="2945" t="s">
        <v>2940</v>
      </c>
      <c r="C351" s="2945">
        <v>3610</v>
      </c>
      <c r="D351" s="2945">
        <v>3580</v>
      </c>
      <c r="E351" s="2945">
        <v>3930</v>
      </c>
      <c r="F351" s="2945">
        <v>700</v>
      </c>
      <c r="G351" s="2945">
        <v>2140</v>
      </c>
      <c r="J351" s="2779"/>
    </row>
    <row r="352" spans="1:10">
      <c r="A352" s="2945" t="s">
        <v>307</v>
      </c>
      <c r="B352" s="2945" t="s">
        <v>2945</v>
      </c>
      <c r="C352" s="2945">
        <v>3670</v>
      </c>
      <c r="D352" s="2945">
        <v>3630</v>
      </c>
      <c r="E352" s="2945">
        <v>4000</v>
      </c>
      <c r="F352" s="2945">
        <v>750</v>
      </c>
      <c r="G352" s="2945">
        <v>2180</v>
      </c>
    </row>
    <row r="353" spans="1:7" s="2780" customFormat="1">
      <c r="A353" s="2945" t="s">
        <v>307</v>
      </c>
      <c r="B353" s="2945" t="s">
        <v>3157</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2965</v>
      </c>
      <c r="C355" s="2945">
        <v>3650</v>
      </c>
      <c r="D355" s="2945">
        <v>3610</v>
      </c>
      <c r="E355" s="2945">
        <v>4200</v>
      </c>
      <c r="F355" s="2945">
        <v>640</v>
      </c>
      <c r="G355" s="2945">
        <v>2160</v>
      </c>
    </row>
    <row r="356" spans="1:7" s="2780" customFormat="1">
      <c r="A356" s="2945" t="s">
        <v>307</v>
      </c>
      <c r="B356" s="2945" t="s">
        <v>2972</v>
      </c>
      <c r="C356" s="2945">
        <v>3260</v>
      </c>
      <c r="D356" s="2945">
        <v>3230</v>
      </c>
      <c r="E356" s="2945">
        <v>3740</v>
      </c>
      <c r="F356" s="2945">
        <v>600</v>
      </c>
      <c r="G356" s="2945">
        <v>1930</v>
      </c>
    </row>
    <row r="357" spans="1:7" s="2780" customFormat="1" ht="12.5" thickBot="1">
      <c r="A357" s="2953" t="s">
        <v>307</v>
      </c>
      <c r="B357" s="2956" t="s">
        <v>3158</v>
      </c>
      <c r="C357" s="2956">
        <v>3690</v>
      </c>
      <c r="D357" s="2956">
        <v>3650</v>
      </c>
      <c r="E357" s="2956">
        <v>4020</v>
      </c>
      <c r="F357" s="2956">
        <v>700</v>
      </c>
      <c r="G357" s="2956">
        <v>2190</v>
      </c>
    </row>
    <row r="358" spans="1:7" s="2780" customFormat="1">
      <c r="A358" s="2950" t="s">
        <v>3159</v>
      </c>
      <c r="B358" s="2941" t="s">
        <v>3160</v>
      </c>
      <c r="C358" s="2941">
        <v>2080</v>
      </c>
      <c r="D358" s="2941">
        <v>2040</v>
      </c>
      <c r="E358" s="2941">
        <v>2010</v>
      </c>
      <c r="F358" s="2941">
        <v>530</v>
      </c>
      <c r="G358" s="2957">
        <v>1230</v>
      </c>
    </row>
    <row r="359" spans="1:7" s="2780" customFormat="1">
      <c r="A359" s="2945" t="s">
        <v>3159</v>
      </c>
      <c r="B359" s="2945" t="s">
        <v>3161</v>
      </c>
      <c r="C359" s="2945">
        <v>1850</v>
      </c>
      <c r="D359" s="2945">
        <v>1820</v>
      </c>
      <c r="E359" s="2945">
        <v>1780</v>
      </c>
      <c r="F359" s="2945">
        <v>520</v>
      </c>
      <c r="G359" s="2958">
        <v>1100</v>
      </c>
    </row>
    <row r="360" spans="1:7" s="2780" customFormat="1">
      <c r="A360" s="2945" t="s">
        <v>3159</v>
      </c>
      <c r="B360" s="2945" t="s">
        <v>3162</v>
      </c>
      <c r="C360" s="2945">
        <v>2020</v>
      </c>
      <c r="D360" s="2945">
        <v>1990</v>
      </c>
      <c r="E360" s="2945">
        <v>1950</v>
      </c>
      <c r="F360" s="2945">
        <v>500</v>
      </c>
      <c r="G360" s="2958">
        <v>1200</v>
      </c>
    </row>
    <row r="361" spans="1:7" s="2780" customFormat="1">
      <c r="A361" s="2945" t="s">
        <v>3159</v>
      </c>
      <c r="B361" s="2945" t="s">
        <v>153</v>
      </c>
      <c r="C361" s="2945">
        <v>2260</v>
      </c>
      <c r="D361" s="2945">
        <v>2220</v>
      </c>
      <c r="E361" s="2945">
        <v>2180</v>
      </c>
      <c r="F361" s="2945">
        <v>580</v>
      </c>
      <c r="G361" s="2958">
        <v>1340</v>
      </c>
    </row>
    <row r="362" spans="1:7" s="2780" customFormat="1">
      <c r="A362" s="2945" t="s">
        <v>3159</v>
      </c>
      <c r="B362" s="2945" t="s">
        <v>3163</v>
      </c>
      <c r="C362" s="2945">
        <v>2650</v>
      </c>
      <c r="D362" s="2945">
        <v>2610</v>
      </c>
      <c r="E362" s="2945">
        <v>2570</v>
      </c>
      <c r="F362" s="2945">
        <v>630</v>
      </c>
      <c r="G362" s="2958">
        <v>1570</v>
      </c>
    </row>
    <row r="363" spans="1:7" s="2780" customFormat="1">
      <c r="A363" s="2945" t="s">
        <v>3159</v>
      </c>
      <c r="B363" s="2945" t="s">
        <v>2884</v>
      </c>
      <c r="C363" s="2945">
        <v>2390</v>
      </c>
      <c r="D363" s="2945">
        <v>2360</v>
      </c>
      <c r="E363" s="2945">
        <v>2320</v>
      </c>
      <c r="F363" s="2945">
        <v>600</v>
      </c>
      <c r="G363" s="2958">
        <v>1420</v>
      </c>
    </row>
    <row r="364" spans="1:7" s="2780" customFormat="1">
      <c r="A364" s="2945" t="s">
        <v>3159</v>
      </c>
      <c r="B364" s="2945" t="s">
        <v>3164</v>
      </c>
      <c r="C364" s="2945">
        <v>2050</v>
      </c>
      <c r="D364" s="2945">
        <v>2030</v>
      </c>
      <c r="E364" s="2945">
        <v>1990</v>
      </c>
      <c r="F364" s="2945">
        <v>550</v>
      </c>
      <c r="G364" s="2958">
        <v>1220</v>
      </c>
    </row>
    <row r="365" spans="1:7" s="2780" customFormat="1">
      <c r="A365" s="2945" t="s">
        <v>3159</v>
      </c>
      <c r="B365" s="2945" t="s">
        <v>200</v>
      </c>
      <c r="C365" s="2945">
        <v>2140</v>
      </c>
      <c r="D365" s="2945">
        <v>2100</v>
      </c>
      <c r="E365" s="2945">
        <v>2060</v>
      </c>
      <c r="F365" s="2945">
        <v>540</v>
      </c>
      <c r="G365" s="2958">
        <v>1270</v>
      </c>
    </row>
    <row r="366" spans="1:7" s="2780" customFormat="1">
      <c r="A366" s="2945" t="s">
        <v>3159</v>
      </c>
      <c r="B366" s="2945" t="s">
        <v>2891</v>
      </c>
      <c r="C366" s="2945">
        <v>2410</v>
      </c>
      <c r="D366" s="2945">
        <v>2370</v>
      </c>
      <c r="E366" s="2945">
        <v>2330</v>
      </c>
      <c r="F366" s="2945">
        <v>570</v>
      </c>
      <c r="G366" s="2958">
        <v>1440</v>
      </c>
    </row>
    <row r="367" spans="1:7" s="2780" customFormat="1">
      <c r="A367" s="2945" t="s">
        <v>3159</v>
      </c>
      <c r="B367" s="2945" t="s">
        <v>3165</v>
      </c>
      <c r="C367" s="2945">
        <v>2300</v>
      </c>
      <c r="D367" s="2945">
        <v>2260</v>
      </c>
      <c r="E367" s="2945">
        <v>2220</v>
      </c>
      <c r="F367" s="2945">
        <v>560</v>
      </c>
      <c r="G367" s="2958">
        <v>1370</v>
      </c>
    </row>
    <row r="368" spans="1:7" s="2780" customFormat="1">
      <c r="A368" s="2945" t="s">
        <v>3159</v>
      </c>
      <c r="B368" s="2945" t="s">
        <v>3166</v>
      </c>
      <c r="C368" s="2945">
        <v>2430</v>
      </c>
      <c r="D368" s="2945">
        <v>2390</v>
      </c>
      <c r="E368" s="2945">
        <v>2350</v>
      </c>
      <c r="F368" s="2945">
        <v>570</v>
      </c>
      <c r="G368" s="2958">
        <v>1450</v>
      </c>
    </row>
    <row r="369" spans="1:7" s="2780" customFormat="1">
      <c r="A369" s="2945" t="s">
        <v>3159</v>
      </c>
      <c r="B369" s="2945" t="s">
        <v>214</v>
      </c>
      <c r="C369" s="2945">
        <v>2320</v>
      </c>
      <c r="D369" s="2945">
        <v>2290</v>
      </c>
      <c r="E369" s="2945">
        <v>2250</v>
      </c>
      <c r="F369" s="2945">
        <v>550</v>
      </c>
      <c r="G369" s="2958">
        <v>1380</v>
      </c>
    </row>
    <row r="370" spans="1:7" s="2780" customFormat="1">
      <c r="A370" s="2945" t="s">
        <v>3159</v>
      </c>
      <c r="B370" s="2945" t="s">
        <v>221</v>
      </c>
      <c r="C370" s="2945">
        <v>2190</v>
      </c>
      <c r="D370" s="2945">
        <v>2170</v>
      </c>
      <c r="E370" s="2945">
        <v>2130</v>
      </c>
      <c r="F370" s="2945">
        <v>530</v>
      </c>
      <c r="G370" s="2958">
        <v>1310</v>
      </c>
    </row>
    <row r="371" spans="1:7" s="2780" customFormat="1">
      <c r="A371" s="2945" t="s">
        <v>3159</v>
      </c>
      <c r="B371" s="2945" t="s">
        <v>229</v>
      </c>
      <c r="C371" s="2945">
        <v>2460</v>
      </c>
      <c r="D371" s="2945">
        <v>2420</v>
      </c>
      <c r="E371" s="2945">
        <v>2370</v>
      </c>
      <c r="F371" s="2945">
        <v>560</v>
      </c>
      <c r="G371" s="2958">
        <v>1470</v>
      </c>
    </row>
    <row r="372" spans="1:7" s="2780" customFormat="1">
      <c r="A372" s="2945" t="s">
        <v>3159</v>
      </c>
      <c r="B372" s="2945" t="s">
        <v>3167</v>
      </c>
      <c r="C372" s="2945">
        <v>2250</v>
      </c>
      <c r="D372" s="2945">
        <v>2210</v>
      </c>
      <c r="E372" s="2945">
        <v>2180</v>
      </c>
      <c r="F372" s="2945">
        <v>550</v>
      </c>
      <c r="G372" s="2958">
        <v>1340</v>
      </c>
    </row>
    <row r="373" spans="1:7" s="2780" customFormat="1">
      <c r="A373" s="2945" t="s">
        <v>3159</v>
      </c>
      <c r="B373" s="2945" t="s">
        <v>258</v>
      </c>
      <c r="C373" s="2945">
        <v>2210</v>
      </c>
      <c r="D373" s="2945">
        <v>2190</v>
      </c>
      <c r="E373" s="2945">
        <v>2150</v>
      </c>
      <c r="F373" s="2945">
        <v>530</v>
      </c>
      <c r="G373" s="2958">
        <v>1320</v>
      </c>
    </row>
    <row r="374" spans="1:7" s="2780" customFormat="1">
      <c r="A374" s="2945" t="s">
        <v>3159</v>
      </c>
      <c r="B374" s="2945" t="s">
        <v>266</v>
      </c>
      <c r="C374" s="2945">
        <v>2320</v>
      </c>
      <c r="D374" s="2945">
        <v>2280</v>
      </c>
      <c r="E374" s="2945">
        <v>2230</v>
      </c>
      <c r="F374" s="2945">
        <v>580</v>
      </c>
      <c r="G374" s="2958">
        <v>1380</v>
      </c>
    </row>
    <row r="375" spans="1:7" s="2780" customFormat="1">
      <c r="A375" s="2945" t="s">
        <v>3159</v>
      </c>
      <c r="B375" s="2945" t="s">
        <v>3168</v>
      </c>
      <c r="C375" s="2945">
        <v>2090</v>
      </c>
      <c r="D375" s="2945">
        <v>2050</v>
      </c>
      <c r="E375" s="2945">
        <v>2020</v>
      </c>
      <c r="F375" s="2945">
        <v>520</v>
      </c>
      <c r="G375" s="2958">
        <v>1240</v>
      </c>
    </row>
    <row r="376" spans="1:7" s="2780" customFormat="1">
      <c r="A376" s="2945" t="s">
        <v>3159</v>
      </c>
      <c r="B376" s="2945" t="s">
        <v>277</v>
      </c>
      <c r="C376" s="2945">
        <v>2010</v>
      </c>
      <c r="D376" s="2945">
        <v>1980</v>
      </c>
      <c r="E376" s="2945">
        <v>1940</v>
      </c>
      <c r="F376" s="2945">
        <v>540</v>
      </c>
      <c r="G376" s="2958">
        <v>1190</v>
      </c>
    </row>
    <row r="377" spans="1:7" s="2780" customFormat="1" ht="12.5" thickBot="1">
      <c r="A377" s="2953" t="s">
        <v>3159</v>
      </c>
      <c r="B377" s="2956" t="s">
        <v>2921</v>
      </c>
      <c r="C377" s="2956">
        <v>1930</v>
      </c>
      <c r="D377" s="2956">
        <v>1890</v>
      </c>
      <c r="E377" s="2956">
        <v>1860</v>
      </c>
      <c r="F377" s="2956">
        <v>530</v>
      </c>
      <c r="G377" s="2961">
        <v>1150</v>
      </c>
    </row>
    <row r="378" spans="1:7" s="2780" customFormat="1">
      <c r="A378" s="2962" t="s">
        <v>3169</v>
      </c>
      <c r="B378" s="2941" t="s">
        <v>3170</v>
      </c>
      <c r="C378" s="2941">
        <v>1520</v>
      </c>
      <c r="D378" s="2941">
        <v>1490</v>
      </c>
      <c r="E378" s="2941">
        <v>1460</v>
      </c>
      <c r="F378" s="2941">
        <v>460</v>
      </c>
      <c r="G378" s="2957">
        <v>940</v>
      </c>
    </row>
    <row r="379" spans="1:7" s="2780" customFormat="1">
      <c r="A379" s="2963" t="s">
        <v>3169</v>
      </c>
      <c r="B379" s="2945" t="s">
        <v>3171</v>
      </c>
      <c r="C379" s="2945">
        <v>1500</v>
      </c>
      <c r="D379" s="2945">
        <v>1470</v>
      </c>
      <c r="E379" s="2945">
        <v>1430</v>
      </c>
      <c r="F379" s="2945">
        <v>460</v>
      </c>
      <c r="G379" s="2958">
        <v>920</v>
      </c>
    </row>
    <row r="380" spans="1:7" s="2780" customFormat="1">
      <c r="A380" s="2963" t="s">
        <v>3169</v>
      </c>
      <c r="B380" s="2945" t="s">
        <v>3172</v>
      </c>
      <c r="C380" s="2945">
        <v>1620</v>
      </c>
      <c r="D380" s="2945">
        <v>1590</v>
      </c>
      <c r="E380" s="2945">
        <v>1560</v>
      </c>
      <c r="F380" s="2945">
        <v>480</v>
      </c>
      <c r="G380" s="2958">
        <v>1000</v>
      </c>
    </row>
    <row r="381" spans="1:7" s="2780" customFormat="1">
      <c r="A381" s="2963" t="s">
        <v>3169</v>
      </c>
      <c r="B381" s="2945" t="s">
        <v>3173</v>
      </c>
      <c r="C381" s="2945">
        <v>1460</v>
      </c>
      <c r="D381" s="2945">
        <v>1430</v>
      </c>
      <c r="E381" s="2945">
        <v>1390</v>
      </c>
      <c r="F381" s="2945">
        <v>450</v>
      </c>
      <c r="G381" s="2958">
        <v>900</v>
      </c>
    </row>
    <row r="382" spans="1:7" s="2780" customFormat="1">
      <c r="A382" s="2963" t="s">
        <v>3169</v>
      </c>
      <c r="B382" s="2945" t="s">
        <v>3174</v>
      </c>
      <c r="C382" s="2945">
        <v>1310</v>
      </c>
      <c r="D382" s="2945">
        <v>1280</v>
      </c>
      <c r="E382" s="2945">
        <v>1250</v>
      </c>
      <c r="F382" s="2945">
        <v>440</v>
      </c>
      <c r="G382" s="2958">
        <v>800</v>
      </c>
    </row>
    <row r="383" spans="1:7" s="2780" customFormat="1">
      <c r="A383" s="2963" t="s">
        <v>3169</v>
      </c>
      <c r="B383" s="2945" t="s">
        <v>3175</v>
      </c>
      <c r="C383" s="2945">
        <v>1260</v>
      </c>
      <c r="D383" s="2945">
        <v>1230</v>
      </c>
      <c r="E383" s="2945">
        <v>1200</v>
      </c>
      <c r="F383" s="2945">
        <v>420</v>
      </c>
      <c r="G383" s="2958">
        <v>770</v>
      </c>
    </row>
    <row r="384" spans="1:7" s="2780" customFormat="1" ht="12.5" thickBot="1">
      <c r="A384" s="2964" t="s">
        <v>3169</v>
      </c>
      <c r="B384" s="2952" t="s">
        <v>3176</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257" t="str">
        <f>IF(项目基本情况!B9="房地产市场价值","估价结果一览表","结果表-2")</f>
        <v>结果表-2</v>
      </c>
      <c r="B1" s="3257"/>
      <c r="C1" s="3257"/>
      <c r="D1" s="3257"/>
      <c r="E1" s="3257"/>
      <c r="F1" s="3257"/>
      <c r="G1" s="3257"/>
      <c r="H1" s="3257"/>
      <c r="I1" s="3257"/>
    </row>
    <row r="2" spans="1:9" ht="30" customHeight="1" thickTop="1">
      <c r="A2" s="3258" t="s">
        <v>928</v>
      </c>
      <c r="B2" s="3258" t="s">
        <v>929</v>
      </c>
      <c r="C2" s="3258" t="s">
        <v>930</v>
      </c>
      <c r="D2" s="3258" t="str">
        <f>结果表!D116</f>
        <v>出让国有建设用地使用权价值</v>
      </c>
      <c r="E2" s="3258"/>
      <c r="F2" s="3258" t="str">
        <f>结果表!F116</f>
        <v>在建建筑物价值</v>
      </c>
      <c r="G2" s="3258"/>
      <c r="H2" s="3258" t="str">
        <f>IF(项目基本情况!B9="房地产市场价值","房地产市场价值","房地产价值")</f>
        <v>房地产价值</v>
      </c>
      <c r="I2" s="3258"/>
    </row>
    <row r="3" spans="1:9" ht="16">
      <c r="A3" s="3259"/>
      <c r="B3" s="3259"/>
      <c r="C3" s="3259"/>
      <c r="D3" s="801" t="s">
        <v>925</v>
      </c>
      <c r="E3" s="801" t="s">
        <v>931</v>
      </c>
      <c r="F3" s="801" t="s">
        <v>925</v>
      </c>
      <c r="G3" s="801" t="s">
        <v>926</v>
      </c>
      <c r="H3" s="801" t="s">
        <v>925</v>
      </c>
      <c r="I3" s="801" t="s">
        <v>926</v>
      </c>
    </row>
    <row r="4" spans="1:9" ht="31">
      <c r="A4" s="1403" t="str">
        <f>项目基本情况!S2</f>
        <v>北京市朝阳区望京东路4号院1号楼房地产</v>
      </c>
      <c r="B4" s="801">
        <f>项目基本情况!C17</f>
        <v>55858.959999999992</v>
      </c>
      <c r="C4" s="801">
        <f>项目基本情况!C18</f>
        <v>0</v>
      </c>
      <c r="D4" s="801">
        <f>结果表!D118</f>
        <v>0</v>
      </c>
      <c r="E4" s="801">
        <f>结果表!E118</f>
        <v>0</v>
      </c>
      <c r="F4" s="801">
        <f>结果表!F118</f>
        <v>0</v>
      </c>
      <c r="G4" s="801">
        <f>结果表!G118</f>
        <v>0</v>
      </c>
      <c r="H4" s="801">
        <f ca="1">结果表!H118</f>
        <v>180656</v>
      </c>
      <c r="I4" s="801">
        <f ca="1">结果表!I118</f>
        <v>32341</v>
      </c>
    </row>
    <row r="5" spans="1:9" ht="30" customHeight="1">
      <c r="A5" s="3259" t="s">
        <v>927</v>
      </c>
      <c r="B5" s="3259"/>
      <c r="C5" s="3259"/>
      <c r="D5" s="3259" t="str">
        <f>结果表!D119</f>
        <v>零元整</v>
      </c>
      <c r="E5" s="3259"/>
      <c r="F5" s="3259" t="str">
        <f>结果表!F119</f>
        <v>零元整</v>
      </c>
      <c r="G5" s="3259"/>
      <c r="H5" s="3259" t="str">
        <f ca="1">结果表!H119</f>
        <v>壹拾捌亿零陆佰伍拾陆万元整</v>
      </c>
      <c r="I5" s="3259"/>
    </row>
    <row r="6" spans="1:9" ht="15.5">
      <c r="A6" s="3260" t="str">
        <f>结果表!A120</f>
        <v>估价师知悉的法定优先受偿款</v>
      </c>
      <c r="B6" s="3260"/>
      <c r="C6" s="3260"/>
      <c r="D6" s="3260">
        <f>结果表!D120</f>
        <v>0</v>
      </c>
      <c r="E6" s="3260"/>
      <c r="F6" s="3260"/>
      <c r="G6" s="3260"/>
      <c r="H6" s="3260"/>
      <c r="I6" s="3260"/>
    </row>
    <row r="7" spans="1:9" ht="15.5">
      <c r="A7" s="3259" t="s">
        <v>927</v>
      </c>
      <c r="B7" s="3259"/>
      <c r="C7" s="3259"/>
      <c r="D7" s="3261" t="str">
        <f>结果表!D121</f>
        <v>零元整</v>
      </c>
      <c r="E7" s="3262"/>
      <c r="F7" s="3262"/>
      <c r="G7" s="3262"/>
      <c r="H7" s="3262"/>
      <c r="I7" s="3263"/>
    </row>
    <row r="8" spans="1:9" ht="15.5">
      <c r="A8" s="3260" t="str">
        <f>结果表!A122</f>
        <v>房地产抵押价值</v>
      </c>
      <c r="B8" s="3260"/>
      <c r="C8" s="3260"/>
      <c r="D8" s="3260">
        <f ca="1">结果表!D122</f>
        <v>180656</v>
      </c>
      <c r="E8" s="3260"/>
      <c r="F8" s="3260"/>
      <c r="G8" s="3260"/>
      <c r="H8" s="3260"/>
      <c r="I8" s="3260"/>
    </row>
    <row r="9" spans="1:9" ht="15.5">
      <c r="A9" s="3259" t="s">
        <v>927</v>
      </c>
      <c r="B9" s="3259"/>
      <c r="C9" s="3259"/>
      <c r="D9" s="3259" t="str">
        <f ca="1">结果表!D123</f>
        <v>壹拾捌亿零陆佰伍拾陆万元整</v>
      </c>
      <c r="E9" s="3259"/>
      <c r="F9" s="3259"/>
      <c r="G9" s="3259"/>
      <c r="H9" s="3259"/>
      <c r="I9" s="3259"/>
    </row>
    <row r="10" spans="1:9" ht="15.5">
      <c r="A10" s="3260" t="str">
        <f>结果表!A124</f>
        <v/>
      </c>
      <c r="B10" s="3260"/>
      <c r="C10" s="3260"/>
      <c r="D10" s="3260" t="str">
        <f>结果表!D124</f>
        <v>——</v>
      </c>
      <c r="E10" s="3260"/>
      <c r="F10" s="3260"/>
      <c r="G10" s="3260"/>
      <c r="H10" s="3260"/>
      <c r="I10" s="3260"/>
    </row>
    <row r="11" spans="1:9" ht="15.5">
      <c r="A11" s="3259" t="s">
        <v>927</v>
      </c>
      <c r="B11" s="3259"/>
      <c r="C11" s="3259"/>
      <c r="D11" s="3259" t="e">
        <f>结果表!D125</f>
        <v>#VALUE!</v>
      </c>
      <c r="E11" s="3259"/>
      <c r="F11" s="3259"/>
      <c r="G11" s="3259"/>
      <c r="H11" s="3259"/>
      <c r="I11" s="3259"/>
    </row>
    <row r="12" spans="1:9" ht="15.5">
      <c r="A12" s="3260" t="str">
        <f>结果表!A126</f>
        <v/>
      </c>
      <c r="B12" s="3260"/>
      <c r="C12" s="3260"/>
      <c r="D12" s="3260" t="str">
        <f>结果表!D126</f>
        <v>——</v>
      </c>
      <c r="E12" s="3260"/>
      <c r="F12" s="3260"/>
      <c r="G12" s="3260"/>
      <c r="H12" s="3260"/>
      <c r="I12" s="3260"/>
    </row>
    <row r="13" spans="1:9" ht="16" thickBot="1">
      <c r="A13" s="3264" t="s">
        <v>927</v>
      </c>
      <c r="B13" s="3264"/>
      <c r="C13" s="3264"/>
      <c r="D13" s="3264" t="e">
        <f>结果表!D127</f>
        <v>#VALUE!</v>
      </c>
      <c r="E13" s="3264"/>
      <c r="F13" s="3264"/>
      <c r="G13" s="3264"/>
      <c r="H13" s="3264"/>
      <c r="I13" s="3264"/>
    </row>
    <row r="14" spans="1:9" ht="14.5" thickTop="1">
      <c r="A14" s="3265" t="s">
        <v>932</v>
      </c>
      <c r="B14" s="3265"/>
      <c r="C14" s="3265"/>
      <c r="D14" s="3265"/>
      <c r="E14" s="3265"/>
      <c r="F14" s="3265"/>
      <c r="G14" s="3265"/>
      <c r="H14" s="3265"/>
      <c r="I14" s="3265"/>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45901</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2305</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266" t="s">
        <v>949</v>
      </c>
      <c r="B1" s="3266"/>
      <c r="C1" s="3266"/>
      <c r="D1" s="3266"/>
    </row>
    <row r="2" spans="1:4" ht="18">
      <c r="A2" s="3267" t="s">
        <v>933</v>
      </c>
      <c r="B2" s="3267"/>
      <c r="C2" s="3267"/>
      <c r="D2" s="3267"/>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67" t="s">
        <v>939</v>
      </c>
      <c r="B6" s="3267"/>
      <c r="C6" s="3267"/>
      <c r="D6" s="3267"/>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268" t="s">
        <v>942</v>
      </c>
      <c r="B11" s="3269"/>
      <c r="C11" s="3269"/>
      <c r="D11" s="3269"/>
    </row>
    <row r="12" spans="1:4" ht="15.5">
      <c r="A12" s="32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0"/>
      <c r="C12" s="3270"/>
      <c r="D12" s="3270"/>
    </row>
    <row r="13" spans="1:4" ht="30" customHeight="1">
      <c r="A13" s="32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0"/>
      <c r="C13" s="3270"/>
      <c r="D13" s="3270"/>
    </row>
    <row r="14" spans="1:4" ht="15.75" customHeight="1">
      <c r="A14" s="3269" t="str">
        <f>IF(项目基本情况!B8="抵押","4.本次评估估价师所知悉的法定优先受偿款情况说明如下：","——")</f>
        <v>4.本次评估估价师所知悉的法定优先受偿款情况说明如下：</v>
      </c>
      <c r="B14" s="3270"/>
      <c r="C14" s="3270"/>
      <c r="D14" s="3270"/>
    </row>
    <row r="15" spans="1:4" ht="42" customHeight="1">
      <c r="A15" s="326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9"/>
      <c r="C15" s="3269"/>
      <c r="D15" s="3269"/>
    </row>
    <row r="16" spans="1:4" ht="30" customHeight="1">
      <c r="A16" s="3272" t="s">
        <v>943</v>
      </c>
      <c r="B16" s="3272"/>
      <c r="C16" s="3272"/>
      <c r="D16" s="3272"/>
    </row>
    <row r="17" spans="1:4" ht="144" customHeight="1">
      <c r="A17" s="3272" t="s">
        <v>944</v>
      </c>
      <c r="B17" s="3272"/>
      <c r="C17" s="3272"/>
      <c r="D17" s="3272"/>
    </row>
    <row r="18" spans="1:4" ht="15.75" customHeight="1">
      <c r="A18" s="3269" t="str">
        <f>IF(项目基本情况!B8="抵押",结果表!K120,"——")</f>
        <v>故，本次评估不存在估价师知悉的法定优先受偿款</v>
      </c>
      <c r="B18" s="3269"/>
      <c r="C18" s="3269"/>
      <c r="D18" s="3269"/>
    </row>
    <row r="19" spans="1:4" ht="46.5" customHeight="1">
      <c r="A19" s="32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9"/>
      <c r="C19" s="3269"/>
      <c r="D19" s="3269"/>
    </row>
    <row r="20" spans="1:4" ht="57.75" customHeight="1">
      <c r="A20" s="32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69"/>
      <c r="C20" s="3269"/>
      <c r="D20" s="3269"/>
    </row>
    <row r="21" spans="1:4" ht="57.75" customHeight="1">
      <c r="A21" s="32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73"/>
      <c r="C21" s="3273"/>
      <c r="D21" s="3273"/>
    </row>
    <row r="22" spans="1:4" ht="18.75" customHeight="1">
      <c r="A22" s="3274" t="s">
        <v>945</v>
      </c>
      <c r="B22" s="3274"/>
      <c r="C22" s="3274"/>
      <c r="D22" s="3274"/>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271">
        <v>42551</v>
      </c>
      <c r="D31" s="327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80" t="s">
        <v>956</v>
      </c>
      <c r="B15" s="3275" t="s">
        <v>109</v>
      </c>
      <c r="C15" s="3276"/>
    </row>
    <row r="16" spans="1:7" ht="14">
      <c r="A16" s="3281"/>
      <c r="B16" s="3275" t="s">
        <v>42</v>
      </c>
      <c r="C16" s="3276"/>
    </row>
    <row r="17" spans="1:3" ht="14">
      <c r="A17" s="3281"/>
      <c r="B17" s="3278" t="s">
        <v>957</v>
      </c>
      <c r="C17" s="1429" t="s">
        <v>956</v>
      </c>
    </row>
    <row r="18" spans="1:3" ht="14">
      <c r="A18" s="3281"/>
      <c r="B18" s="3278"/>
      <c r="C18" s="1429" t="s">
        <v>958</v>
      </c>
    </row>
    <row r="19" spans="1:3" ht="14">
      <c r="A19" s="3281"/>
      <c r="B19" s="3278"/>
      <c r="C19" s="1429" t="s">
        <v>959</v>
      </c>
    </row>
    <row r="20" spans="1:3" ht="14">
      <c r="A20" s="3282"/>
      <c r="B20" s="3277" t="s">
        <v>960</v>
      </c>
      <c r="C20" s="3276"/>
    </row>
    <row r="21" spans="1:3" ht="14">
      <c r="A21" s="1430" t="s">
        <v>961</v>
      </c>
      <c r="B21" s="1431"/>
      <c r="C21" s="1432"/>
    </row>
    <row r="22" spans="1:3" ht="14">
      <c r="A22" s="3279" t="s">
        <v>962</v>
      </c>
      <c r="B22" s="3277" t="s">
        <v>963</v>
      </c>
      <c r="C22" s="3276"/>
    </row>
    <row r="23" spans="1:3" ht="14">
      <c r="A23" s="3279"/>
      <c r="B23" s="3277" t="s">
        <v>964</v>
      </c>
      <c r="C23" s="3276"/>
    </row>
    <row r="24" spans="1:3" ht="14">
      <c r="A24" s="3279"/>
      <c r="B24" s="3277" t="s">
        <v>965</v>
      </c>
      <c r="C24" s="3276"/>
    </row>
    <row r="25" spans="1:3" ht="14">
      <c r="A25" s="3279"/>
      <c r="B25" s="3278" t="s">
        <v>966</v>
      </c>
      <c r="C25" s="1429" t="s">
        <v>967</v>
      </c>
    </row>
    <row r="26" spans="1:3" ht="14">
      <c r="A26" s="3279"/>
      <c r="B26" s="3278"/>
      <c r="C26" s="1429" t="s">
        <v>968</v>
      </c>
    </row>
    <row r="27" spans="1:3" ht="14">
      <c r="A27" s="3279"/>
      <c r="B27" s="3278"/>
      <c r="C27" s="1429" t="s">
        <v>969</v>
      </c>
    </row>
    <row r="28" spans="1:3" ht="14">
      <c r="A28" s="3279"/>
      <c r="B28" s="3278"/>
      <c r="C28" s="1429" t="s">
        <v>970</v>
      </c>
    </row>
    <row r="29" spans="1:3" ht="14">
      <c r="A29" s="3279"/>
      <c r="B29" s="3278"/>
      <c r="C29" s="1429" t="s">
        <v>971</v>
      </c>
    </row>
    <row r="30" spans="1:3" ht="14">
      <c r="A30" s="3279"/>
      <c r="B30" s="3278"/>
      <c r="C30" s="1429" t="s">
        <v>972</v>
      </c>
    </row>
    <row r="31" spans="1:3" ht="14">
      <c r="A31" s="3279"/>
      <c r="B31" s="3278"/>
      <c r="C31" s="1429" t="s">
        <v>973</v>
      </c>
    </row>
    <row r="32" spans="1:3" ht="14">
      <c r="A32" s="3279"/>
      <c r="B32" s="3278"/>
      <c r="C32" s="1429" t="s">
        <v>974</v>
      </c>
    </row>
    <row r="33" spans="1:3" ht="14">
      <c r="A33" s="3279"/>
      <c r="B33" s="3278"/>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45916</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2433</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83" t="s">
        <v>2160</v>
      </c>
      <c r="B17" s="3283"/>
      <c r="C17" s="3283"/>
      <c r="D17" s="3283"/>
      <c r="E17" s="3283"/>
      <c r="F17" s="3283"/>
      <c r="G17" s="3283"/>
      <c r="H17" s="3283"/>
    </row>
    <row r="18" spans="1:8" ht="24" customHeight="1">
      <c r="A18" s="3284" t="s">
        <v>2161</v>
      </c>
      <c r="B18" s="3284"/>
      <c r="C18" s="3284"/>
      <c r="D18" s="2160"/>
      <c r="E18" s="3285" t="s">
        <v>2162</v>
      </c>
      <c r="F18" s="3284"/>
      <c r="G18" s="328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2434</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157</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信息表</vt:lpstr>
      <vt:lpstr>租赁台账</vt:lpstr>
      <vt:lpstr>比较法选取案例</vt:lpstr>
      <vt:lpstr>案例中指信息</vt:lpstr>
      <vt:lpstr>Sheet3</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2025-09-16T01:55:35Z</dcterms:modified>
</cp:coreProperties>
</file>