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工行-陈宁\"/>
    </mc:Choice>
  </mc:AlternateContent>
  <xr:revisionPtr revIDLastSave="0" documentId="13_ncr:1_{50B588BD-316B-4053-9321-FA530852B444}" xr6:coauthVersionLast="47" xr6:coauthVersionMax="47" xr10:uidLastSave="{00000000-0000-0000-0000-000000000000}"/>
  <bookViews>
    <workbookView xWindow="1700" yWindow="20" windowWidth="13020" windowHeight="1351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面积表" sheetId="80" r:id="rId29"/>
    <sheet name="租金案例" sheetId="81"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C14" i="74"/>
  <c r="B14" i="74"/>
  <c r="J49" i="15"/>
  <c r="C6" i="68"/>
  <c r="I13" i="3"/>
  <c r="N6" i="1"/>
  <c r="J49" i="67"/>
  <c r="I12" i="80"/>
  <c r="I11" i="80"/>
  <c r="I9" i="80"/>
  <c r="I10" i="80"/>
  <c r="I8" i="80"/>
  <c r="N23" i="1" l="1"/>
  <c r="N28" i="1" s="1"/>
  <c r="Y6" i="1" s="1"/>
  <c r="N20" i="1"/>
  <c r="B59" i="1"/>
  <c r="F11" i="80"/>
  <c r="F27" i="80"/>
  <c r="J22" i="80" s="1"/>
  <c r="A3" i="3"/>
  <c r="E1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1" i="79" l="1"/>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3" i="79"/>
  <c r="AK23" i="79" s="1"/>
  <c r="AH23" i="79"/>
  <c r="W12" i="79"/>
  <c r="AK12" i="79" s="1"/>
  <c r="AH12"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B77" i="35"/>
  <c r="B75" i="35"/>
  <c r="J24" i="35" s="1"/>
  <c r="AC24" i="35"/>
  <c r="B73" i="35"/>
  <c r="B57" i="35"/>
  <c r="B61" i="35"/>
  <c r="B59" i="35"/>
  <c r="F12" i="35" s="1"/>
  <c r="B131" i="34"/>
  <c r="B129" i="34"/>
  <c r="B127" i="34"/>
  <c r="F45" i="34" s="1"/>
  <c r="S45" i="34" s="1"/>
  <c r="B99" i="34"/>
  <c r="H32" i="34" s="1"/>
  <c r="B97" i="34"/>
  <c r="B95" i="34"/>
  <c r="B93" i="34"/>
  <c r="J29" i="34" s="1"/>
  <c r="B75" i="34"/>
  <c r="J14" i="34" s="1"/>
  <c r="W14" i="34" s="1"/>
  <c r="B73" i="34"/>
  <c r="B71" i="34"/>
  <c r="J12" i="34" s="1"/>
  <c r="W12" i="34" s="1"/>
  <c r="B130" i="33"/>
  <c r="B128" i="33"/>
  <c r="B126" i="33"/>
  <c r="B98" i="33"/>
  <c r="B96" i="33"/>
  <c r="B94" i="33"/>
  <c r="H29" i="33" s="1"/>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J44" i="21" s="1"/>
  <c r="AC44" i="21" s="1"/>
  <c r="B98" i="21"/>
  <c r="H31" i="21" s="1"/>
  <c r="B96" i="21"/>
  <c r="B94" i="21"/>
  <c r="J29" i="21"/>
  <c r="AC29" i="21" s="1"/>
  <c r="B92" i="21"/>
  <c r="B90" i="21"/>
  <c r="H27" i="21" s="1"/>
  <c r="B74" i="21"/>
  <c r="B72" i="21"/>
  <c r="H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5" i="33"/>
  <c r="S40" i="33"/>
  <c r="W39" i="33"/>
  <c r="H39" i="37"/>
  <c r="AB39" i="37" s="1"/>
  <c r="F11" i="40"/>
  <c r="AA11" i="40"/>
  <c r="H11" i="40"/>
  <c r="AB11" i="40" s="1"/>
  <c r="AA9"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AB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45" i="21"/>
  <c r="AA45" i="21" s="1"/>
  <c r="F27" i="33"/>
  <c r="AA27" i="33" s="1"/>
  <c r="J13" i="33"/>
  <c r="H13" i="33"/>
  <c r="U13" i="33" s="1"/>
  <c r="F13" i="33"/>
  <c r="S13" i="33" s="1"/>
  <c r="J29" i="33"/>
  <c r="U29" i="33"/>
  <c r="F29" i="33"/>
  <c r="S29" i="33" s="1"/>
  <c r="J31" i="33"/>
  <c r="W31" i="33" s="1"/>
  <c r="H31" i="33"/>
  <c r="F31" i="33"/>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4" i="34"/>
  <c r="BA586" i="3"/>
  <c r="F17" i="21"/>
  <c r="AA17" i="21" s="1"/>
  <c r="H17" i="21"/>
  <c r="AB17" i="21" s="1"/>
  <c r="F15" i="21"/>
  <c r="S15" i="21" s="1"/>
  <c r="J41" i="39"/>
  <c r="W41" i="39" s="1"/>
  <c r="W44"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BL584" i="3"/>
  <c r="AZ584" i="3" s="1"/>
  <c r="BL580" i="3"/>
  <c r="BL576" i="3"/>
  <c r="BL568" i="3"/>
  <c r="BL564" i="3"/>
  <c r="BL560" i="3"/>
  <c r="BL546" i="3"/>
  <c r="BL542" i="3"/>
  <c r="BL538" i="3"/>
  <c r="BL530" i="3"/>
  <c r="BL526" i="3"/>
  <c r="BL522" i="3"/>
  <c r="BL516" i="3"/>
  <c r="BL512" i="3"/>
  <c r="BL506" i="3"/>
  <c r="BL502" i="3"/>
  <c r="BL498" i="3"/>
  <c r="BL494" i="3"/>
  <c r="BL582" i="3"/>
  <c r="BL578" i="3"/>
  <c r="BL570" i="3"/>
  <c r="BL566" i="3"/>
  <c r="BL562" i="3"/>
  <c r="BL552" i="3"/>
  <c r="BL544" i="3"/>
  <c r="BL540" i="3"/>
  <c r="AZ540" i="3" s="1"/>
  <c r="G533" i="3"/>
  <c r="BL532" i="3"/>
  <c r="G529" i="3"/>
  <c r="G525" i="3"/>
  <c r="BL524" i="3"/>
  <c r="BL518" i="3"/>
  <c r="BL514" i="3"/>
  <c r="BL510" i="3"/>
  <c r="BL504" i="3"/>
  <c r="BL500" i="3"/>
  <c r="BL496" i="3"/>
  <c r="G493" i="3"/>
  <c r="BA584" i="3"/>
  <c r="BA582" i="3"/>
  <c r="AZ582" i="3" s="1"/>
  <c r="BA578" i="3"/>
  <c r="BA576" i="3"/>
  <c r="AZ576" i="3" s="1"/>
  <c r="BA574" i="3"/>
  <c r="BA570" i="3"/>
  <c r="BA568" i="3"/>
  <c r="AZ568" i="3" s="1"/>
  <c r="BA566" i="3"/>
  <c r="AZ566" i="3" s="1"/>
  <c r="BA562" i="3"/>
  <c r="BA560" i="3"/>
  <c r="AZ560" i="3" s="1"/>
  <c r="BA558" i="3"/>
  <c r="AZ558" i="3" s="1"/>
  <c r="BA556" i="3"/>
  <c r="BA554" i="3"/>
  <c r="BA552" i="3"/>
  <c r="AZ552" i="3" s="1"/>
  <c r="BA548" i="3"/>
  <c r="BA544" i="3"/>
  <c r="AZ544" i="3"/>
  <c r="BA542" i="3"/>
  <c r="BA540" i="3"/>
  <c r="BA538" i="3"/>
  <c r="AZ538" i="3"/>
  <c r="BA534" i="3"/>
  <c r="BA530" i="3"/>
  <c r="BA528" i="3"/>
  <c r="BA524" i="3"/>
  <c r="AZ524" i="3" s="1"/>
  <c r="BA522" i="3"/>
  <c r="AZ522" i="3" s="1"/>
  <c r="BA520" i="3"/>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W47" i="34"/>
  <c r="AC36" i="34"/>
  <c r="AA13" i="33"/>
  <c r="AC31" i="33"/>
  <c r="AC45" i="33"/>
  <c r="W44" i="33"/>
  <c r="U11" i="33"/>
  <c r="U19" i="21"/>
  <c r="W44"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19" i="40"/>
  <c r="S19" i="40" s="1"/>
  <c r="S14" i="40"/>
  <c r="AC1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S11" i="39" s="1"/>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BJ5" i="3"/>
  <c r="BH5" i="3"/>
  <c r="BD5" i="3"/>
  <c r="AC5" i="3"/>
  <c r="AZ506" i="3"/>
  <c r="G548" i="3"/>
  <c r="G538" i="3"/>
  <c r="G520" i="3"/>
  <c r="G502" i="3"/>
  <c r="BS5" i="3"/>
  <c r="BP5" i="3"/>
  <c r="BN5" i="3"/>
  <c r="BK5" i="3"/>
  <c r="BI5" i="3"/>
  <c r="BG5" i="3"/>
  <c r="BE5" i="3"/>
  <c r="BC5" i="3"/>
  <c r="G17" i="3"/>
  <c r="BA17" i="3"/>
  <c r="BT5" i="3"/>
  <c r="BA1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48" i="3"/>
  <c r="AZ130" i="3"/>
  <c r="AZ72" i="3"/>
  <c r="AZ82"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U30" i="33"/>
  <c r="AC13" i="34"/>
  <c r="AA47" i="34"/>
  <c r="W28" i="37"/>
  <c r="S19" i="39"/>
  <c r="F12" i="33"/>
  <c r="H12" i="39"/>
  <c r="U12" i="39" s="1"/>
  <c r="AB12" i="39"/>
  <c r="F39" i="40"/>
  <c r="AZ367"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H27" i="33"/>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G22" i="68"/>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D6" i="73"/>
  <c r="F20" i="31"/>
  <c r="F7" i="73"/>
  <c r="F3" i="73"/>
  <c r="E11" i="76"/>
  <c r="B8" i="76"/>
  <c r="F6" i="73"/>
  <c r="B13" i="76"/>
  <c r="B11" i="76"/>
  <c r="E7" i="76"/>
  <c r="E10" i="76"/>
  <c r="E13" i="76"/>
  <c r="B9" i="76"/>
  <c r="B10" i="76"/>
  <c r="E12" i="76"/>
  <c r="F5" i="73"/>
  <c r="B7" i="76"/>
  <c r="F4" i="73"/>
  <c r="AO13" i="1"/>
  <c r="E8" i="76"/>
  <c r="B12" i="76"/>
  <c r="E9" i="76"/>
  <c r="E2" i="68"/>
  <c r="G1" i="15" l="1"/>
  <c r="B6" i="1"/>
  <c r="E6" i="1" s="1"/>
  <c r="F29" i="6"/>
  <c r="A118" i="9"/>
  <c r="A2" i="9"/>
  <c r="M18" i="15"/>
  <c r="M18" i="67"/>
  <c r="F54" i="9"/>
  <c r="F32" i="15"/>
  <c r="F60" i="15" s="1"/>
  <c r="F52" i="9"/>
  <c r="F30" i="68"/>
  <c r="F48" i="68" s="1"/>
  <c r="D93" i="9"/>
  <c r="F30" i="11"/>
  <c r="C48" i="11" s="1"/>
  <c r="D68" i="9"/>
  <c r="F30" i="69"/>
  <c r="F48" i="69" s="1"/>
  <c r="F31" i="12"/>
  <c r="C40" i="68"/>
  <c r="C40" i="69"/>
  <c r="C21" i="68"/>
  <c r="G22" i="69"/>
  <c r="G22" i="11"/>
  <c r="E1" i="73"/>
  <c r="G26" i="12"/>
  <c r="G1" i="68"/>
  <c r="G1" i="67"/>
  <c r="G1" i="69"/>
  <c r="BF5" i="3"/>
  <c r="G29" i="6"/>
  <c r="BB5" i="3"/>
  <c r="BA13" i="3"/>
  <c r="AZ13" i="3" s="1"/>
  <c r="W28" i="34"/>
  <c r="AC28" i="34"/>
  <c r="AC12" i="40"/>
  <c r="W12" i="40"/>
  <c r="U13" i="21"/>
  <c r="AB13" i="21"/>
  <c r="W12" i="33"/>
  <c r="AC12" i="33"/>
  <c r="AZ306" i="3"/>
  <c r="AZ513" i="3"/>
  <c r="AZ575" i="3"/>
  <c r="AC40" i="33"/>
  <c r="W40" i="33"/>
  <c r="U12" i="35"/>
  <c r="AB12" i="35"/>
  <c r="H38" i="40"/>
  <c r="J38" i="40"/>
  <c r="F38" i="40"/>
  <c r="BA580" i="3"/>
  <c r="AZ580" i="3" s="1"/>
  <c r="BL574" i="3"/>
  <c r="BL572" i="3"/>
  <c r="BA572" i="3"/>
  <c r="AZ313" i="3"/>
  <c r="AZ394" i="3"/>
  <c r="AZ531" i="3"/>
  <c r="AZ583" i="3"/>
  <c r="AZ570" i="3"/>
  <c r="AZ502" i="3"/>
  <c r="AC28" i="21"/>
  <c r="AA11" i="36"/>
  <c r="S11" i="36"/>
  <c r="S28" i="34"/>
  <c r="J23" i="35"/>
  <c r="H23" i="35"/>
  <c r="AA27" i="35"/>
  <c r="S27" i="35"/>
  <c r="J24" i="36"/>
  <c r="H24" i="36"/>
  <c r="AB9" i="39"/>
  <c r="U9" i="39"/>
  <c r="AB9" i="40"/>
  <c r="U9" i="40"/>
  <c r="AA38" i="34"/>
  <c r="S38" i="34"/>
  <c r="BL550" i="3"/>
  <c r="BA546" i="3"/>
  <c r="AZ546" i="3" s="1"/>
  <c r="BL536" i="3"/>
  <c r="BA536" i="3"/>
  <c r="BL534" i="3"/>
  <c r="AZ534" i="3" s="1"/>
  <c r="BA532" i="3"/>
  <c r="AZ532" i="3" s="1"/>
  <c r="BL528" i="3"/>
  <c r="AZ528" i="3" s="1"/>
  <c r="BA526" i="3"/>
  <c r="AZ526" i="3" s="1"/>
  <c r="U23" i="21"/>
  <c r="AC27" i="33"/>
  <c r="AC23" i="37"/>
  <c r="AC9" i="21"/>
  <c r="S25" i="33"/>
  <c r="S17" i="37"/>
  <c r="U21" i="39"/>
  <c r="AB33" i="34"/>
  <c r="S23" i="39"/>
  <c r="S43" i="34"/>
  <c r="AZ14" i="3"/>
  <c r="AZ345" i="3"/>
  <c r="AZ334" i="3"/>
  <c r="AZ372" i="3"/>
  <c r="AZ337" i="3"/>
  <c r="AZ192" i="3"/>
  <c r="AZ376" i="3"/>
  <c r="AZ324" i="3"/>
  <c r="AZ309" i="3"/>
  <c r="AA11" i="39"/>
  <c r="AC12" i="37"/>
  <c r="AZ515" i="3"/>
  <c r="AZ523" i="3"/>
  <c r="AZ547" i="3"/>
  <c r="AZ569" i="3"/>
  <c r="AZ571" i="3"/>
  <c r="AZ579" i="3"/>
  <c r="AZ574" i="3"/>
  <c r="AA14" i="37"/>
  <c r="F31" i="21"/>
  <c r="F24" i="36"/>
  <c r="J27" i="21"/>
  <c r="F9" i="33"/>
  <c r="AA9" i="33" s="1"/>
  <c r="AC31" i="37"/>
  <c r="W31" i="37"/>
  <c r="AC8" i="40"/>
  <c r="W8" i="40"/>
  <c r="H39" i="40"/>
  <c r="BA564" i="3"/>
  <c r="AZ564" i="3" s="1"/>
  <c r="BL556" i="3"/>
  <c r="AZ556" i="3" s="1"/>
  <c r="BL554" i="3"/>
  <c r="AZ554" i="3" s="1"/>
  <c r="G552" i="3"/>
  <c r="G544" i="3"/>
  <c r="AA17" i="33"/>
  <c r="S13" i="21"/>
  <c r="AB35" i="37"/>
  <c r="AA35" i="33"/>
  <c r="S20" i="35"/>
  <c r="AZ362" i="3"/>
  <c r="AZ390" i="3"/>
  <c r="AZ351" i="3"/>
  <c r="AZ336" i="3"/>
  <c r="AZ305" i="3"/>
  <c r="AZ204" i="3"/>
  <c r="AZ375" i="3"/>
  <c r="AZ360" i="3"/>
  <c r="AB33" i="40"/>
  <c r="W40" i="37"/>
  <c r="AZ539" i="3"/>
  <c r="AZ529" i="3"/>
  <c r="AZ537" i="3"/>
  <c r="AZ542" i="3"/>
  <c r="U45" i="33"/>
  <c r="AB45" i="33"/>
  <c r="U26" i="33"/>
  <c r="S29" i="35"/>
  <c r="AA29" i="35"/>
  <c r="U17" i="34"/>
  <c r="AB17" i="34"/>
  <c r="S40" i="39"/>
  <c r="S40" i="21"/>
  <c r="W31" i="40"/>
  <c r="BL585" i="3"/>
  <c r="BA585" i="3"/>
  <c r="AZ585" i="3" s="1"/>
  <c r="AC33" i="33"/>
  <c r="W33" i="33"/>
  <c r="H28" i="33"/>
  <c r="J28" i="33"/>
  <c r="AB34" i="35"/>
  <c r="H9" i="36"/>
  <c r="AB9" i="36" s="1"/>
  <c r="J9" i="36"/>
  <c r="H44" i="39"/>
  <c r="F44" i="39"/>
  <c r="W31" i="35"/>
  <c r="AC31" i="35"/>
  <c r="G585" i="3"/>
  <c r="BL587" i="3"/>
  <c r="AZ587" i="3" s="1"/>
  <c r="BL586" i="3"/>
  <c r="AZ586" i="3" s="1"/>
  <c r="AZ443" i="3"/>
  <c r="AZ487" i="3"/>
  <c r="AZ518" i="3"/>
  <c r="U33" i="33"/>
  <c r="B79" i="43"/>
  <c r="G582" i="3"/>
  <c r="G574" i="3"/>
  <c r="BA551" i="3"/>
  <c r="AZ551" i="3" s="1"/>
  <c r="BA550" i="3"/>
  <c r="AZ550" i="3" s="1"/>
  <c r="BL548" i="3"/>
  <c r="AZ548" i="3" s="1"/>
  <c r="AZ413" i="3"/>
  <c r="AZ419" i="3"/>
  <c r="AZ444" i="3"/>
  <c r="AZ476" i="3"/>
  <c r="AZ49" i="3"/>
  <c r="AB21" i="37"/>
  <c r="U21" i="37"/>
  <c r="AC18" i="36"/>
  <c r="W18" i="36"/>
  <c r="AB25" i="40"/>
  <c r="U25" i="40"/>
  <c r="C64" i="71"/>
  <c r="D63" i="71"/>
  <c r="Y26" i="71"/>
  <c r="Z26" i="71" s="1"/>
  <c r="Y25" i="71"/>
  <c r="Z25" i="71" s="1"/>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6" i="3"/>
  <c r="BA219" i="3"/>
  <c r="AZ219" i="3" s="1"/>
  <c r="BL225" i="3"/>
  <c r="BL226" i="3"/>
  <c r="BL228" i="3"/>
  <c r="BA236" i="3"/>
  <c r="AZ236" i="3" s="1"/>
  <c r="BA271" i="3"/>
  <c r="AZ271" i="3" s="1"/>
  <c r="BL271" i="3"/>
  <c r="AZ62" i="3"/>
  <c r="T32" i="71"/>
  <c r="D32" i="71"/>
  <c r="X33" i="71"/>
  <c r="X34" i="71"/>
  <c r="X26" i="71"/>
  <c r="X36" i="71"/>
  <c r="X35" i="71"/>
  <c r="AB37" i="71"/>
  <c r="AB35" i="71"/>
  <c r="F38" i="71"/>
  <c r="F39" i="71" s="1"/>
  <c r="F40" i="71" s="1"/>
  <c r="V40" i="71" s="1"/>
  <c r="AB32" i="71"/>
  <c r="AB27" i="71"/>
  <c r="C47" i="71"/>
  <c r="D47" i="71" s="1"/>
  <c r="D46" i="71"/>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08" i="3"/>
  <c r="BL212" i="3"/>
  <c r="BL214" i="3"/>
  <c r="AZ214" i="3" s="1"/>
  <c r="BL217" i="3"/>
  <c r="AZ217" i="3" s="1"/>
  <c r="BL220" i="3"/>
  <c r="BL221" i="3"/>
  <c r="BL234" i="3"/>
  <c r="BL237" i="3"/>
  <c r="BA239" i="3"/>
  <c r="AZ239" i="3" s="1"/>
  <c r="BL239" i="3"/>
  <c r="BA243" i="3"/>
  <c r="G246" i="3"/>
  <c r="BL250" i="3"/>
  <c r="AZ250" i="3" s="1"/>
  <c r="G256" i="3"/>
  <c r="BA257" i="3"/>
  <c r="BA259" i="3"/>
  <c r="AZ259" i="3" s="1"/>
  <c r="BA263" i="3"/>
  <c r="BA281" i="3"/>
  <c r="AZ137" i="3"/>
  <c r="AZ177" i="3"/>
  <c r="C51" i="71"/>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BL464" i="3"/>
  <c r="AZ464" i="3" s="1"/>
  <c r="BL466" i="3"/>
  <c r="AZ466" i="3" s="1"/>
  <c r="G468" i="3"/>
  <c r="G469" i="3"/>
  <c r="BL476" i="3"/>
  <c r="BL477" i="3"/>
  <c r="BL478" i="3"/>
  <c r="AZ478" i="3" s="1"/>
  <c r="G479" i="3"/>
  <c r="G480" i="3"/>
  <c r="BL480" i="3"/>
  <c r="AZ480" i="3" s="1"/>
  <c r="G482" i="3"/>
  <c r="BA483" i="3"/>
  <c r="BL483" i="3"/>
  <c r="BA486" i="3"/>
  <c r="BL489" i="3"/>
  <c r="AZ489" i="3" s="1"/>
  <c r="BL491" i="3"/>
  <c r="BL492" i="3"/>
  <c r="G307" i="3"/>
  <c r="BA315" i="3"/>
  <c r="AZ315" i="3" s="1"/>
  <c r="BA333" i="3"/>
  <c r="BL346" i="3"/>
  <c r="AZ346" i="3" s="1"/>
  <c r="G349" i="3"/>
  <c r="BL395" i="3"/>
  <c r="G397" i="3"/>
  <c r="BA210" i="3"/>
  <c r="AZ210" i="3" s="1"/>
  <c r="BL210" i="3"/>
  <c r="BA223" i="3"/>
  <c r="AZ223" i="3" s="1"/>
  <c r="BA228" i="3"/>
  <c r="AZ228" i="3" s="1"/>
  <c r="BA229" i="3"/>
  <c r="AZ229" i="3" s="1"/>
  <c r="BL229" i="3"/>
  <c r="BL232" i="3"/>
  <c r="BA238" i="3"/>
  <c r="G241" i="3"/>
  <c r="BA246" i="3"/>
  <c r="BA256" i="3"/>
  <c r="AZ256" i="3" s="1"/>
  <c r="BL256" i="3"/>
  <c r="G260" i="3"/>
  <c r="G261" i="3"/>
  <c r="BL266" i="3"/>
  <c r="BA269" i="3"/>
  <c r="AZ269" i="3" s="1"/>
  <c r="BL272" i="3"/>
  <c r="BL273" i="3"/>
  <c r="G274" i="3"/>
  <c r="BA276" i="3"/>
  <c r="G279" i="3"/>
  <c r="BA284" i="3"/>
  <c r="BL286" i="3"/>
  <c r="AZ286" i="3" s="1"/>
  <c r="C55" i="71"/>
  <c r="D54" i="7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BA63" i="3"/>
  <c r="AZ63" i="3" s="1"/>
  <c r="G72" i="3"/>
  <c r="BL73" i="3"/>
  <c r="BA74" i="3"/>
  <c r="BA87" i="3"/>
  <c r="BA89" i="3"/>
  <c r="BL101" i="3"/>
  <c r="BL102" i="3"/>
  <c r="AZ102" i="3" s="1"/>
  <c r="G105" i="3"/>
  <c r="BL106" i="3"/>
  <c r="BA108" i="3"/>
  <c r="BL111" i="3"/>
  <c r="U21" i="33"/>
  <c r="AB21" i="33"/>
  <c r="AC18" i="35"/>
  <c r="W18" i="35"/>
  <c r="AB25" i="71"/>
  <c r="AB28" i="71"/>
  <c r="AB26" i="71"/>
  <c r="Y30" i="71"/>
  <c r="Z30" i="71" s="1"/>
  <c r="C34" i="71"/>
  <c r="Y28" i="71"/>
  <c r="Z28" i="71" s="1"/>
  <c r="C23" i="71"/>
  <c r="B22" i="71"/>
  <c r="B21" i="71" s="1"/>
  <c r="B20" i="71" s="1"/>
  <c r="AA3" i="71"/>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G247" i="3"/>
  <c r="BL255" i="3"/>
  <c r="AZ255" i="3" s="1"/>
  <c r="G257" i="3"/>
  <c r="BL257" i="3"/>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BA25" i="3"/>
  <c r="BA26" i="3"/>
  <c r="BL28" i="3"/>
  <c r="BA29" i="3"/>
  <c r="AZ29" i="3" s="1"/>
  <c r="BA36" i="3"/>
  <c r="BL38" i="3"/>
  <c r="BA39" i="3"/>
  <c r="AZ39" i="3" s="1"/>
  <c r="BL47" i="3"/>
  <c r="AZ47" i="3" s="1"/>
  <c r="G50" i="3"/>
  <c r="G52" i="3"/>
  <c r="BA52" i="3"/>
  <c r="AZ52" i="3" s="1"/>
  <c r="BA53" i="3"/>
  <c r="AZ53" i="3" s="1"/>
  <c r="BA54" i="3"/>
  <c r="BL57" i="3"/>
  <c r="G59" i="3"/>
  <c r="BL62" i="3"/>
  <c r="BL63" i="3"/>
  <c r="G67" i="3"/>
  <c r="BL68" i="3"/>
  <c r="AZ68" i="3" s="1"/>
  <c r="BA69" i="3"/>
  <c r="AZ69" i="3" s="1"/>
  <c r="BA73" i="3"/>
  <c r="G81" i="3"/>
  <c r="BL85" i="3"/>
  <c r="BA86" i="3"/>
  <c r="AZ86" i="3" s="1"/>
  <c r="BL97" i="3"/>
  <c r="AZ97" i="3" s="1"/>
  <c r="G103" i="3"/>
  <c r="BA103" i="3"/>
  <c r="AZ103" i="3" s="1"/>
  <c r="BA104" i="3"/>
  <c r="BA106" i="3"/>
  <c r="BL108" i="3"/>
  <c r="AB21" i="34"/>
  <c r="U21" i="34"/>
  <c r="B100" i="43"/>
  <c r="B57" i="43"/>
  <c r="B68" i="43"/>
  <c r="T44" i="71"/>
  <c r="P65" i="71"/>
  <c r="P66" i="71"/>
  <c r="F28" i="71"/>
  <c r="F27" i="71" s="1"/>
  <c r="F26" i="71" s="1"/>
  <c r="C40" i="71"/>
  <c r="E39" i="71"/>
  <c r="E40" i="71" s="1"/>
  <c r="U40" i="71" s="1"/>
  <c r="E59" i="71"/>
  <c r="E60" i="71" s="1"/>
  <c r="U60" i="71" s="1"/>
  <c r="T76" i="71"/>
  <c r="D76" i="71"/>
  <c r="C75" i="71"/>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AZ54" i="3" s="1"/>
  <c r="BL55" i="3"/>
  <c r="AZ55" i="3" s="1"/>
  <c r="G57" i="3"/>
  <c r="G58" i="3"/>
  <c r="BA59" i="3"/>
  <c r="AZ59" i="3" s="1"/>
  <c r="G61" i="3"/>
  <c r="BL61" i="3"/>
  <c r="AZ61" i="3" s="1"/>
  <c r="G64" i="3"/>
  <c r="BA64" i="3"/>
  <c r="AZ64" i="3" s="1"/>
  <c r="BA68" i="3"/>
  <c r="BL74" i="3"/>
  <c r="G75" i="3"/>
  <c r="BL75" i="3"/>
  <c r="AZ75" i="3" s="1"/>
  <c r="BA80" i="3"/>
  <c r="BL84" i="3"/>
  <c r="G89" i="3"/>
  <c r="BA90" i="3"/>
  <c r="AZ90" i="3" s="1"/>
  <c r="BA109" i="3"/>
  <c r="BA111" i="3"/>
  <c r="AZ111" i="3" s="1"/>
  <c r="K13" i="1"/>
  <c r="M13" i="1" s="1"/>
  <c r="O13" i="1" s="1"/>
  <c r="P13" i="1" s="1"/>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F9" i="15"/>
  <c r="M8" i="15"/>
  <c r="F42" i="15"/>
  <c r="F8" i="15"/>
  <c r="F40" i="15"/>
  <c r="F16" i="15"/>
  <c r="F6" i="67"/>
  <c r="M26" i="67"/>
  <c r="F26" i="67"/>
  <c r="F38" i="67"/>
  <c r="M6" i="67"/>
  <c r="F37" i="67"/>
  <c r="F40" i="67"/>
  <c r="F8" i="67"/>
  <c r="L48" i="67"/>
  <c r="M24" i="67"/>
  <c r="D9" i="68"/>
  <c r="M28" i="15"/>
  <c r="F43" i="15"/>
  <c r="M26" i="15"/>
  <c r="L47" i="15"/>
  <c r="C76" i="15"/>
  <c r="M22" i="15"/>
  <c r="F42" i="67"/>
  <c r="C76" i="67"/>
  <c r="D3" i="73"/>
  <c r="M9" i="67"/>
  <c r="M28" i="67"/>
  <c r="D7" i="73"/>
  <c r="D5" i="73"/>
  <c r="J15" i="15"/>
  <c r="F37" i="15"/>
  <c r="M29" i="15"/>
  <c r="F13" i="15"/>
  <c r="F6" i="15"/>
  <c r="F26" i="15"/>
  <c r="F7" i="15"/>
  <c r="M22" i="67"/>
  <c r="L47" i="67"/>
  <c r="D4" i="73"/>
  <c r="M8" i="67"/>
  <c r="F36" i="67"/>
  <c r="M9" i="15"/>
  <c r="F38" i="15"/>
  <c r="M24" i="15"/>
  <c r="M6" i="15"/>
  <c r="F36" i="15"/>
  <c r="M23" i="15"/>
  <c r="F9" i="67"/>
  <c r="M23" i="67"/>
  <c r="D9" i="69"/>
  <c r="L48" i="15"/>
  <c r="F16" i="67"/>
  <c r="J15" i="67"/>
  <c r="F13" i="67"/>
  <c r="M7" i="15" l="1"/>
  <c r="J6" i="15" s="1"/>
  <c r="F50" i="15"/>
  <c r="C27" i="15"/>
  <c r="Q71" i="15"/>
  <c r="F68" i="15"/>
  <c r="F64" i="15"/>
  <c r="C6" i="15"/>
  <c r="C32" i="15" s="1"/>
  <c r="M59" i="15"/>
  <c r="L59" i="15"/>
  <c r="Q61" i="15" s="1"/>
  <c r="N59" i="15"/>
  <c r="F51" i="15"/>
  <c r="F71" i="15"/>
  <c r="F66" i="15"/>
  <c r="F65" i="15"/>
  <c r="Q71" i="67"/>
  <c r="F66" i="67"/>
  <c r="L56" i="67"/>
  <c r="J57" i="67"/>
  <c r="J55" i="67" s="1"/>
  <c r="J58" i="67" s="1"/>
  <c r="Q50" i="67" s="1"/>
  <c r="I54" i="67"/>
  <c r="J53" i="67"/>
  <c r="Q52" i="67" s="1"/>
  <c r="M59" i="67"/>
  <c r="N59" i="67"/>
  <c r="L58" i="67"/>
  <c r="Q60" i="67" s="1"/>
  <c r="L59" i="67"/>
  <c r="Q61" i="67" s="1"/>
  <c r="C27" i="67"/>
  <c r="F65" i="67"/>
  <c r="F51" i="67"/>
  <c r="F68" i="67"/>
  <c r="F64" i="67"/>
  <c r="E59" i="40"/>
  <c r="J26" i="43"/>
  <c r="N370" i="46"/>
  <c r="F26" i="43"/>
  <c r="N94" i="46"/>
  <c r="P6" i="1"/>
  <c r="C13" i="12" s="1"/>
  <c r="E26" i="43"/>
  <c r="H26" i="43"/>
  <c r="E28" i="6"/>
  <c r="K14" i="1" s="1"/>
  <c r="J53" i="15"/>
  <c r="L56" i="15" s="1"/>
  <c r="I54" i="15"/>
  <c r="J57" i="15"/>
  <c r="J55" i="15" s="1"/>
  <c r="J58" i="15" s="1"/>
  <c r="Q50" i="15" s="1"/>
  <c r="L58" i="15"/>
  <c r="Q60" i="15" s="1"/>
  <c r="D34" i="71"/>
  <c r="C35" i="71"/>
  <c r="AA44" i="39"/>
  <c r="S44" i="39"/>
  <c r="W27" i="21"/>
  <c r="AC27" i="21"/>
  <c r="W38" i="40"/>
  <c r="AC38" i="40"/>
  <c r="AZ112" i="3"/>
  <c r="G5" i="3"/>
  <c r="B3" i="3" s="1"/>
  <c r="AZ42" i="3"/>
  <c r="AZ32" i="3"/>
  <c r="C26" i="71"/>
  <c r="D26" i="71" s="1"/>
  <c r="D27" i="71"/>
  <c r="AZ20" i="3"/>
  <c r="AZ38" i="3"/>
  <c r="AZ237" i="3"/>
  <c r="AZ395" i="3"/>
  <c r="B19" i="71"/>
  <c r="B18" i="71" s="1"/>
  <c r="B17" i="71" s="1"/>
  <c r="B16" i="71" s="1"/>
  <c r="S20" i="71"/>
  <c r="AZ74" i="3"/>
  <c r="AZ197" i="3"/>
  <c r="AZ126" i="3"/>
  <c r="C56" i="71"/>
  <c r="D55" i="71"/>
  <c r="AZ284" i="3"/>
  <c r="AZ257" i="3"/>
  <c r="AZ243" i="3"/>
  <c r="AZ429" i="3"/>
  <c r="AB44" i="39"/>
  <c r="U44" i="39"/>
  <c r="W28" i="33"/>
  <c r="AC28" i="33"/>
  <c r="AA24" i="36"/>
  <c r="S24" i="36"/>
  <c r="AB24" i="36"/>
  <c r="U24" i="36"/>
  <c r="U23" i="35"/>
  <c r="AB23" i="35"/>
  <c r="AB38" i="40"/>
  <c r="U38" i="40"/>
  <c r="J7" i="36"/>
  <c r="AZ129" i="3"/>
  <c r="AZ266" i="3"/>
  <c r="D67" i="71"/>
  <c r="C66" i="71"/>
  <c r="O67" i="71"/>
  <c r="AZ28" i="3"/>
  <c r="D75" i="71"/>
  <c r="C74" i="71"/>
  <c r="D74" i="71" s="1"/>
  <c r="AZ25" i="3"/>
  <c r="C22" i="71"/>
  <c r="D23" i="71"/>
  <c r="AZ108" i="3"/>
  <c r="AZ190" i="3"/>
  <c r="AZ483" i="3"/>
  <c r="C52" i="71"/>
  <c r="D51" i="71"/>
  <c r="AC9" i="36"/>
  <c r="W9" i="36"/>
  <c r="U28" i="33"/>
  <c r="AB28" i="33"/>
  <c r="U39" i="40"/>
  <c r="AB39" i="40"/>
  <c r="AA31" i="21"/>
  <c r="S31" i="21"/>
  <c r="AC24" i="36"/>
  <c r="W24" i="36"/>
  <c r="AC23" i="35"/>
  <c r="W23" i="35"/>
  <c r="AZ85" i="3"/>
  <c r="T40" i="71"/>
  <c r="D40" i="71"/>
  <c r="AZ21" i="3"/>
  <c r="AZ238" i="3"/>
  <c r="AZ461" i="3"/>
  <c r="AZ425" i="3"/>
  <c r="AZ263" i="3"/>
  <c r="AZ536" i="3"/>
  <c r="AZ572" i="3"/>
  <c r="AA38" i="40"/>
  <c r="S38" i="40"/>
  <c r="J7" i="37"/>
  <c r="K1" i="73"/>
  <c r="E541" i="3"/>
  <c r="E95" i="3"/>
  <c r="E349" i="3"/>
  <c r="E300" i="3"/>
  <c r="E23" i="3"/>
  <c r="E381" i="3"/>
  <c r="E21" i="3"/>
  <c r="E332" i="3"/>
  <c r="E96" i="3"/>
  <c r="E86" i="3"/>
  <c r="E251" i="3"/>
  <c r="AF6" i="3"/>
  <c r="E205" i="3"/>
  <c r="E173" i="3"/>
  <c r="T6" i="3"/>
  <c r="E512" i="3"/>
  <c r="E556" i="3"/>
  <c r="E497" i="3"/>
  <c r="E26" i="3"/>
  <c r="E41" i="3"/>
  <c r="E225" i="3"/>
  <c r="E190" i="3"/>
  <c r="E220" i="3"/>
  <c r="E49" i="3"/>
  <c r="E80" i="3"/>
  <c r="E329" i="3"/>
  <c r="E16" i="3"/>
  <c r="E393" i="3"/>
  <c r="E543" i="3"/>
  <c r="E427" i="3"/>
  <c r="E376" i="3"/>
  <c r="AH6" i="3"/>
  <c r="E401" i="3"/>
  <c r="E108" i="3"/>
  <c r="E226" i="3"/>
  <c r="E346" i="3"/>
  <c r="E540" i="3"/>
  <c r="E473" i="3"/>
  <c r="E15" i="3"/>
  <c r="E194" i="3"/>
  <c r="E299" i="3"/>
  <c r="E392" i="3"/>
  <c r="E112" i="3"/>
  <c r="E340" i="3"/>
  <c r="E364" i="3"/>
  <c r="E265" i="3"/>
  <c r="E365" i="3"/>
  <c r="E165" i="3"/>
  <c r="E460" i="3"/>
  <c r="E90" i="3"/>
  <c r="E521" i="3"/>
  <c r="E24" i="3"/>
  <c r="E244" i="3"/>
  <c r="E312" i="3"/>
  <c r="E110" i="3"/>
  <c r="E138" i="3"/>
  <c r="E354" i="3"/>
  <c r="E149" i="3"/>
  <c r="E464" i="3"/>
  <c r="E375" i="3"/>
  <c r="E341" i="3"/>
  <c r="E374" i="3"/>
  <c r="E462" i="3"/>
  <c r="AD6" i="3"/>
  <c r="E459" i="3"/>
  <c r="E195" i="3"/>
  <c r="E187" i="3"/>
  <c r="E307" i="3"/>
  <c r="E82" i="3"/>
  <c r="E352" i="3"/>
  <c r="E313" i="3"/>
  <c r="E529" i="3"/>
  <c r="E537" i="3"/>
  <c r="E471" i="3"/>
  <c r="E168" i="3"/>
  <c r="E93" i="3"/>
  <c r="E196" i="3"/>
  <c r="U6" i="3"/>
  <c r="E548" i="3"/>
  <c r="E403" i="3"/>
  <c r="E71" i="3"/>
  <c r="E317" i="3"/>
  <c r="E53" i="3"/>
  <c r="E319" i="3"/>
  <c r="O6" i="3"/>
  <c r="E359" i="3"/>
  <c r="S6" i="3"/>
  <c r="E338" i="3"/>
  <c r="E298" i="3"/>
  <c r="E304" i="3"/>
  <c r="E221" i="3"/>
  <c r="E159" i="3"/>
  <c r="E303" i="3"/>
  <c r="AA6" i="3"/>
  <c r="E434" i="3"/>
  <c r="E120" i="3"/>
  <c r="E437" i="3"/>
  <c r="AE6" i="3"/>
  <c r="E429" i="3"/>
  <c r="E256" i="3"/>
  <c r="E394" i="3"/>
  <c r="E32" i="3"/>
  <c r="E252" i="3"/>
  <c r="AG6" i="3"/>
  <c r="E448" i="3"/>
  <c r="E581" i="3"/>
  <c r="E444" i="3"/>
  <c r="E404" i="3"/>
  <c r="E166" i="3"/>
  <c r="E295" i="3"/>
  <c r="E334" i="3"/>
  <c r="E480" i="3"/>
  <c r="E366" i="3"/>
  <c r="E553" i="3"/>
  <c r="E239" i="3"/>
  <c r="E516" i="3"/>
  <c r="E569" i="3"/>
  <c r="E151" i="3"/>
  <c r="E358" i="3"/>
  <c r="E551" i="3"/>
  <c r="E407" i="3"/>
  <c r="E294" i="3"/>
  <c r="E230" i="3"/>
  <c r="E415" i="3"/>
  <c r="E395" i="3"/>
  <c r="E260" i="3"/>
  <c r="E290" i="3"/>
  <c r="E61" i="3"/>
  <c r="E382" i="3"/>
  <c r="E518" i="3"/>
  <c r="E336" i="3"/>
  <c r="E583" i="3"/>
  <c r="E85" i="3"/>
  <c r="E314" i="3"/>
  <c r="E511" i="3"/>
  <c r="E193" i="3"/>
  <c r="E519" i="3"/>
  <c r="E458" i="3"/>
  <c r="E457" i="3"/>
  <c r="E571" i="3"/>
  <c r="E450" i="3"/>
  <c r="E111" i="3"/>
  <c r="E150" i="3"/>
  <c r="E279" i="3"/>
  <c r="E31" i="3"/>
  <c r="E567" i="3"/>
  <c r="E269" i="3"/>
  <c r="E107" i="3"/>
  <c r="E515" i="3"/>
  <c r="E478" i="3"/>
  <c r="E505" i="3"/>
  <c r="AS6" i="3"/>
  <c r="E476"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Q74" i="15"/>
  <c r="AE11" i="1"/>
  <c r="AE9" i="1"/>
  <c r="AE7" i="1"/>
  <c r="AE8" i="1"/>
  <c r="AE12" i="1"/>
  <c r="AE10" i="1"/>
  <c r="C16" i="15"/>
  <c r="G1" i="73"/>
  <c r="F1" i="67" l="1"/>
  <c r="Q73" i="67"/>
  <c r="AP6" i="3"/>
  <c r="E575" i="3"/>
  <c r="E249" i="3"/>
  <c r="E81" i="3"/>
  <c r="E129" i="3"/>
  <c r="E22" i="3"/>
  <c r="E456" i="3"/>
  <c r="E13" i="3"/>
  <c r="E428" i="3"/>
  <c r="E232" i="3"/>
  <c r="E116" i="3"/>
  <c r="E440" i="3"/>
  <c r="E463" i="3"/>
  <c r="E372" i="3"/>
  <c r="E170" i="3"/>
  <c r="E36" i="3"/>
  <c r="E20" i="3"/>
  <c r="E552" i="3"/>
  <c r="E386" i="3"/>
  <c r="E500" i="3"/>
  <c r="E323" i="3"/>
  <c r="E266" i="3"/>
  <c r="E163" i="3"/>
  <c r="E413" i="3"/>
  <c r="E136" i="3"/>
  <c r="E474" i="3"/>
  <c r="E357" i="3"/>
  <c r="E411" i="3"/>
  <c r="E126" i="3"/>
  <c r="E328" i="3"/>
  <c r="E523" i="3"/>
  <c r="E565" i="3"/>
  <c r="E280" i="3"/>
  <c r="E330" i="3"/>
  <c r="E496" i="3"/>
  <c r="E236" i="3"/>
  <c r="P6" i="3"/>
  <c r="E121" i="3"/>
  <c r="E30" i="3"/>
  <c r="E282" i="3"/>
  <c r="E229" i="3"/>
  <c r="V6" i="3"/>
  <c r="E130" i="3"/>
  <c r="E117" i="3"/>
  <c r="E578" i="3"/>
  <c r="E253" i="3"/>
  <c r="E45" i="3"/>
  <c r="E527" i="3"/>
  <c r="E433" i="3"/>
  <c r="E318" i="3"/>
  <c r="E271" i="3"/>
  <c r="E414"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59" i="3"/>
  <c r="E539" i="3"/>
  <c r="I3" i="6"/>
  <c r="E192" i="3"/>
  <c r="E103" i="3"/>
  <c r="E33" i="3"/>
  <c r="E264" i="3"/>
  <c r="E75" i="3"/>
  <c r="E522"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88" i="3"/>
  <c r="E316" i="3"/>
  <c r="E125" i="3"/>
  <c r="N6" i="3"/>
  <c r="E396" i="3"/>
  <c r="E559" i="3"/>
  <c r="E320" i="3"/>
  <c r="E114" i="3"/>
  <c r="E550" i="3"/>
  <c r="E245" i="3"/>
  <c r="E293" i="3"/>
  <c r="E453" i="3"/>
  <c r="E99" i="3"/>
  <c r="E573" i="3"/>
  <c r="E562" i="3"/>
  <c r="E72" i="3"/>
  <c r="E351" i="3"/>
  <c r="E549" i="3"/>
  <c r="E585" i="3"/>
  <c r="E477" i="3"/>
  <c r="E447" i="3"/>
  <c r="E203" i="3"/>
  <c r="E481" i="3"/>
  <c r="E128" i="3"/>
  <c r="E353" i="3"/>
  <c r="E17" i="3"/>
  <c r="E321" i="3"/>
  <c r="E97" i="3"/>
  <c r="E501" i="3"/>
  <c r="E291" i="3"/>
  <c r="E547" i="3"/>
  <c r="E207" i="3"/>
  <c r="E208" i="3"/>
  <c r="W6" i="3"/>
  <c r="E157" i="3"/>
  <c r="E127" i="3"/>
  <c r="E154" i="3"/>
  <c r="E66" i="3"/>
  <c r="E542" i="3"/>
  <c r="E297" i="3"/>
  <c r="E48" i="3"/>
  <c r="E520" i="3"/>
  <c r="E222" i="3"/>
  <c r="E348" i="3"/>
  <c r="E141" i="3"/>
  <c r="E176" i="3"/>
  <c r="E123" i="3"/>
  <c r="E325" i="3"/>
  <c r="E38" i="3"/>
  <c r="L6" i="3"/>
  <c r="E178" i="3"/>
  <c r="E419" i="3"/>
  <c r="E507" i="3"/>
  <c r="E105" i="3"/>
  <c r="E326" i="3"/>
  <c r="E324" i="3"/>
  <c r="E356" i="3"/>
  <c r="E420" i="3"/>
  <c r="E408" i="3"/>
  <c r="E525" i="3"/>
  <c r="E308" i="3"/>
  <c r="E383" i="3"/>
  <c r="E281" i="3"/>
  <c r="E144" i="3"/>
  <c r="E409" i="3"/>
  <c r="E417" i="3"/>
  <c r="E286" i="3"/>
  <c r="Q74" i="67"/>
  <c r="E510" i="3"/>
  <c r="E442" i="3"/>
  <c r="E491" i="3"/>
  <c r="E363" i="3"/>
  <c r="E64" i="3"/>
  <c r="E492" i="3"/>
  <c r="E355" i="3"/>
  <c r="E513" i="3"/>
  <c r="E42" i="3"/>
  <c r="E174"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D26" i="43"/>
  <c r="C25" i="43" s="1"/>
  <c r="E212" i="3"/>
  <c r="F19" i="6"/>
  <c r="Q52" i="15"/>
  <c r="F1" i="15"/>
  <c r="M14" i="1"/>
  <c r="E30" i="6"/>
  <c r="E482" i="3"/>
  <c r="E391" i="3"/>
  <c r="E494" i="3"/>
  <c r="E283" i="3"/>
  <c r="E68" i="3"/>
  <c r="E184" i="3"/>
  <c r="E84" i="3"/>
  <c r="E371" i="3"/>
  <c r="E160" i="3"/>
  <c r="E425" i="3"/>
  <c r="E389" i="3"/>
  <c r="E258" i="3"/>
  <c r="E56" i="3"/>
  <c r="E554" i="3"/>
  <c r="E430" i="3"/>
  <c r="R6" i="3"/>
  <c r="E536" i="3"/>
  <c r="E3" i="6"/>
  <c r="U19" i="1" s="1"/>
  <c r="W19" i="1" s="1"/>
  <c r="E102" i="3"/>
  <c r="E34" i="3"/>
  <c r="E235" i="3"/>
  <c r="E18" i="3"/>
  <c r="AL6" i="3"/>
  <c r="AC6" i="3" s="1"/>
  <c r="E198" i="3"/>
  <c r="E309" i="3"/>
  <c r="E63" i="3"/>
  <c r="E233" i="3"/>
  <c r="E67" i="3"/>
  <c r="E310" i="3"/>
  <c r="E267" i="3"/>
  <c r="E467" i="3"/>
  <c r="E76" i="3"/>
  <c r="E241" i="3"/>
  <c r="E37" i="3"/>
  <c r="E435" i="3"/>
  <c r="E449" i="3"/>
  <c r="E502" i="3"/>
  <c r="E199" i="3"/>
  <c r="Q73" i="15"/>
  <c r="C21" i="71"/>
  <c r="D22" i="71"/>
  <c r="D56" i="71"/>
  <c r="T56" i="71"/>
  <c r="R36" i="36"/>
  <c r="O65" i="71"/>
  <c r="D66" i="71"/>
  <c r="O66" i="71"/>
  <c r="C36" i="71"/>
  <c r="D35" i="71"/>
  <c r="E46"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U20" i="1" s="1"/>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F41" i="15"/>
  <c r="M27" i="67"/>
  <c r="M27" i="15"/>
  <c r="W21" i="1" l="1"/>
  <c r="W22" i="1" s="1"/>
  <c r="E19" i="6"/>
  <c r="M18" i="9" s="1"/>
  <c r="B118" i="9" s="1"/>
  <c r="B1" i="74" s="1"/>
  <c r="F27" i="6"/>
  <c r="F31" i="6" s="1"/>
  <c r="E6" i="3"/>
  <c r="F25" i="12"/>
  <c r="C26" i="12" s="1"/>
  <c r="D25" i="12" s="1"/>
  <c r="D116" i="43"/>
  <c r="D36" i="71"/>
  <c r="T36" i="71"/>
  <c r="D21" i="71"/>
  <c r="C20" i="71"/>
  <c r="F22" i="68"/>
  <c r="F22" i="11"/>
  <c r="C23" i="11" s="1"/>
  <c r="F24" i="67"/>
  <c r="C24" i="67" s="1"/>
  <c r="F24" i="15"/>
  <c r="C24" i="15" s="1"/>
  <c r="F22" i="69"/>
  <c r="F41" i="69" s="1"/>
  <c r="E49" i="34"/>
  <c r="I54" i="34" s="1"/>
  <c r="J54" i="34" s="1"/>
  <c r="O36" i="43"/>
  <c r="Q36" i="43"/>
  <c r="N36" i="43"/>
  <c r="M36" i="43"/>
  <c r="P36" i="43"/>
  <c r="P37" i="43"/>
  <c r="M37" i="43"/>
  <c r="Q37" i="43"/>
  <c r="O37" i="43"/>
  <c r="N37" i="43"/>
  <c r="C34" i="43"/>
  <c r="E34" i="43" s="1"/>
  <c r="F69" i="15"/>
  <c r="S11" i="1"/>
  <c r="E11" i="70" s="1"/>
  <c r="S9" i="1"/>
  <c r="S7" i="1"/>
  <c r="E7" i="70" s="1"/>
  <c r="S10" i="1"/>
  <c r="E10" i="70" s="1"/>
  <c r="S12" i="1"/>
  <c r="C20" i="11"/>
  <c r="D17" i="12"/>
  <c r="C17" i="12" s="1"/>
  <c r="D10" i="11"/>
  <c r="C10" i="11" s="1"/>
  <c r="D20" i="12"/>
  <c r="C20" i="12" s="1"/>
  <c r="C18" i="12" s="1"/>
  <c r="D25" i="6"/>
  <c r="D15" i="6"/>
  <c r="D22" i="6"/>
  <c r="D21" i="6"/>
  <c r="D24" i="6"/>
  <c r="D20" i="6"/>
  <c r="D26" i="6"/>
  <c r="D8" i="6"/>
  <c r="D14" i="6"/>
  <c r="D6" i="6"/>
  <c r="D9" i="6"/>
  <c r="D10" i="6"/>
  <c r="D29" i="6"/>
  <c r="D19" i="6"/>
  <c r="D33" i="43" s="1"/>
  <c r="D1" i="43" s="1"/>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F41" i="67"/>
  <c r="D10" i="68"/>
  <c r="C17" i="15"/>
  <c r="F69" i="67" l="1"/>
  <c r="M19" i="9"/>
  <c r="C118" i="9" s="1"/>
  <c r="B2" i="74" s="1"/>
  <c r="E33" i="43"/>
  <c r="C6" i="69"/>
  <c r="C7" i="69" s="1"/>
  <c r="E53" i="34"/>
  <c r="F53" i="34" s="1"/>
  <c r="K6" i="1"/>
  <c r="E27" i="6"/>
  <c r="K19" i="6"/>
  <c r="C44" i="68"/>
  <c r="D41" i="68" s="1"/>
  <c r="D30" i="6"/>
  <c r="C26" i="68"/>
  <c r="D22" i="68" s="1"/>
  <c r="F41" i="68"/>
  <c r="C26" i="11"/>
  <c r="D22" i="11" s="1"/>
  <c r="E54" i="34"/>
  <c r="F54" i="34" s="1"/>
  <c r="C44" i="11"/>
  <c r="D41" i="11" s="1"/>
  <c r="C19" i="71"/>
  <c r="T20" i="71"/>
  <c r="D20" i="71"/>
  <c r="U20" i="71" s="1"/>
  <c r="C25" i="11"/>
  <c r="C24" i="11"/>
  <c r="C44" i="69"/>
  <c r="D41" i="69" s="1"/>
  <c r="C26" i="69"/>
  <c r="D22" i="69" s="1"/>
  <c r="C30" i="43"/>
  <c r="B2" i="43" s="1"/>
  <c r="B3" i="43" s="1"/>
  <c r="C31" i="43"/>
  <c r="E12" i="70"/>
  <c r="F34" i="11"/>
  <c r="F11" i="12"/>
  <c r="E9" i="70"/>
  <c r="AR9" i="1"/>
  <c r="AQ9" i="1"/>
  <c r="T9" i="1"/>
  <c r="AQ11" i="1"/>
  <c r="AR11" i="1"/>
  <c r="T11" i="1"/>
  <c r="AR12" i="1"/>
  <c r="T12" i="1"/>
  <c r="AQ12" i="1"/>
  <c r="AQ10" i="1"/>
  <c r="T10" i="1"/>
  <c r="AR10" i="1"/>
  <c r="AR7" i="1"/>
  <c r="AQ7" i="1"/>
  <c r="T7" i="1"/>
  <c r="D16" i="6"/>
  <c r="C15" i="12"/>
  <c r="C12" i="12"/>
  <c r="D27" i="6"/>
  <c r="D8" i="74"/>
  <c r="D7" i="74"/>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F43" i="67"/>
  <c r="E6" i="76"/>
  <c r="F7" i="67"/>
  <c r="C14" i="15"/>
  <c r="M29" i="67"/>
  <c r="B6" i="76"/>
  <c r="C6" i="67" l="1"/>
  <c r="M7" i="67"/>
  <c r="J6" i="67" s="1"/>
  <c r="F50" i="67"/>
  <c r="C49" i="67" s="1"/>
  <c r="C48" i="67" s="1"/>
  <c r="F71" i="67"/>
  <c r="D31" i="6"/>
  <c r="S6" i="1"/>
  <c r="M19" i="6"/>
  <c r="K26" i="6"/>
  <c r="M26" i="6" s="1"/>
  <c r="I26" i="6" s="1"/>
  <c r="K23" i="6"/>
  <c r="M23" i="6" s="1"/>
  <c r="I23" i="6" s="1"/>
  <c r="K24" i="6"/>
  <c r="M24" i="6" s="1"/>
  <c r="I24" i="6" s="1"/>
  <c r="K22" i="6"/>
  <c r="M22" i="6" s="1"/>
  <c r="I22" i="6" s="1"/>
  <c r="K20" i="6"/>
  <c r="M20" i="6" s="1"/>
  <c r="I20" i="6" s="1"/>
  <c r="K21" i="6"/>
  <c r="K25" i="6"/>
  <c r="M25" i="6" s="1"/>
  <c r="I25" i="6" s="1"/>
  <c r="E31" i="6"/>
  <c r="AP6" i="1"/>
  <c r="M6" i="1"/>
  <c r="Q16" i="1"/>
  <c r="G16" i="1"/>
  <c r="H16" i="1"/>
  <c r="K16" i="1"/>
  <c r="C18" i="71"/>
  <c r="D19" i="71"/>
  <c r="C22" i="11"/>
  <c r="C18" i="15"/>
  <c r="C15" i="15"/>
  <c r="C36" i="11"/>
  <c r="C37" i="11"/>
  <c r="C23" i="12"/>
  <c r="C14" i="12"/>
  <c r="C16" i="12" s="1"/>
  <c r="C21" i="12" s="1"/>
  <c r="C22" i="12" s="1"/>
  <c r="C19" i="68"/>
  <c r="D37" i="68"/>
  <c r="C37" i="68" s="1"/>
  <c r="C19" i="69"/>
  <c r="C24" i="69" s="1"/>
  <c r="I5" i="6"/>
  <c r="I6" i="6"/>
  <c r="E2" i="76"/>
  <c r="B2" i="76"/>
  <c r="I69" i="39"/>
  <c r="J67" i="39"/>
  <c r="I63" i="40"/>
  <c r="H65" i="40"/>
  <c r="I58" i="21"/>
  <c r="J58" i="21" s="1"/>
  <c r="K58" i="21" s="1"/>
  <c r="L58" i="21" s="1"/>
  <c r="M58" i="21" s="1"/>
  <c r="N58" i="21" s="1"/>
  <c r="O58" i="21" s="1"/>
  <c r="H7" i="21" s="1"/>
  <c r="J48" i="35"/>
  <c r="C16" i="67"/>
  <c r="D10" i="69"/>
  <c r="C34" i="69"/>
  <c r="C17" i="67"/>
  <c r="C36" i="69"/>
  <c r="C14" i="67"/>
  <c r="D19" i="69" l="1"/>
  <c r="D37" i="69" s="1"/>
  <c r="C37" i="69" s="1"/>
  <c r="C10" i="69"/>
  <c r="C8" i="69" s="1"/>
  <c r="C5" i="69" s="1"/>
  <c r="C23" i="69" s="1"/>
  <c r="C18" i="67"/>
  <c r="C15" i="67"/>
  <c r="C19" i="67" s="1"/>
  <c r="C60" i="67"/>
  <c r="C66" i="67"/>
  <c r="E6" i="70"/>
  <c r="J18" i="67"/>
  <c r="J5" i="67"/>
  <c r="J24" i="67" s="1"/>
  <c r="J19" i="67"/>
  <c r="C32" i="67"/>
  <c r="C10" i="67"/>
  <c r="C5" i="67" s="1"/>
  <c r="C38" i="67" s="1"/>
  <c r="C33" i="67"/>
  <c r="S20" i="6"/>
  <c r="H20" i="6"/>
  <c r="R20" i="6" s="1"/>
  <c r="R7" i="1" s="1"/>
  <c r="F28" i="12"/>
  <c r="C29" i="12" s="1"/>
  <c r="D28" i="12" s="1"/>
  <c r="F27" i="11"/>
  <c r="S22" i="6"/>
  <c r="H22" i="6"/>
  <c r="R22" i="6" s="1"/>
  <c r="R9" i="1" s="1"/>
  <c r="I19" i="6"/>
  <c r="L18" i="9" s="1"/>
  <c r="F10" i="39"/>
  <c r="J10" i="39"/>
  <c r="F10" i="40"/>
  <c r="H10" i="40"/>
  <c r="H10" i="39"/>
  <c r="J10" i="40"/>
  <c r="S26" i="6"/>
  <c r="H26" i="6"/>
  <c r="R26" i="6" s="1"/>
  <c r="C38" i="69"/>
  <c r="C35" i="69"/>
  <c r="O6" i="1"/>
  <c r="O16" i="1" s="1"/>
  <c r="M16" i="1"/>
  <c r="S25" i="6"/>
  <c r="H25" i="6"/>
  <c r="R25" i="6" s="1"/>
  <c r="R12" i="1" s="1"/>
  <c r="S24" i="6"/>
  <c r="H24" i="6"/>
  <c r="R24" i="6" s="1"/>
  <c r="R11" i="1" s="1"/>
  <c r="K27" i="6"/>
  <c r="S8" i="1"/>
  <c r="M21" i="6"/>
  <c r="I21" i="6" s="1"/>
  <c r="S23" i="6"/>
  <c r="H23" i="6"/>
  <c r="R23" i="6" s="1"/>
  <c r="R10" i="1" s="1"/>
  <c r="T6" i="1"/>
  <c r="AQ6" i="1"/>
  <c r="AR6" i="1"/>
  <c r="C17" i="71"/>
  <c r="D18" i="71"/>
  <c r="F7" i="21"/>
  <c r="S7" i="21" s="1"/>
  <c r="J7" i="21"/>
  <c r="AC7" i="21" s="1"/>
  <c r="V48" i="21" s="1"/>
  <c r="I48" i="21" s="1"/>
  <c r="C19" i="15"/>
  <c r="C20" i="15" s="1"/>
  <c r="C26" i="15" s="1"/>
  <c r="C27" i="12"/>
  <c r="C25" i="12" s="1"/>
  <c r="C20" i="69"/>
  <c r="C20" i="68"/>
  <c r="C24" i="68"/>
  <c r="B3" i="76"/>
  <c r="J69" i="39"/>
  <c r="K67" i="39"/>
  <c r="U7" i="21"/>
  <c r="AB7" i="21"/>
  <c r="T48" i="21" s="1"/>
  <c r="G48" i="21" s="1"/>
  <c r="J63" i="40"/>
  <c r="I65" i="40"/>
  <c r="K48" i="35"/>
  <c r="L48" i="35" s="1"/>
  <c r="M48" i="35" s="1"/>
  <c r="N48" i="35" s="1"/>
  <c r="O48" i="35" s="1"/>
  <c r="H7" i="35" s="1"/>
  <c r="F27" i="69"/>
  <c r="F27" i="68"/>
  <c r="C20" i="67" l="1"/>
  <c r="C26" i="67" s="1"/>
  <c r="C23" i="67"/>
  <c r="C29" i="67" s="1"/>
  <c r="J59" i="67" s="1"/>
  <c r="J60" i="67" s="1"/>
  <c r="Q48" i="67" s="1"/>
  <c r="M27" i="6"/>
  <c r="C28" i="68"/>
  <c r="C27" i="68" s="1"/>
  <c r="C28" i="69"/>
  <c r="C27" i="69" s="1"/>
  <c r="C30" i="12"/>
  <c r="C28" i="12" s="1"/>
  <c r="C32" i="12" s="1"/>
  <c r="B2" i="12" s="1"/>
  <c r="B3" i="12" s="1"/>
  <c r="C33" i="69"/>
  <c r="C42" i="69" s="1"/>
  <c r="N16" i="1"/>
  <c r="L16" i="1"/>
  <c r="C34" i="11"/>
  <c r="U10" i="39"/>
  <c r="AB10" i="39"/>
  <c r="S10" i="39"/>
  <c r="AA10" i="39"/>
  <c r="S21" i="6"/>
  <c r="H21" i="6"/>
  <c r="R21" i="6" s="1"/>
  <c r="R8" i="1" s="1"/>
  <c r="AB10" i="40"/>
  <c r="U10" i="40"/>
  <c r="C47" i="69"/>
  <c r="D45" i="69" s="1"/>
  <c r="C29" i="69"/>
  <c r="D27" i="69" s="1"/>
  <c r="F45" i="69"/>
  <c r="S10" i="40"/>
  <c r="AA10" i="40"/>
  <c r="C29" i="11"/>
  <c r="D27" i="11" s="1"/>
  <c r="C47" i="11"/>
  <c r="D45" i="11" s="1"/>
  <c r="C28" i="11"/>
  <c r="C27" i="11" s="1"/>
  <c r="E8" i="70"/>
  <c r="E2" i="70" s="1"/>
  <c r="AQ8" i="1"/>
  <c r="T8" i="1"/>
  <c r="T16" i="1" s="1"/>
  <c r="AR8" i="1"/>
  <c r="S16" i="1"/>
  <c r="AC10" i="40"/>
  <c r="W10" i="40"/>
  <c r="W10" i="39"/>
  <c r="AC10" i="39"/>
  <c r="H19" i="6"/>
  <c r="L19" i="9" s="1"/>
  <c r="S19" i="6"/>
  <c r="I27" i="6"/>
  <c r="C47" i="68"/>
  <c r="D45" i="68" s="1"/>
  <c r="C29" i="68"/>
  <c r="D27" i="68" s="1"/>
  <c r="F45" i="68"/>
  <c r="D17" i="71"/>
  <c r="C16" i="71"/>
  <c r="W7" i="21"/>
  <c r="AA7" i="21"/>
  <c r="R48" i="21" s="1"/>
  <c r="R49" i="21" s="1"/>
  <c r="J7" i="35"/>
  <c r="W7" i="35" s="1"/>
  <c r="Q49" i="67"/>
  <c r="J14" i="67"/>
  <c r="J13" i="67" s="1"/>
  <c r="J23" i="67" s="1"/>
  <c r="C61" i="67"/>
  <c r="C23" i="15"/>
  <c r="C29" i="15" s="1"/>
  <c r="C25" i="69"/>
  <c r="C22" i="69" s="1"/>
  <c r="C25" i="68"/>
  <c r="C22" i="68" s="1"/>
  <c r="L67" i="39"/>
  <c r="K69" i="39"/>
  <c r="J65" i="40"/>
  <c r="K63" i="40"/>
  <c r="I52" i="21"/>
  <c r="J52" i="21" s="1"/>
  <c r="U7" i="35"/>
  <c r="AB7" i="35"/>
  <c r="T38" i="35" s="1"/>
  <c r="G38" i="35" s="1"/>
  <c r="G52" i="21"/>
  <c r="H52" i="21" s="1"/>
  <c r="G53" i="21"/>
  <c r="H53" i="21" s="1"/>
  <c r="F7" i="35"/>
  <c r="C34" i="68"/>
  <c r="C13" i="67" l="1"/>
  <c r="Q70" i="67" s="1"/>
  <c r="C57" i="67"/>
  <c r="C64" i="67" s="1"/>
  <c r="C36" i="67"/>
  <c r="S27" i="6"/>
  <c r="C31" i="68"/>
  <c r="C39" i="69"/>
  <c r="C43" i="69" s="1"/>
  <c r="C41" i="69" s="1"/>
  <c r="C31" i="11"/>
  <c r="C31" i="69"/>
  <c r="F50" i="69"/>
  <c r="F50" i="68"/>
  <c r="F50" i="11"/>
  <c r="C38" i="11"/>
  <c r="C35" i="11"/>
  <c r="R19" i="6"/>
  <c r="H27" i="6"/>
  <c r="C38" i="68"/>
  <c r="C35" i="68"/>
  <c r="T16" i="71"/>
  <c r="D16" i="71"/>
  <c r="U16" i="71" s="1"/>
  <c r="C15" i="71"/>
  <c r="E48" i="21"/>
  <c r="AC7" i="35"/>
  <c r="V38" i="35" s="1"/>
  <c r="I38" i="35" s="1"/>
  <c r="C56" i="67"/>
  <c r="C65" i="67" s="1"/>
  <c r="J22" i="67"/>
  <c r="C37" i="67"/>
  <c r="C75" i="67"/>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46" i="69" l="1"/>
  <c r="C45" i="69" s="1"/>
  <c r="C49" i="69" s="1"/>
  <c r="C51" i="69" s="1"/>
  <c r="C33" i="11"/>
  <c r="C42" i="11" s="1"/>
  <c r="C33" i="68"/>
  <c r="C39" i="68" s="1"/>
  <c r="C43" i="68" s="1"/>
  <c r="C39" i="11"/>
  <c r="C43" i="11" s="1"/>
  <c r="R27" i="6"/>
  <c r="R6" i="1"/>
  <c r="C14" i="71"/>
  <c r="D15" i="71"/>
  <c r="J22" i="15"/>
  <c r="C61" i="15"/>
  <c r="C64" i="15"/>
  <c r="C37" i="15"/>
  <c r="C56" i="15"/>
  <c r="C65" i="15" s="1"/>
  <c r="C75" i="15"/>
  <c r="M69" i="39"/>
  <c r="N67" i="39"/>
  <c r="R39" i="35"/>
  <c r="E38" i="35"/>
  <c r="M63" i="40"/>
  <c r="L65" i="40"/>
  <c r="M21" i="15"/>
  <c r="F35" i="67"/>
  <c r="D2" i="21"/>
  <c r="M21" i="67"/>
  <c r="F35" i="15"/>
  <c r="F63" i="15" l="1"/>
  <c r="C62" i="15" s="1"/>
  <c r="C34" i="15"/>
  <c r="C31" i="15" s="1"/>
  <c r="C30" i="15" s="1"/>
  <c r="C39" i="15" s="1"/>
  <c r="J20" i="15"/>
  <c r="J17" i="15" s="1"/>
  <c r="J16" i="15" s="1"/>
  <c r="J25" i="15" s="1"/>
  <c r="J26" i="15" s="1"/>
  <c r="J29" i="15" s="1"/>
  <c r="C59" i="15"/>
  <c r="C58" i="15" s="1"/>
  <c r="C67" i="15" s="1"/>
  <c r="C68" i="15" s="1"/>
  <c r="C71" i="15" s="1"/>
  <c r="C34" i="67"/>
  <c r="C31" i="67" s="1"/>
  <c r="C30" i="67" s="1"/>
  <c r="C39" i="67" s="1"/>
  <c r="F63" i="67"/>
  <c r="C62" i="67" s="1"/>
  <c r="C59" i="67" s="1"/>
  <c r="C58" i="67" s="1"/>
  <c r="C67" i="67" s="1"/>
  <c r="C68" i="67" s="1"/>
  <c r="C71" i="67" s="1"/>
  <c r="J20" i="67"/>
  <c r="J17" i="67" s="1"/>
  <c r="J16" i="67" s="1"/>
  <c r="J25" i="67" s="1"/>
  <c r="J26" i="67" s="1"/>
  <c r="J29" i="67" s="1"/>
  <c r="R16" i="1"/>
  <c r="C52" i="69"/>
  <c r="B2" i="69" s="1"/>
  <c r="C41" i="11"/>
  <c r="C42" i="68"/>
  <c r="C41" i="68" s="1"/>
  <c r="C46" i="11"/>
  <c r="C45" i="11" s="1"/>
  <c r="C46" i="68"/>
  <c r="C45" i="68" s="1"/>
  <c r="D14" i="71"/>
  <c r="C13" i="71"/>
  <c r="B2" i="21"/>
  <c r="B3" i="21" s="1"/>
  <c r="O67" i="39"/>
  <c r="O69" i="39" s="1"/>
  <c r="N69" i="39"/>
  <c r="F7" i="39"/>
  <c r="C39" i="35"/>
  <c r="C38" i="35"/>
  <c r="N63" i="40"/>
  <c r="M65" i="40"/>
  <c r="E43" i="35"/>
  <c r="F43" i="35" s="1"/>
  <c r="E42" i="35"/>
  <c r="F42" i="35" s="1"/>
  <c r="I43" i="35"/>
  <c r="J43" i="35" s="1"/>
  <c r="L51" i="67"/>
  <c r="D2" i="33"/>
  <c r="B3" i="69"/>
  <c r="Q69" i="15" l="1"/>
  <c r="Q68" i="15" s="1"/>
  <c r="H39" i="15"/>
  <c r="Q69" i="67"/>
  <c r="Q68" i="67" s="1"/>
  <c r="H39" i="67"/>
  <c r="C80" i="67"/>
  <c r="C79" i="67" s="1"/>
  <c r="C40" i="67"/>
  <c r="Q65" i="67" s="1"/>
  <c r="C57" i="69"/>
  <c r="C56" i="69" s="1"/>
  <c r="C49" i="11"/>
  <c r="C51" i="11" s="1"/>
  <c r="C52" i="11" s="1"/>
  <c r="B2" i="11" s="1"/>
  <c r="B3" i="11" s="1"/>
  <c r="C49" i="68"/>
  <c r="C51" i="68" s="1"/>
  <c r="F35" i="9" s="1"/>
  <c r="C12" i="71"/>
  <c r="D13" i="71"/>
  <c r="L57" i="67"/>
  <c r="L60" i="67" s="1"/>
  <c r="L46" i="67" s="1"/>
  <c r="Q67" i="67"/>
  <c r="B2" i="33"/>
  <c r="B3" i="33" s="1"/>
  <c r="C80" i="15"/>
  <c r="C79" i="15" s="1"/>
  <c r="C40" i="15"/>
  <c r="C46" i="15" s="1"/>
  <c r="H7" i="39"/>
  <c r="J7" i="39"/>
  <c r="S7" i="39"/>
  <c r="AA7" i="39"/>
  <c r="R47" i="39" s="1"/>
  <c r="O63" i="40"/>
  <c r="O65" i="40" s="1"/>
  <c r="N65" i="40"/>
  <c r="D2" i="34"/>
  <c r="D2" i="35"/>
  <c r="L51" i="15"/>
  <c r="D2" i="37"/>
  <c r="D2" i="36"/>
  <c r="Q47" i="67" l="1"/>
  <c r="Q53" i="67" s="1"/>
  <c r="C83" i="67"/>
  <c r="C82" i="67" s="1"/>
  <c r="D2" i="67"/>
  <c r="B2" i="67" s="1"/>
  <c r="C43" i="67"/>
  <c r="C45" i="67"/>
  <c r="C46" i="67" s="1"/>
  <c r="Q56" i="67"/>
  <c r="C56" i="11"/>
  <c r="C57" i="11" s="1"/>
  <c r="C52" i="68"/>
  <c r="B2" i="68" s="1"/>
  <c r="D12" i="71"/>
  <c r="U12" i="71" s="1"/>
  <c r="C11" i="71"/>
  <c r="T12" i="71"/>
  <c r="Q57" i="67"/>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8" i="1"/>
  <c r="AO10" i="1"/>
  <c r="C19" i="9"/>
  <c r="AO9" i="1"/>
  <c r="B3" i="68"/>
  <c r="C102" i="9" l="1"/>
  <c r="C21" i="9"/>
  <c r="Q62" i="67"/>
  <c r="B3" i="67"/>
  <c r="C57" i="68"/>
  <c r="C56"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21" i="9"/>
  <c r="D22" i="9"/>
  <c r="G19" i="9"/>
  <c r="G21" i="9" s="1"/>
  <c r="D10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9" i="71"/>
  <c r="C8" i="71"/>
  <c r="C42" i="40"/>
  <c r="C43" i="40"/>
  <c r="E47" i="40"/>
  <c r="F47" i="40" s="1"/>
  <c r="E46" i="40"/>
  <c r="F46" i="40" s="1"/>
  <c r="I47" i="40"/>
  <c r="J47" i="40" s="1"/>
  <c r="C35" i="9" l="1"/>
  <c r="D35" i="9" s="1"/>
  <c r="F34" i="9"/>
  <c r="C34" i="9"/>
  <c r="D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4" i="52" s="1"/>
  <c r="B47" i="72" s="1"/>
  <c r="F118" i="9"/>
  <c r="F4" i="52" s="1"/>
  <c r="B51" i="72" s="1"/>
  <c r="H118" i="9"/>
  <c r="H4" i="52" l="1"/>
  <c r="D14" i="74"/>
  <c r="G14" i="74" s="1"/>
  <c r="I118" i="9"/>
  <c r="C104" i="9"/>
  <c r="H101" i="9"/>
  <c r="D45" i="9" s="1"/>
  <c r="D52" i="9" s="1"/>
  <c r="D55" i="9"/>
  <c r="M53" i="9" s="1"/>
  <c r="G118" i="9"/>
  <c r="G4" i="52" s="1"/>
  <c r="B52" i="72" s="1"/>
  <c r="H119" i="9"/>
  <c r="H5" i="52" s="1"/>
  <c r="F119" i="9"/>
  <c r="F5" i="52" s="1"/>
  <c r="B53" i="72" s="1"/>
  <c r="D119" i="9"/>
  <c r="D5" i="52" s="1"/>
  <c r="B49" i="72" s="1"/>
  <c r="C105" i="9" l="1"/>
  <c r="E14" i="74"/>
  <c r="F14" i="74"/>
  <c r="H102" i="9"/>
  <c r="D7" i="53" s="1"/>
  <c r="B21" i="72" s="1"/>
  <c r="I4" i="52"/>
  <c r="M48" i="9"/>
  <c r="H107" i="9"/>
  <c r="D122" i="9" s="1"/>
  <c r="D5" i="53"/>
  <c r="B20" i="72" s="1"/>
  <c r="C64" i="9"/>
  <c r="C63" i="9" s="1"/>
  <c r="C67" i="9" s="1"/>
  <c r="D59" i="9" s="1"/>
  <c r="M55" i="9" s="1"/>
  <c r="C78" i="9"/>
  <c r="C73" i="9" s="1"/>
  <c r="C93" i="9"/>
  <c r="C86" i="9" s="1"/>
  <c r="C95" i="9" s="1"/>
  <c r="D53" i="9"/>
  <c r="C72" i="9"/>
  <c r="C85" i="9"/>
  <c r="E118" i="9"/>
  <c r="E4" i="52" s="1"/>
  <c r="B48" i="72" s="1"/>
  <c r="D6" i="53" l="1"/>
  <c r="B22" i="72" s="1"/>
  <c r="D13" i="53"/>
  <c r="M49" i="9"/>
  <c r="L64" i="9" s="1"/>
  <c r="M64" i="9" s="1"/>
  <c r="H108" i="9"/>
  <c r="D15" i="53" s="1"/>
  <c r="B31" i="72" s="1"/>
  <c r="C68" i="9"/>
  <c r="D54" i="9" s="1"/>
  <c r="C79" i="9"/>
  <c r="C80" i="9" s="1"/>
  <c r="E80" i="9" s="1"/>
  <c r="E81" i="9" s="1"/>
  <c r="L65" i="9"/>
  <c r="M65" i="9" s="1"/>
  <c r="L66" i="9"/>
  <c r="M66" i="9" s="1"/>
  <c r="D8" i="52"/>
  <c r="D123" i="9"/>
  <c r="D9" i="52" s="1"/>
  <c r="D14" i="53"/>
  <c r="B32" i="72" s="1"/>
  <c r="B30" i="72"/>
  <c r="C96" i="9"/>
  <c r="E96" i="9" s="1"/>
  <c r="E97" i="9" s="1"/>
  <c r="L68" i="9" l="1"/>
  <c r="M68" i="9" s="1"/>
  <c r="L67" i="9"/>
  <c r="M67" i="9" s="1"/>
  <c r="L63" i="9"/>
  <c r="M63" i="9" s="1"/>
  <c r="M69" i="9" s="1"/>
  <c r="N69" i="9" s="1"/>
  <c r="C81" i="9"/>
  <c r="C97" i="9"/>
  <c r="D58" i="9" s="1"/>
  <c r="D56" i="9" s="1"/>
  <c r="M54" i="9" s="1"/>
  <c r="N57" i="9" s="1"/>
  <c r="N58" i="9" l="1"/>
  <c r="P57" i="9"/>
  <c r="N59" i="9"/>
  <c r="N60" i="9" l="1"/>
  <c r="N61" i="9"/>
  <c r="D15" i="74" l="1"/>
  <c r="G15" i="74" s="1"/>
  <c r="B6" i="74" s="1"/>
  <c r="E15" i="74"/>
  <c r="D6" i="74" l="1"/>
  <c r="C6" i="74"/>
  <c r="F15"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<sst xmlns="http://schemas.openxmlformats.org/spreadsheetml/2006/main" count="7973" uniqueCount="3494">
  <si>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</si>
  <si>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</si>
  <si>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</si>
  <si>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</si>
  <si>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</si>
  <si>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</si>
  <si>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</si>
  <si>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</si>
  <si>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</si>
  <si>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</si>
  <si>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</si>
  <si>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</si>
  <si>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</si>
  <si>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</si>
  <si>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</si>
  <si>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</si>
  <si>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</si>
  <si>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</si>
  <si>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</si>
  <si>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</si>
  <si>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</si>
  <si>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</si>
  <si>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</si>
  <si>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</si>
  <si>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</si>
  <si>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</si>
  <si>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</si>
  <si>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</si>
  <si>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</si>
  <si>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</si>
  <si>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</si>
  <si>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</si>
  <si>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</si>
  <si>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</si>
  <si>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</si>
  <si>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</si>
  <si>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</si>
  <si>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</si>
  <si>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</si>
  <si>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</si>
  <si>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</si>
  <si>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</si>
  <si>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</si>
  <si>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</si>
  <si>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</si>
  <si>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</si>
  <si>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</si>
  <si>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</si>
  <si>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</si>
  <si>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</si>
  <si>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</si>
  <si>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</si>
  <si>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</si>
  <si>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</si>
  <si>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</si>
  <si>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</si>
  <si>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</si>
  <si>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</si>
  <si>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</si>
  <si>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</si>
  <si>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</si>
  <si>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</si>
  <si>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</si>
  <si>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</si>
  <si>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</si>
  <si>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</si>
  <si>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</si>
  <si>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</si>
  <si>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</si>
  <si>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</si>
  <si>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</si>
  <si>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</si>
  <si>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</si>
  <si>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</si>
  <si>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</si>
  <si>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</si>
  <si>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</si>
  <si>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</si>
  <si>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</si>
  <si>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</si>
  <si>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</si>
  <si>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</si>
  <si>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</si>
  <si>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</si>
  <si>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</si>
  <si>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</si>
  <si>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</si>
  <si>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</si>
  <si>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</si>
  <si>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</si>
  <si>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</si>
  <si>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</si>
  <si>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</si>
  <si>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</si>
  <si>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</si>
  <si>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</si>
  <si>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</si>
  <si>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</si>
  <si>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</si>
  <si>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</si>
  <si>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</si>
  <si>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</si>
  <si>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</si>
  <si>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</si>
  <si>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</si>
  <si>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</si>
  <si>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</si>
  <si>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</si>
  <si>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</si>
  <si>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</si>
  <si>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</si>
  <si>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</si>
  <si>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</si>
  <si>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</si>
  <si>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</si>
  <si>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</si>
  <si>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</si>
  <si>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</si>
  <si>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</si>
  <si>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</si>
  <si>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</si>
  <si>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</si>
  <si>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</si>
  <si>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</si>
  <si>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</si>
  <si>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</si>
  <si>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</si>
  <si>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</si>
  <si>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</si>
  <si>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</si>
  <si>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</si>
  <si>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</si>
  <si>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</si>
  <si>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</si>
  <si>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</si>
  <si>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</si>
  <si>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</si>
  <si>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</si>
  <si>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</si>
  <si>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</si>
  <si>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</si>
  <si>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</si>
  <si>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</si>
  <si>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</si>
  <si>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</si>
  <si>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</si>
  <si>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</si>
  <si>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</si>
  <si>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</si>
  <si>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</si>
  <si>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</si>
  <si>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</si>
  <si>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</si>
  <si>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</si>
  <si>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</si>
  <si>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</si>
  <si>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</si>
  <si>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</si>
  <si>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</si>
  <si>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</si>
  <si>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</si>
  <si>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</si>
  <si>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</si>
  <si>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</si>
  <si>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</si>
  <si>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</si>
  <si>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</si>
  <si>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</si>
  <si>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</si>
  <si>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</si>
  <si>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</si>
  <si>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</si>
  <si>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</si>
  <si>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</si>
  <si>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</si>
  <si>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</si>
  <si>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</si>
  <si>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</si>
  <si>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</si>
  <si>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</si>
  <si>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</si>
  <si>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</si>
  <si>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</si>
  <si>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</si>
  <si>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</si>
  <si>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</si>
  <si>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</si>
  <si>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</si>
  <si>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</si>
  <si>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</si>
  <si>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</si>
  <si>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</si>
  <si>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</si>
  <si>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</si>
  <si>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</si>
  <si>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</si>
  <si>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</si>
  <si>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</si>
  <si>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</si>
  <si>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</si>
  <si>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</si>
  <si>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</si>
  <si>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</si>
  <si>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</si>
  <si>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</si>
  <si>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</si>
  <si>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</si>
  <si>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</si>
  <si>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</si>
  <si>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</si>
  <si>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</si>
  <si>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</si>
  <si>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</si>
  <si>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</si>
  <si>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</si>
  <si>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</si>
  <si>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</si>
  <si>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</si>
  <si>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</si>
  <si>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</si>
  <si>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</si>
  <si>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</si>
  <si>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</si>
  <si>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</si>
  <si>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</si>
  <si>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</si>
  <si>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</si>
  <si>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</si>
  <si>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</si>
  <si>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</si>
  <si>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</si>
  <si>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</si>
  <si>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</si>
  <si>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</si>
  <si>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</si>
  <si>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</si>
  <si>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</si>
  <si>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</si>
  <si>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</si>
  <si>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</si>
  <si>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</si>
  <si>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</si>
  <si>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</si>
  <si>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</si>
  <si>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</si>
  <si>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</si>
  <si>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</si>
  <si>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</si>
  <si>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</si>
  <si>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</si>
  <si>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</si>
  <si>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</si>
  <si>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</si>
  <si>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</si>
  <si>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</si>
  <si>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</si>
  <si>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</si>
  <si>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</si>
  <si>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</si>
  <si>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</si>
  <si>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</si>
  <si>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</si>
  <si>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</si>
  <si>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</si>
  <si>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</si>
  <si>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</si>
  <si>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</si>
  <si>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</si>
  <si>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</si>
  <si>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</si>
  <si>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</si>
  <si>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</si>
  <si>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</si>
  <si>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</si>
  <si>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</si>
  <si>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</si>
  <si>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</si>
  <si>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</si>
  <si>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</si>
  <si>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</si>
  <si>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</si>
  <si>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</si>
  <si>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</si>
  <si>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</si>
  <si>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</si>
  <si>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</si>
  <si>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</si>
  <si>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</si>
  <si>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</si>
  <si>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</si>
  <si>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</si>
  <si>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</si>
  <si>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</si>
  <si>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</si>
  <si>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</si>
  <si>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</si>
  <si>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</si>
  <si>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</si>
  <si>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</si>
  <si>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</si>
  <si>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</si>
  <si>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</si>
  <si>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</si>
  <si>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</si>
  <si>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</si>
  <si>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</si>
  <si>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</si>
  <si>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</si>
  <si>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</si>
  <si>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</si>
  <si>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</si>
  <si>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</si>
  <si>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</si>
  <si>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</si>
  <si>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</si>
  <si>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</si>
  <si>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</si>
  <si>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</si>
  <si>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</si>
  <si>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</si>
  <si>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</si>
  <si>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</si>
  <si>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</si>
  <si>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</si>
  <si>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</si>
  <si>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</si>
  <si>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</si>
  <si>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</si>
  <si>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</si>
  <si>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</si>
  <si>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</si>
  <si>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</si>
  <si>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</si>
  <si>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</si>
  <si>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</si>
  <si>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</si>
  <si>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</si>
  <si>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</si>
  <si>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</si>
  <si>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</si>
  <si>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</si>
  <si>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</si>
  <si>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</si>
  <si>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</si>
  <si>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</si>
  <si>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</si>
  <si>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</si>
  <si>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</si>
  <si>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</si>
  <si>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</si>
  <si>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</si>
  <si>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</si>
  <si>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</si>
  <si>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</si>
  <si>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</si>
  <si>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</si>
  <si>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</si>
  <si>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</si>
  <si>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</si>
  <si>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</si>
  <si>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</si>
  <si>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</si>
  <si>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</si>
  <si>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</si>
  <si>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</si>
  <si>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</si>
  <si>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</si>
  <si>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</si>
  <si>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</si>
  <si>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</si>
  <si>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</si>
  <si>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</si>
  <si>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</si>
  <si>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</si>
  <si>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</si>
  <si>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</si>
  <si>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</si>
  <si>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</si>
  <si>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</si>
  <si>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</si>
  <si>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</si>
  <si>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</si>
  <si>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</si>
  <si>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</si>
  <si>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</si>
  <si>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</si>
  <si>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</si>
  <si>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</si>
  <si>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</si>
  <si>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</si>
  <si>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</si>
  <si>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</si>
  <si>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</si>
  <si>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</si>
  <si>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</si>
  <si>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</si>
  <si>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</si>
  <si>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</si>
  <si>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</si>
  <si>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</si>
  <si>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</si>
  <si>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</si>
  <si>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</si>
  <si>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</si>
  <si>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</si>
  <si>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</si>
  <si>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</si>
  <si>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</si>
  <si>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</si>
  <si>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</si>
  <si>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</si>
  <si>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</si>
  <si>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</si>
  <si>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</si>
  <si>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</si>
  <si>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</si>
  <si>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</si>
  <si>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</si>
  <si>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</si>
  <si>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</si>
  <si>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</si>
  <si>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</si>
  <si>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</si>
  <si>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</si>
  <si>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</si>
  <si>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</si>
  <si>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</si>
  <si>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</si>
  <si>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</si>
  <si>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</si>
  <si>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</si>
  <si>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</si>
  <si>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</si>
  <si>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</si>
  <si>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</si>
  <si>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</si>
  <si>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</si>
  <si>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</si>
  <si>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</si>
  <si>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</si>
  <si>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</si>
  <si>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</si>
  <si>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</si>
  <si>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</si>
  <si>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</si>
  <si>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</si>
  <si>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</si>
  <si>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</si>
  <si>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</si>
  <si>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</si>
  <si>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</si>
  <si>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</si>
  <si>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</si>
  <si>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</si>
  <si>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</si>
  <si>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</si>
  <si>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</si>
  <si>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</si>
  <si>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</si>
  <si>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</si>
  <si>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</si>
  <si>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</si>
  <si>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</si>
  <si>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</si>
  <si>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</si>
  <si>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</si>
  <si>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</si>
  <si>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</si>
  <si>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</si>
  <si>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</si>
  <si>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</si>
  <si>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</si>
  <si>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</si>
  <si>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</si>
  <si>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</si>
  <si>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</si>
  <si>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</si>
  <si>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</si>
  <si>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</si>
  <si>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</si>
  <si>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</si>
  <si>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</si>
  <si>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</si>
  <si>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</si>
  <si>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</si>
  <si>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</si>
  <si>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</si>
  <si>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</si>
  <si>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</si>
  <si>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</si>
  <si>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</si>
  <si>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</si>
  <si>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</si>
  <si>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</si>
  <si>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</si>
  <si>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</si>
  <si>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</si>
  <si>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</si>
  <si>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</si>
  <si>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</si>
  <si>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</si>
  <si>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</si>
  <si>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</si>
  <si>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</si>
  <si>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</si>
  <si>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</si>
  <si>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</si>
  <si>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</si>
  <si>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</si>
  <si>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</si>
  <si>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</si>
  <si>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</si>
  <si>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</si>
  <si>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</si>
  <si>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</si>
  <si>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</si>
  <si>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</si>
  <si>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</si>
  <si>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</si>
  <si>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</si>
  <si>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</si>
  <si>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</si>
  <si>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</si>
  <si>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</si>
  <si>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</si>
  <si>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</si>
  <si>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</si>
  <si>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</si>
  <si>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</si>
  <si>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</si>
  <si>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</si>
  <si>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</si>
  <si>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</si>
  <si>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</si>
  <si>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</si>
  <si>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</si>
  <si>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</si>
  <si>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</si>
  <si>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</si>
  <si>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</si>
  <si>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</si>
  <si>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</si>
  <si>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</si>
  <si>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</si>
  <si>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</si>
  <si>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</si>
  <si>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</si>
  <si>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</si>
  <si>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</si>
  <si>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</si>
  <si>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</si>
  <si>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</si>
  <si>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</si>
  <si>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</si>
  <si>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</si>
  <si>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</si>
  <si>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</si>
  <si>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</si>
  <si>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</si>
  <si>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</si>
  <si>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</si>
  <si>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</si>
  <si>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</si>
  <si>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</si>
  <si>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</si>
  <si>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</si>
  <si>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</si>
  <si>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</si>
  <si>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</si>
  <si>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</si>
  <si>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</si>
  <si>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</si>
  <si>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</si>
  <si>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</si>
  <si>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</si>
  <si>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</si>
  <si>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</si>
  <si>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</si>
  <si>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</si>
  <si>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</si>
  <si>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</si>
  <si>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</si>
  <si>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</si>
  <si>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</si>
  <si>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</si>
  <si>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</si>
  <si>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</si>
  <si>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</si>
  <si>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</si>
  <si>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</si>
  <si>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</si>
  <si>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</si>
  <si>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</si>
  <si>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</si>
  <si>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</si>
  <si>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</si>
  <si>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</si>
  <si>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</si>
  <si>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</si>
  <si>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</si>
  <si>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</si>
  <si>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</si>
  <si>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</si>
  <si>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</si>
  <si>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</si>
  <si>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</si>
  <si>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</si>
  <si>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</si>
  <si>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</si>
  <si>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</si>
  <si>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</si>
  <si>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</si>
  <si>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</si>
  <si>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</si>
  <si>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</si>
  <si>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</si>
  <si>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</si>
  <si>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</si>
  <si>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</si>
  <si>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</si>
  <si>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</si>
  <si>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</si>
  <si>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</si>
  <si>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</si>
  <si>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</si>
  <si>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</si>
  <si>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</si>
  <si>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</si>
  <si>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</si>
  <si>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</si>
  <si>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</si>
  <si>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</si>
  <si>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</si>
  <si>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</si>
  <si>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</si>
  <si>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</si>
  <si>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</si>
  <si>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</si>
  <si>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</si>
  <si>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</si>
  <si>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</si>
  <si>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</si>
  <si>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</si>
  <si>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</si>
  <si>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</si>
  <si>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</si>
  <si>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</si>
  <si>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</si>
  <si>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</si>
  <si>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</si>
  <si>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</si>
  <si>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</si>
  <si>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</si>
  <si>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</si>
  <si>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</si>
  <si>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</si>
  <si>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</si>
  <si>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</si>
  <si>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</si>
  <si>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</si>
  <si>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</si>
  <si>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</si>
  <si>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</si>
  <si>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</si>
  <si>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</si>
  <si>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</si>
  <si>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</si>
  <si>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</si>
  <si>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</si>
  <si>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</si>
  <si>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</si>
  <si>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</si>
  <si>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</si>
  <si>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</si>
  <si>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</si>
  <si>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</si>
  <si>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</si>
  <si>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</si>
  <si>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</si>
  <si>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</si>
  <si>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</si>
  <si>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</si>
  <si>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</si>
  <si>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</si>
  <si>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</si>
  <si>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</si>
  <si>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</si>
  <si>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</si>
  <si>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</si>
  <si>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</si>
  <si>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</si>
  <si>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</si>
  <si>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</si>
  <si>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</si>
  <si>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</si>
  <si>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</si>
  <si>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</si>
  <si>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</si>
  <si>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</si>
  <si>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</si>
  <si>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</si>
  <si>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</si>
  <si>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</si>
  <si>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</si>
  <si>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</si>
  <si>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</si>
  <si>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</si>
  <si>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</si>
  <si>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</si>
  <si>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</si>
  <si>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</si>
  <si>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</si>
  <si>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</si>
  <si>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</si>
  <si>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</si>
  <si>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</si>
  <si>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</si>
  <si>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</si>
  <si>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</si>
  <si>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</si>
  <si>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</si>
  <si>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</si>
  <si>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</si>
  <si>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</si>
  <si>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</si>
  <si>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</si>
  <si>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</si>
  <si>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</si>
  <si>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</si>
  <si>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</si>
  <si>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</si>
  <si>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</si>
  <si>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</si>
  <si>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</si>
  <si>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</si>
  <si>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</si>
  <si>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</si>
  <si>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</si>
  <si>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</si>
  <si>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</si>
  <si>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</si>
  <si>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</si>
  <si>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</si>
  <si>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</si>
  <si>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</si>
  <si>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</si>
  <si>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</si>
  <si>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</si>
  <si>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</si>
  <si>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</si>
  <si>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</si>
  <si>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</si>
  <si>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</si>
  <si>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</si>
  <si>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</si>
  <si>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</si>
  <si>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</si>
  <si>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</si>
  <si>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</si>
  <si>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</si>
  <si>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</si>
  <si>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</si>
  <si>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</si>
  <si>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</si>
  <si>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</si>
  <si>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</si>
  <si>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</si>
  <si>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</si>
  <si>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</si>
  <si>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</si>
  <si>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</si>
  <si>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</si>
  <si>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</si>
  <si>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</si>
  <si>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</si>
  <si>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</si>
  <si>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</si>
  <si>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</si>
  <si>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</si>
  <si>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</si>
  <si>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</si>
  <si>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</si>
  <si>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</si>
  <si>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</si>
  <si>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</si>
  <si>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</si>
  <si>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</si>
  <si>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</si>
  <si>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</si>
  <si>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</si>
  <si>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</si>
  <si>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</si>
  <si>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</si>
  <si>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</si>
  <si>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</si>
  <si>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</si>
  <si>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</si>
  <si>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</si>
  <si>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</si>
  <si>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</si>
  <si>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</si>
  <si>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</si>
  <si>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</si>
  <si>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</si>
  <si>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</si>
  <si>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</si>
  <si>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</si>
  <si>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</si>
  <si>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</si>
  <si>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</si>
  <si>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</si>
  <si>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</si>
  <si>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</si>
  <si>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</si>
  <si>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</si>
  <si>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</si>
  <si>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</si>
  <si>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</si>
  <si>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</si>
  <si>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</si>
  <si>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</si>
  <si>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</si>
  <si>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</si>
  <si>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</si>
  <si>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</si>
  <si>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</si>
  <si>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</si>
  <si>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</si>
  <si>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</si>
  <si>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</si>
  <si>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</si>
  <si>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</si>
  <si>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</si>
  <si>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</si>
  <si>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</si>
  <si>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</si>
  <si>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</si>
  <si>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</si>
  <si>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</si>
  <si>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</si>
  <si>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</si>
  <si>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</si>
  <si>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</si>
  <si>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</si>
  <si>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</si>
  <si>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</si>
  <si>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</si>
  <si>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</si>
  <si>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</si>
  <si>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</si>
  <si>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</si>
  <si>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</si>
  <si>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</si>
  <si>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</si>
  <si>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</si>
  <si>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</si>
  <si>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</si>
  <si>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</si>
  <si>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</si>
  <si>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</si>
  <si>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</si>
  <si>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</si>
  <si>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</si>
  <si>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</si>
  <si>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</si>
  <si>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</si>
  <si>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</si>
  <si>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</si>
  <si>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</si>
  <si>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</si>
  <si>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</si>
  <si>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</si>
  <si>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</si>
  <si>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</si>
  <si>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</si>
  <si>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</si>
  <si>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</si>
  <si>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</si>
  <si>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</si>
  <si>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</si>
  <si>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</si>
  <si>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</si>
  <si>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</si>
  <si>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</si>
  <si>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</si>
  <si>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</si>
  <si>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</si>
  <si>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</si>
  <si>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</si>
  <si>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</si>
  <si>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</si>
  <si>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</si>
  <si>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</si>
  <si>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</si>
  <si>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</si>
  <si>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</si>
  <si>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</si>
  <si>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</si>
  <si>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</si>
  <si>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</si>
  <si>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</si>
  <si>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</si>
  <si>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</si>
  <si>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</si>
  <si>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</si>
  <si>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</si>
  <si>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</si>
  <si>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</si>
  <si>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</si>
  <si>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</si>
  <si>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</si>
  <si>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</si>
  <si>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</si>
  <si>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</si>
  <si>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</si>
  <si>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</si>
  <si>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</si>
  <si>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</si>
  <si>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</si>
  <si>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</si>
  <si>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</si>
  <si>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</si>
  <si>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</si>
  <si>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</si>
  <si>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</si>
  <si>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</si>
  <si>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</si>
  <si>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</si>
  <si>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</si>
  <si>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</si>
  <si>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</si>
  <si>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</si>
  <si>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</si>
  <si>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</si>
  <si>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</si>
  <si>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</si>
  <si>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</si>
  <si>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</si>
  <si>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</si>
  <si>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</si>
  <si>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</si>
  <si>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</si>
  <si>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</si>
  <si>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</si>
  <si>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</si>
  <si>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</si>
  <si>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</si>
  <si>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</si>
  <si>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</si>
  <si>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</si>
  <si>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</si>
  <si>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</si>
  <si>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</si>
  <si>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</si>
  <si>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</si>
  <si>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</si>
  <si>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</si>
  <si>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</si>
  <si>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</si>
  <si>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</si>
  <si>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</si>
  <si>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</si>
  <si>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</si>
  <si>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</si>
  <si>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</si>
  <si>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</si>
  <si>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</si>
  <si>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</si>
  <si>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</si>
  <si>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</si>
  <si>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</si>
  <si>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</si>
  <si>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</si>
  <si>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</si>
  <si>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</si>
  <si>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</si>
  <si>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</si>
  <si>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</si>
  <si>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</si>
  <si>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</si>
  <si>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</si>
  <si>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</si>
  <si>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</si>
  <si>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</si>
  <si>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</si>
  <si>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</si>
  <si>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</si>
  <si>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</si>
  <si>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</si>
  <si>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</si>
  <si>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</si>
  <si>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</si>
  <si>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</si>
  <si>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</si>
  <si>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</si>
  <si>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</si>
  <si>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</si>
  <si>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</si>
  <si>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</si>
  <si>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</si>
  <si>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</si>
  <si>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</si>
  <si>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</si>
  <si>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</si>
  <si>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</si>
  <si>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</si>
  <si>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</si>
  <si>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</si>
  <si>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</si>
  <si>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</si>
  <si>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</si>
  <si>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</si>
  <si>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</si>
  <si>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</si>
  <si>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</si>
  <si>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</si>
  <si>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</si>
  <si>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</si>
  <si>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</si>
  <si>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</si>
  <si>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</si>
  <si>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</si>
  <si>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</si>
  <si>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</si>
  <si>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</si>
  <si>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</si>
  <si>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</si>
  <si>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</si>
  <si>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</si>
  <si>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</si>
  <si>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</si>
  <si>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</si>
  <si>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</si>
  <si>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</si>
  <si>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</si>
  <si>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</si>
  <si>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</si>
  <si>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</si>
  <si>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</si>
  <si>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</si>
  <si>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</si>
  <si>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</si>
  <si>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</si>
  <si>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</si>
  <si>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</si>
  <si>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</si>
  <si>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</si>
  <si>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</si>
  <si>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</si>
  <si>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</si>
  <si>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</si>
  <si>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</si>
  <si>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</si>
  <si>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</si>
  <si>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</si>
  <si>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</si>
  <si>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</si>
  <si>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</si>
  <si>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</si>
  <si>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</si>
  <si>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</si>
  <si>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</si>
  <si>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</si>
  <si>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</si>
  <si>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</si>
  <si>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</si>
  <si>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</si>
  <si>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</si>
  <si>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</si>
  <si>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</si>
  <si>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</si>
  <si>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</si>
  <si>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</si>
  <si>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</si>
  <si>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</si>
  <si>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</si>
  <si>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</si>
  <si>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</si>
  <si>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</si>
  <si>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</si>
  <si>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</si>
  <si>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</si>
  <si>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</si>
  <si>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</si>
  <si>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</si>
  <si>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</si>
  <si>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</si>
  <si>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</si>
  <si>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</si>
  <si>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</si>
  <si>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</si>
  <si>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</si>
  <si>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</si>
  <si>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</si>
  <si>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</si>
  <si>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</si>
  <si>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</si>
  <si>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</si>
  <si>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</si>
  <si>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</si>
  <si>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</si>
  <si>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</si>
  <si>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</si>
  <si>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</si>
  <si>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</si>
  <si>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</si>
  <si>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</si>
  <si>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</si>
  <si>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</si>
  <si>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</si>
  <si>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</si>
  <si>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</si>
  <si>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</si>
  <si>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</si>
  <si>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</si>
  <si>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</si>
  <si>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</si>
  <si>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</si>
  <si>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</si>
  <si>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</si>
  <si>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</si>
  <si>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</si>
  <si>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</si>
  <si>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</si>
  <si>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</si>
  <si>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</si>
  <si>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</si>
  <si>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</si>
  <si>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</si>
  <si>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</si>
  <si>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</si>
  <si>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</si>
  <si>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</si>
  <si>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</si>
  <si>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</si>
  <si>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</si>
  <si>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</si>
  <si>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</si>
  <si>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</si>
  <si>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</si>
  <si>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</si>
  <si>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</si>
  <si>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</si>
  <si>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</si>
  <si>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</si>
  <si>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</si>
  <si>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</si>
  <si>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</si>
  <si>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</si>
  <si>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</si>
  <si>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</si>
  <si>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</si>
  <si>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</si>
  <si>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</si>
  <si>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</si>
  <si>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</si>
  <si>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</si>
  <si>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</si>
  <si>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</si>
  <si>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</si>
  <si>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</si>
  <si>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</si>
  <si>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</si>
  <si>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</si>
  <si>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</si>
  <si>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</si>
  <si>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</si>
  <si>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</si>
  <si>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</si>
  <si>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</si>
  <si>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</si>
  <si>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</si>
  <si>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</si>
  <si>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</si>
  <si>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</si>
  <si>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</si>
  <si>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</si>
  <si>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</si>
  <si>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</si>
  <si>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</si>
  <si>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</si>
  <si>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</si>
  <si>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</si>
  <si>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</si>
  <si>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</si>
  <si>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</si>
  <si>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</si>
  <si>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</si>
  <si>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</si>
  <si>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</si>
  <si>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</si>
  <si>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</si>
  <si>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</si>
  <si>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</si>
  <si>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</si>
  <si>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</si>
  <si>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</si>
  <si>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</si>
  <si>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</si>
  <si>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</si>
  <si>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</si>
  <si>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</si>
  <si>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</si>
  <si>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</si>
  <si>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</si>
  <si>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</si>
  <si>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</si>
  <si>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</si>
  <si>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</si>
  <si>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</si>
  <si>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</si>
  <si>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</si>
  <si>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</si>
  <si>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</si>
  <si>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</si>
  <si>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</si>
  <si>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</si>
  <si>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</si>
  <si>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</si>
  <si>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</si>
  <si>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</si>
  <si>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</si>
  <si>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</si>
  <si>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</si>
  <si>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</si>
  <si>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</si>
  <si>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</si>
  <si>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</si>
  <si>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</si>
  <si>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</si>
  <si>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</si>
  <si>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</si>
  <si>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</si>
  <si>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</si>
  <si>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</si>
  <si>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</si>
  <si>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</si>
  <si>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</si>
  <si>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</si>
  <si>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</si>
  <si>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</si>
  <si>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</si>
  <si>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</si>
  <si>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</si>
  <si>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</si>
  <si>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</si>
  <si>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</si>
  <si>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</si>
  <si>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</si>
  <si>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</si>
  <si>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</si>
  <si>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</si>
  <si>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</si>
  <si>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</si>
  <si>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</si>
  <si>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</si>
  <si>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</si>
  <si>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</si>
  <si>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</si>
  <si>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</si>
  <si>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</si>
  <si>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</si>
  <si>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</si>
  <si>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</si>
  <si>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</si>
  <si>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</si>
  <si>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</si>
  <si>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</si>
  <si>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</si>
  <si>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</si>
  <si>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</si>
  <si>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</si>
  <si>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</si>
  <si>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</si>
  <si>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</si>
  <si>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</si>
  <si>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</si>
  <si>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</si>
  <si>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</si>
  <si>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</si>
  <si>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</si>
  <si>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</si>
  <si>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</si>
  <si>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</si>
  <si>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</si>
  <si>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</si>
  <si>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</si>
  <si>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</si>
  <si>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</si>
  <si>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</si>
  <si>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</si>
  <si>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</si>
  <si>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</si>
  <si>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</si>
  <si>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</si>
  <si>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</si>
  <si>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</si>
  <si>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</si>
  <si>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</si>
  <si>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</si>
  <si>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</si>
  <si>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</si>
  <si>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</si>
  <si>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</si>
  <si>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</si>
  <si>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</si>
  <si>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</si>
  <si>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</si>
  <si>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</si>
  <si>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</si>
  <si>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</si>
  <si>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</si>
  <si>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</si>
  <si>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</si>
  <si>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</si>
  <si>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</si>
  <si>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</si>
  <si>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</si>
  <si>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</si>
  <si>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</si>
  <si>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</si>
  <si>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</si>
  <si>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</si>
  <si>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</si>
  <si>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</si>
  <si>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</si>
  <si>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</si>
  <si>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</si>
  <si>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</si>
  <si>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</si>
  <si>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</si>
  <si>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</si>
  <si>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</si>
  <si>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</si>
  <si>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</si>
  <si>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</si>
  <si>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</si>
  <si>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</si>
  <si>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</si>
  <si>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</si>
  <si>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</si>
  <si>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</si>
  <si>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</si>
  <si>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</si>
  <si>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</si>
  <si>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</si>
  <si>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</si>
  <si>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</si>
  <si>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</si>
  <si>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</si>
  <si>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</si>
  <si>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</si>
  <si>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</si>
  <si>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</si>
  <si>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</si>
  <si>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</si>
  <si>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</si>
  <si>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</si>
  <si>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</si>
  <si>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</si>
  <si>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</si>
  <si>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</si>
  <si>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</si>
  <si>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</si>
  <si>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</si>
  <si>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</si>
  <si>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</si>
  <si>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</si>
  <si>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</si>
  <si>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</si>
  <si>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</si>
  <si>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</si>
  <si>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</si>
  <si>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</si>
  <si>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</si>
  <si>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</si>
  <si>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</si>
  <si>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</si>
  <si>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</si>
  <si>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</si>
  <si>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</si>
  <si>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</si>
  <si>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</si>
  <si>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</si>
  <si>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</si>
  <si>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</si>
  <si>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</si>
  <si>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</si>
  <si>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</si>
  <si>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</si>
  <si>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</si>
  <si>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</si>
  <si>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</si>
  <si>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</si>
  <si>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</si>
  <si>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</si>
  <si>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</si>
  <si>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</si>
  <si>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</si>
  <si>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</si>
  <si>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</si>
  <si>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</si>
  <si>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</si>
  <si>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</si>
  <si>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</si>
  <si>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</si>
  <si>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</si>
  <si>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</si>
  <si>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</si>
  <si>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</si>
  <si>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</si>
  <si>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</si>
  <si>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</si>
  <si>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</si>
  <si>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</si>
  <si>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</si>
  <si>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</si>
  <si>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</si>
  <si>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</si>
  <si>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</si>
  <si>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</si>
  <si>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</si>
  <si>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</si>
  <si>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</si>
  <si>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</si>
  <si>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</si>
  <si>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</si>
  <si>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</si>
  <si>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</si>
  <si>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</si>
  <si>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</si>
  <si>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</si>
  <si>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</si>
  <si>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</si>
  <si>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</si>
  <si>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</si>
  <si>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</si>
  <si>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</si>
  <si>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</si>
  <si>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</si>
  <si>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</si>
  <si>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</si>
  <si>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</si>
  <si>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</si>
  <si>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</si>
  <si>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</si>
  <si>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</si>
  <si>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</si>
  <si>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</si>
  <si>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</si>
  <si>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</si>
  <si>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</si>
  <si>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</si>
  <si>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</si>
  <si>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</si>
  <si>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</si>
  <si>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</si>
  <si>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</si>
  <si>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</si>
  <si>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</si>
  <si>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</si>
  <si>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</si>
  <si>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</si>
  <si>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</si>
  <si>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</si>
  <si>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</si>
  <si>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</si>
  <si>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</si>
  <si>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</si>
  <si>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</si>
  <si>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</si>
  <si>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</si>
  <si>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</si>
  <si>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</si>
  <si>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</si>
  <si>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</si>
  <si>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</si>
  <si>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</si>
  <si>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</si>
  <si>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</si>
  <si>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</si>
  <si>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</si>
  <si>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</si>
  <si>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</si>
  <si>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</si>
  <si>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</si>
  <si>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</si>
  <si>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</si>
  <si>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</si>
  <si>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</si>
  <si>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</si>
  <si>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</si>
  <si>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</si>
  <si>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</si>
  <si>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</si>
  <si>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</si>
  <si>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</si>
  <si>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</si>
  <si>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</si>
  <si>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</si>
  <si>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</si>
  <si>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</si>
  <si>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</si>
  <si>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</si>
  <si>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</si>
  <si>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</si>
  <si>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</si>
  <si>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</si>
  <si>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</si>
  <si>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</si>
  <si>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</si>
  <si>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</si>
  <si>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</si>
  <si>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</si>
  <si>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</si>
  <si>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</si>
  <si>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</si>
  <si>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</si>
  <si>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</si>
  <si>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</si>
  <si>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</si>
  <si>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</si>
  <si>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</si>
  <si>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</si>
  <si>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</si>
  <si>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</si>
  <si>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</si>
  <si>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</si>
  <si>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</si>
  <si>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</si>
  <si>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</si>
  <si>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</si>
  <si>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</si>
  <si>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</si>
  <si>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</si>
  <si>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</si>
  <si>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</si>
  <si>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</si>
  <si>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</si>
  <si>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</si>
  <si>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</si>
  <si>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</si>
  <si>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</si>
  <si>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</si>
  <si>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</si>
  <si>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</si>
  <si>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</si>
  <si>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</si>
  <si>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</si>
  <si>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</si>
  <si>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</si>
  <si>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</si>
  <si>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</si>
  <si>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</si>
  <si>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</si>
  <si>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</si>
  <si>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</si>
  <si>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</si>
  <si>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</si>
  <si>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</si>
  <si>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</si>
  <si>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</si>
  <si>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</si>
  <si>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</si>
  <si>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</si>
  <si>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</si>
  <si>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</si>
  <si>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</si>
  <si>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</si>
  <si>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</si>
  <si>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</si>
  <si>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</si>
  <si>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</si>
  <si>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</si>
  <si>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</si>
  <si>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</si>
  <si>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</si>
  <si>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</si>
  <si>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</si>
  <si>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</si>
  <si>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</si>
  <si>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</si>
  <si>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</si>
  <si>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</si>
  <si>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</si>
  <si>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</si>
  <si>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</si>
  <si>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</si>
  <si>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</si>
  <si>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</si>
  <si>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</si>
  <si>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</si>
  <si>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</si>
  <si>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</si>
  <si>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</si>
  <si>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</si>
  <si>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</si>
  <si>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</si>
  <si>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</si>
  <si>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</si>
  <si>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</si>
  <si>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</si>
  <si>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</si>
  <si>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</si>
  <si>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</si>
  <si>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</si>
  <si>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</si>
  <si>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</si>
  <si>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</si>
  <si>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</si>
  <si>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</si>
  <si>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</si>
  <si>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</si>
  <si>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</si>
  <si>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</si>
  <si>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</si>
  <si>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</si>
  <si>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</si>
  <si>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</si>
  <si>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</si>
  <si>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</si>
  <si>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</si>
  <si>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</si>
  <si>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</si>
  <si>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</si>
  <si>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</si>
  <si>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</si>
  <si>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</si>
  <si>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</si>
  <si>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</si>
  <si>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</si>
  <si>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</si>
  <si>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</si>
  <si>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</si>
  <si>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</si>
  <si>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</si>
  <si>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</si>
  <si>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</si>
  <si>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</si>
  <si>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</si>
  <si>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</si>
  <si>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</si>
  <si>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</si>
  <si>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</si>
  <si>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</si>
  <si>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</si>
  <si>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</si>
  <si>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</si>
  <si>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</si>
  <si>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</si>
  <si>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</si>
  <si>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</si>
  <si>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</si>
  <si>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</si>
  <si>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</si>
  <si>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</si>
  <si>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</si>
  <si>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</si>
  <si>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</si>
  <si>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</si>
  <si>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</si>
  <si>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</si>
  <si>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</si>
  <si>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</si>
  <si>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</si>
  <si>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</si>
  <si>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</si>
  <si>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</si>
  <si>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</si>
  <si>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</si>
  <si>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</si>
  <si>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</si>
  <si>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</si>
  <si>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</si>
  <si>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</si>
  <si>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</si>
  <si>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</si>
  <si>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</si>
  <si>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</si>
  <si>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</si>
  <si>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</si>
  <si>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</si>
  <si>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</si>
  <si>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</si>
  <si>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</si>
  <si>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</si>
  <si>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</si>
  <si>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</si>
  <si>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</si>
  <si>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</si>
  <si>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</si>
  <si>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</si>
  <si>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</si>
  <si>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</si>
  <si>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</si>
  <si>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</si>
  <si>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</si>
  <si>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</si>
  <si>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</si>
  <si>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</si>
  <si>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</si>
  <si>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</si>
  <si>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</si>
  <si>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</si>
  <si>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</si>
  <si>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</si>
  <si>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</si>
  <si>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</si>
  <si>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</si>
  <si>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</si>
  <si>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</si>
  <si>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</si>
  <si>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</si>
  <si>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</si>
  <si>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</si>
  <si>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</si>
  <si>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</si>
  <si>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</si>
  <si>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</si>
  <si>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</si>
  <si>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</si>
  <si>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</si>
  <si>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</si>
  <si>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</si>
  <si>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</si>
  <si>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</si>
  <si>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</si>
  <si>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</si>
  <si>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</si>
  <si>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</si>
  <si>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</si>
  <si>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</si>
  <si>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</si>
  <si>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</si>
  <si>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</si>
  <si>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</si>
  <si>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</si>
  <si>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</si>
  <si>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</si>
  <si>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</si>
  <si>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</si>
  <si>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</si>
  <si>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</si>
  <si>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</si>
  <si>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</si>
  <si>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</si>
  <si>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</si>
  <si>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</si>
  <si>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</si>
  <si>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</si>
  <si>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</si>
  <si>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</si>
  <si>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</si>
  <si>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</si>
  <si>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</si>
  <si>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</si>
  <si>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</si>
  <si>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</si>
  <si>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</si>
  <si>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</si>
  <si>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</si>
  <si>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</si>
  <si>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</si>
  <si>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</si>
  <si>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</si>
  <si>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</si>
  <si>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</si>
  <si>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</si>
  <si>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</si>
  <si>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</si>
  <si>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</si>
  <si>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</si>
  <si>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</si>
  <si>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</si>
  <si>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</si>
  <si>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</si>
  <si>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</si>
  <si>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</si>
  <si>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</si>
  <si>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</si>
  <si>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</si>
  <si>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</si>
  <si>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</si>
  <si>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</si>
  <si>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</si>
  <si>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</si>
  <si>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</si>
  <si>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</si>
  <si>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</si>
  <si>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</si>
  <si>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</si>
  <si>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</si>
  <si>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</si>
  <si>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</si>
  <si>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</si>
  <si>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</si>
  <si>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</si>
  <si>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</si>
  <si>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</si>
  <si>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</si>
  <si>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</si>
  <si>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</si>
  <si>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</si>
  <si>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</si>
  <si>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</si>
  <si>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</si>
  <si>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</si>
  <si>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</si>
  <si>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</si>
  <si>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</si>
  <si>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</si>
  <si>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</si>
  <si>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</si>
  <si>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</si>
  <si>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</si>
  <si>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</si>
  <si>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</si>
  <si>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</si>
  <si>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</si>
  <si>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</si>
  <si>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</si>
  <si>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</si>
  <si>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</si>
  <si>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</si>
  <si>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</si>
  <si>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</si>
  <si>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</si>
  <si>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</si>
  <si>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</si>
  <si>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</si>
  <si>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</si>
  <si>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</si>
  <si>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</si>
  <si>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</si>
  <si>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</si>
  <si>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</si>
  <si>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</si>
  <si>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</si>
  <si>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</si>
  <si>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</si>
  <si>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</si>
  <si>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</si>
  <si>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</si>
  <si>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</si>
  <si>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</si>
  <si>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</si>
  <si>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</si>
  <si>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</si>
  <si>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</si>
  <si>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</si>
  <si>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</si>
  <si>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</si>
  <si>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</si>
  <si>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</si>
  <si>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</si>
  <si>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</si>
  <si>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</si>
  <si>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</si>
  <si>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</si>
  <si>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</si>
  <si>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</si>
  <si>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</si>
  <si>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</si>
  <si>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</si>
  <si>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</si>
  <si>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</si>
  <si>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</si>
  <si>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</si>
  <si>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</si>
  <si>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</si>
  <si>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</si>
  <si>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</si>
  <si>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</si>
  <si>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</si>
  <si>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</si>
  <si>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</si>
  <si>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</si>
  <si>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</si>
  <si>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</si>
  <si>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</si>
  <si>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</si>
  <si>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</si>
  <si>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</si>
  <si>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</si>
  <si>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</si>
  <si>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</si>
  <si>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</si>
  <si>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</si>
  <si>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</si>
  <si>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</si>
  <si>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</si>
  <si>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</si>
  <si>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</si>
  <si>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</si>
  <si>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</si>
  <si>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</si>
  <si>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</si>
  <si>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</si>
  <si>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</si>
  <si>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</si>
  <si>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</si>
  <si>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</si>
  <si>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</si>
  <si>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</si>
  <si>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</si>
  <si>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</si>
  <si>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</si>
  <si>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</si>
  <si>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</si>
  <si>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</si>
  <si>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</si>
  <si>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</si>
  <si>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</si>
  <si>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</si>
  <si>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</si>
  <si>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</si>
  <si>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</si>
  <si>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</si>
  <si>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</si>
  <si>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</si>
  <si>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</si>
  <si>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</si>
  <si>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</si>
  <si>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</si>
  <si>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</si>
  <si>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</si>
  <si>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</si>
  <si>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</si>
  <si>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</si>
  <si>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</si>
  <si>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</si>
  <si>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</si>
  <si>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</si>
  <si>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</si>
  <si>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</si>
  <si>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</si>
  <si>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</si>
  <si>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</si>
  <si>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</si>
  <si>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</si>
  <si>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</si>
  <si>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</si>
  <si>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</si>
  <si>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</si>
  <si>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</si>
  <si>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</si>
  <si>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</si>
  <si>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</si>
  <si>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</si>
  <si>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</si>
  <si>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</si>
  <si>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</si>
  <si>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</si>
  <si>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</si>
  <si>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</si>
  <si>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</si>
  <si>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</si>
  <si>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</si>
  <si>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</si>
  <si>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</si>
  <si>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</si>
  <si>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</si>
  <si>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</si>
  <si>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</si>
  <si>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</si>
  <si>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</si>
  <si>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</si>
  <si>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</si>
  <si>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</si>
  <si>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</si>
  <si>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</si>
  <si>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</si>
  <si>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</si>
  <si>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</si>
  <si>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</si>
  <si>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</si>
  <si>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</si>
  <si>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</si>
  <si>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</si>
  <si>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</si>
  <si>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</si>
  <si>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</si>
  <si>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</si>
  <si>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</si>
  <si>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</si>
  <si>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</si>
  <si>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</si>
  <si>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</si>
  <si>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</si>
  <si>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</si>
  <si>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</si>
  <si>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</si>
  <si>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</si>
  <si>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</si>
  <si>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</si>
  <si>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</si>
  <si>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</si>
  <si>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</si>
  <si>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</si>
  <si>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</si>
  <si>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</si>
  <si>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</si>
  <si>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</si>
  <si>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</si>
  <si>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</si>
  <si>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</si>
  <si>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</si>
  <si>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</si>
  <si>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</si>
  <si>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</si>
  <si>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</si>
  <si>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</si>
  <si>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</si>
  <si>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</si>
  <si>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</si>
  <si>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</si>
  <si>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</si>
  <si>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</si>
  <si>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</si>
  <si>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</si>
  <si>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</si>
  <si>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</si>
  <si>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</si>
  <si>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</si>
  <si>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</si>
  <si>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</si>
  <si>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</si>
  <si>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</si>
  <si>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</si>
  <si>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</si>
  <si>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</si>
  <si>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</si>
  <si>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</si>
  <si>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</si>
  <si>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</si>
  <si>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</si>
  <si>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</si>
  <si>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</si>
  <si>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</si>
  <si>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</si>
  <si>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</si>
  <si>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</si>
  <si>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</si>
  <si>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</si>
  <si>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</si>
  <si>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</si>
  <si>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</si>
  <si>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</si>
  <si>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</si>
  <si>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</si>
  <si>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</si>
  <si>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</si>
  <si>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</si>
  <si>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</si>
  <si>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</si>
  <si>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</si>
  <si>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</si>
  <si>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</si>
  <si>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</si>
  <si>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</si>
  <si>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</si>
  <si>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</si>
  <si>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</si>
  <si>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</si>
  <si>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</si>
  <si>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</si>
  <si>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</si>
  <si>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</si>
  <si>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</si>
  <si>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</si>
  <si>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</si>
  <si>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</si>
  <si>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</si>
  <si>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</si>
  <si>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</si>
  <si>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</si>
  <si>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</si>
  <si>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</si>
  <si>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</si>
  <si>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</si>
  <si>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</si>
  <si>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</si>
  <si>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</si>
  <si>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</si>
  <si>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</si>
  <si>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</si>
  <si>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</si>
  <si>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</si>
  <si>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</si>
  <si>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</si>
  <si>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</si>
  <si>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</si>
  <si>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</si>
  <si>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</si>
  <si>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</si>
  <si>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</si>
  <si>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</si>
  <si>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</si>
  <si>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</si>
  <si>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</si>
  <si>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</si>
  <si>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</si>
  <si>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</si>
  <si>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</si>
  <si>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</si>
  <si>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</si>
  <si>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</si>
  <si>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</si>
  <si>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</si>
  <si>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</si>
  <si>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</si>
  <si>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</si>
  <si>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</si>
  <si>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</si>
  <si>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</si>
  <si>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</si>
  <si>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</si>
  <si>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</si>
  <si>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</si>
  <si>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</si>
  <si>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</si>
  <si>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</si>
  <si>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</si>
  <si>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</si>
  <si>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</si>
  <si>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</si>
  <si>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</si>
  <si>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</si>
  <si>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</si>
  <si>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</si>
  <si>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</si>
  <si>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</si>
  <si>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</si>
  <si>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</si>
  <si>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</si>
  <si>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</si>
  <si>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</si>
  <si>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</si>
  <si>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</si>
  <si>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</si>
  <si>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</si>
  <si>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</si>
  <si>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</si>
  <si>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</si>
  <si>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</si>
  <si>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</si>
  <si>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</si>
  <si>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</si>
  <si>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</si>
  <si>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</si>
  <si>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</si>
  <si>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</si>
  <si>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</si>
  <si>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</si>
  <si>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</si>
  <si>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</si>
  <si>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</si>
  <si>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</si>
  <si>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</si>
  <si>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</si>
  <si>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</si>
  <si>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</si>
  <si>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</si>
  <si>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</si>
  <si>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</si>
  <si>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</si>
  <si>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</si>
  <si>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</si>
  <si>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</si>
  <si>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</si>
  <si>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</si>
  <si>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</si>
  <si>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</si>
  <si>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</si>
  <si>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</si>
  <si>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</si>
  <si>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</si>
  <si>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</si>
  <si>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</si>
  <si>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</si>
  <si>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</si>
  <si>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</si>
  <si>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</si>
  <si>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</si>
  <si>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</si>
  <si>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</si>
  <si>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</si>
  <si>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</si>
  <si>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</si>
  <si>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</si>
  <si>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</si>
  <si>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</si>
  <si>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</si>
  <si>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</si>
  <si>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</si>
  <si>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</si>
  <si>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</si>
  <si>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</si>
  <si>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</si>
  <si>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</si>
  <si>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</si>
  <si>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</si>
  <si>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</si>
  <si>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</si>
  <si>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</si>
  <si>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</si>
  <si>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</si>
  <si>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</si>
  <si>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</si>
  <si>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</si>
  <si>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</si>
  <si>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</si>
  <si>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</si>
  <si>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</si>
  <si>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</si>
  <si>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</si>
  <si>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</si>
  <si>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</si>
  <si>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</si>
  <si>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</si>
  <si>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</si>
  <si>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</si>
  <si>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</si>
  <si>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</si>
  <si>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</si>
  <si>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</si>
  <si>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</si>
  <si>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</si>
  <si>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</si>
  <si>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</si>
  <si>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</si>
  <si>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</si>
  <si>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</si>
  <si>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</si>
  <si>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</si>
  <si>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</si>
  <si>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</si>
  <si>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</si>
  <si>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</si>
  <si>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</si>
  <si>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</si>
  <si>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</si>
  <si>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</si>
  <si>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</si>
  <si>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</si>
  <si>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</si>
  <si>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</si>
  <si>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</si>
  <si>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</si>
  <si>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</si>
  <si>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</si>
  <si>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</si>
  <si>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</si>
  <si>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</si>
  <si>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</si>
  <si>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</si>
  <si>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</si>
  <si>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</si>
  <si>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</si>
  <si>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</si>
  <si>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</si>
  <si>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</si>
  <si>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</si>
  <si>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</si>
  <si>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</si>
  <si>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</si>
  <si>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</si>
  <si>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</si>
  <si>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</si>
  <si>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</si>
  <si>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</si>
  <si>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</si>
  <si>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</si>
  <si>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</si>
  <si>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</si>
  <si>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</si>
  <si>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</si>
  <si>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</si>
  <si>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</si>
  <si>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</si>
  <si>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</si>
  <si>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</si>
  <si>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</si>
  <si>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</si>
  <si>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</si>
  <si>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</si>
  <si>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</si>
  <si>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</si>
  <si>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</si>
  <si>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</si>
  <si>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</si>
  <si>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</si>
  <si>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</si>
  <si>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</si>
  <si>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</si>
  <si>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</si>
  <si>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</si>
  <si>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</si>
  <si>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</si>
  <si>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</si>
  <si>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</si>
  <si>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</si>
  <si>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</si>
  <si>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</si>
  <si>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</si>
  <si>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</si>
  <si>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</si>
  <si>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</si>
  <si>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</si>
  <si>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</si>
  <si>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</si>
  <si>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</si>
  <si>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</si>
  <si>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</si>
  <si>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</si>
  <si>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</si>
  <si>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</si>
  <si>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</si>
  <si>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</si>
  <si>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</si>
  <si>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</si>
  <si>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</si>
  <si>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</si>
  <si>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</si>
  <si>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</si>
  <si>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</si>
  <si>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</si>
  <si>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</si>
  <si>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</si>
  <si>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</si>
  <si>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</si>
  <si>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</si>
  <si>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</si>
  <si>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</si>
  <si>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</si>
  <si>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</si>
  <si>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</si>
  <si>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</si>
  <si>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</si>
  <si>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</si>
  <si>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</si>
  <si>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</si>
  <si>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</si>
  <si>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</si>
  <si>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</si>
  <si>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</si>
  <si>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</si>
  <si>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</si>
  <si>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</si>
  <si>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</si>
  <si>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</si>
  <si>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</si>
  <si>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</si>
  <si>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</si>
  <si>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</si>
  <si>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</si>
  <si>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</si>
  <si>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</si>
  <si>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</si>
  <si>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</si>
  <si>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</si>
  <si>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</si>
  <si>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</si>
  <si>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</si>
  <si>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</si>
  <si>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</si>
  <si>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</si>
  <si>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</si>
  <si>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</si>
  <si>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</si>
  <si>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</si>
  <si>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</si>
  <si>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</si>
  <si>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</si>
  <si>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</si>
  <si>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</si>
  <si>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</si>
  <si>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</si>
  <si>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</si>
  <si>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</si>
  <si>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</si>
  <si>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</si>
  <si>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</si>
  <si>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</si>
  <si>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</si>
  <si>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</si>
  <si>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</si>
  <si>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</si>
  <si>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</si>
  <si>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</si>
  <si>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</si>
  <si>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</si>
  <si>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</si>
  <si>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</si>
  <si>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</si>
  <si>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</si>
  <si>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</si>
  <si>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</si>
  <si>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</si>
  <si>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</si>
  <si>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</si>
  <si>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</si>
  <si>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</si>
  <si>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</si>
  <si>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</si>
  <si>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</si>
  <si>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</si>
  <si>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</si>
  <si>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</si>
  <si>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</si>
  <si>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</si>
  <si>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</si>
  <si>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</si>
  <si>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</si>
  <si>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</si>
  <si>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</si>
  <si>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</si>
  <si>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</si>
  <si>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</si>
  <si>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</si>
  <si>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</si>
  <si>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</si>
  <si>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</si>
  <si>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</si>
  <si>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</si>
  <si>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</si>
  <si>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</si>
  <si>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</si>
  <si>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</si>
  <si>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</si>
  <si>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</si>
  <si>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</si>
  <si>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</si>
  <si>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</si>
  <si>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</si>
  <si>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</si>
  <si>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</si>
  <si>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</si>
  <si>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</si>
  <si>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</si>
  <si>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</si>
  <si>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</si>
  <si>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</si>
  <si>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</si>
  <si>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</si>
  <si>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</si>
  <si>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</si>
  <si>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</si>
  <si>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</si>
  <si>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</si>
  <si>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</si>
  <si>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</si>
  <si>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</si>
  <si>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</si>
  <si>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</si>
  <si>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</si>
  <si>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</si>
  <si>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</si>
  <si>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</si>
  <si>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</si>
  <si>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</si>
  <si>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</si>
  <si>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</si>
  <si>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</si>
  <si>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</si>
  <si>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</si>
  <si>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</si>
  <si>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</si>
  <si>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</si>
  <si>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</si>
  <si>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</si>
  <si>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</si>
  <si>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</si>
  <si>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</si>
  <si>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</si>
  <si>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</si>
  <si>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</si>
  <si>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</si>
  <si>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</si>
  <si>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</si>
  <si>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</si>
  <si>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</si>
  <si>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</si>
  <si>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</si>
  <si>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</si>
  <si>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</si>
  <si>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</si>
  <si>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</si>
  <si>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</si>
  <si>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</si>
  <si>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</si>
  <si>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</si>
  <si>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</si>
  <si>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</si>
  <si>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</si>
  <si>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</si>
  <si>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</si>
  <si>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</si>
  <si>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</si>
  <si>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</si>
  <si>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</si>
  <si>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</si>
  <si>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</si>
  <si>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</si>
  <si>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</si>
  <si>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</si>
  <si>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</si>
  <si>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</si>
  <si>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</si>
  <si>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</si>
  <si>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</si>
  <si>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</si>
  <si>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</si>
  <si>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</si>
  <si>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</si>
  <si>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</si>
  <si>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</si>
  <si>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</si>
  <si>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</si>
  <si>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</si>
  <si>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</si>
  <si>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</si>
  <si>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</si>
  <si>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</si>
  <si>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</si>
  <si>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</si>
  <si>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</si>
  <si>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</si>
  <si>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</si>
  <si>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</si>
  <si>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</si>
  <si>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</si>
  <si>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</si>
  <si>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</si>
  <si>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</si>
  <si>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</si>
  <si>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</si>
  <si>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</si>
  <si>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</si>
  <si>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</si>
  <si>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</si>
  <si>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</si>
  <si>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</si>
  <si>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</si>
  <si>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</si>
  <si>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</si>
  <si>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</si>
  <si>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</si>
  <si>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</si>
  <si>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</si>
  <si>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</si>
  <si>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</si>
  <si>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</si>
  <si>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</si>
  <si>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</si>
  <si>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</si>
  <si>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</si>
  <si>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</si>
  <si>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</si>
  <si>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</si>
  <si>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</si>
  <si>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</si>
  <si>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</si>
  <si>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</si>
  <si>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</si>
  <si>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</si>
  <si>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</si>
  <si>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</si>
  <si>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</si>
  <si>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</si>
  <si>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</si>
  <si>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</si>
  <si>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</si>
  <si>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</si>
  <si>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</si>
  <si>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</si>
  <si>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</si>
  <si>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</si>
  <si>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</si>
  <si>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</si>
  <si>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</si>
  <si>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</si>
  <si>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</si>
  <si>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</si>
  <si>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</si>
  <si>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</si>
  <si>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</si>
  <si>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</si>
  <si>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</si>
  <si>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</si>
  <si>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</si>
  <si>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</si>
  <si>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</si>
  <si>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</si>
  <si>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</si>
  <si>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</si>
  <si>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</si>
  <si>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</si>
  <si>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</si>
  <si>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</si>
  <si>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</si>
  <si>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</si>
  <si>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</si>
  <si>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</si>
  <si>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</si>
  <si>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</si>
  <si>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</si>
  <si>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</si>
  <si>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</si>
  <si>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</si>
  <si>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</si>
  <si>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</si>
  <si>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</si>
  <si>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</si>
  <si>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</si>
  <si>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</si>
  <si>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</si>
  <si>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</si>
  <si>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</si>
  <si>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</si>
  <si>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</si>
  <si>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</si>
  <si>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</si>
  <si>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</si>
  <si>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</si>
  <si>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</si>
  <si>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</si>
  <si>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</si>
  <si>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</si>
  <si>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</si>
  <si>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</si>
  <si>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</si>
  <si>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</si>
  <si>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</si>
  <si>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</si>
  <si>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</si>
  <si>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</si>
  <si>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</si>
  <si>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</si>
  <si>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</si>
  <si>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</si>
  <si>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</si>
  <si>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</si>
  <si>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</si>
  <si>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</si>
  <si>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</si>
  <si>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</si>
  <si>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</si>
  <si>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</si>
  <si>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</si>
  <si>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</si>
  <si>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</si>
  <si>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</si>
  <si>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</si>
  <si>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</si>
  <si>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</si>
  <si>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</si>
  <si>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</si>
  <si>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</si>
  <si>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</si>
  <si>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</si>
  <si>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</si>
  <si>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</si>
  <si>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</si>
  <si>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</si>
  <si>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</si>
  <si>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</si>
  <si>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</si>
  <si>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</si>
  <si>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</si>
  <si>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</si>
  <si>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</si>
  <si>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</si>
  <si>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</si>
  <si>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</si>
  <si>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</si>
  <si>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</si>
  <si>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</si>
  <si>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</si>
  <si>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</si>
  <si>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</si>
  <si>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</si>
  <si>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</si>
  <si>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</si>
  <si>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</si>
  <si>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</si>
  <si>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</si>
  <si>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</si>
  <si>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</si>
  <si>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</si>
  <si>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</si>
  <si>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</si>
  <si>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</si>
  <si>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</si>
  <si>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</si>
  <si>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</si>
  <si>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</si>
  <si>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</si>
  <si>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</si>
  <si>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</si>
  <si>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</si>
  <si>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</si>
  <si>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</si>
  <si>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</si>
  <si>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</si>
  <si>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</si>
  <si>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</si>
  <si>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</si>
  <si>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</si>
  <si>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</si>
  <si>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</si>
  <si>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</si>
  <si>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</si>
  <si>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</si>
  <si>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</si>
  <si>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</si>
  <si>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</si>
  <si>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</si>
  <si>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</si>
  <si>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</si>
  <si>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</si>
  <si>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</si>
  <si>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</si>
  <si>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</si>
  <si>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</si>
  <si>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</si>
  <si>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</si>
  <si>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</si>
  <si>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</si>
  <si>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</si>
  <si>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</si>
  <si>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</si>
  <si>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</si>
  <si>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</si>
  <si>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</si>
  <si>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</si>
  <si>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</si>
  <si>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</si>
  <si>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</si>
  <si>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</si>
  <si>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</si>
  <si>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</si>
  <si>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</si>
  <si>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</si>
  <si>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</si>
  <si>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</si>
  <si>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</si>
  <si>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</si>
  <si>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</si>
  <si>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</si>
  <si>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</si>
  <si>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</si>
  <si>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</si>
  <si>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</si>
  <si>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</si>
  <si>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</si>
  <si>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</si>
  <si>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</si>
  <si>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</si>
  <si>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</si>
  <si>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</si>
  <si>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</si>
  <si>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</si>
  <si>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</si>
  <si>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</si>
  <si>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</si>
  <si>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</si>
  <si>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</si>
  <si>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</si>
  <si>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</si>
  <si>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</si>
  <si>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</si>
  <si>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</si>
  <si>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</si>
  <si>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</si>
  <si>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</si>
  <si>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</si>
  <si>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</si>
  <si>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</si>
  <si>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</si>
  <si>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</si>
  <si>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</si>
  <si>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</si>
  <si>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</si>
  <si>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</si>
  <si>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</si>
  <si>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</si>
  <si>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</si>
  <si>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</si>
  <si>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</si>
  <si>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</si>
  <si>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</si>
  <si>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</si>
  <si>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</si>
  <si>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</si>
  <si>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</si>
  <si>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</si>
  <si>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</si>
  <si>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</si>
  <si>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</si>
  <si>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</si>
  <si>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</si>
  <si>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</si>
  <si>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</si>
  <si>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</si>
  <si>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</si>
  <si>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</si>
  <si>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</si>
  <si>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</si>
  <si>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</si>
  <si>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</si>
  <si>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</si>
  <si>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</si>
  <si>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</si>
  <si>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</si>
  <si>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</si>
  <si>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</si>
  <si>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</si>
  <si>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</si>
  <si>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</si>
  <si>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</si>
  <si>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</si>
  <si>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</si>
  <si>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</si>
  <si>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</si>
  <si>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</si>
  <si>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</si>
  <si>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</si>
  <si>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</si>
  <si>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</si>
  <si>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</si>
  <si>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</si>
  <si>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</si>
  <si>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</si>
  <si>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</si>
  <si>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</si>
  <si>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</si>
  <si>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</si>
  <si>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</si>
  <si>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</si>
  <si>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</si>
  <si>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</si>
  <si>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</si>
  <si>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</si>
  <si>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</si>
  <si>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</si>
  <si>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</si>
  <si>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</si>
  <si>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</si>
  <si>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</si>
  <si>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</si>
  <si>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</si>
  <si>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</si>
  <si>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</si>
  <si>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</si>
  <si>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</si>
  <si>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</si>
  <si>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</si>
  <si>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</si>
  <si>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</si>
  <si>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</si>
  <si>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</si>
  <si>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</si>
  <si>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</si>
  <si>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</si>
  <si>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</si>
  <si>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</si>
  <si>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</si>
  <si>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</si>
  <si>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</si>
  <si>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</si>
  <si>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</si>
  <si>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</si>
  <si>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</si>
  <si>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</si>
  <si>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</si>
  <si>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</si>
  <si>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</si>
  <si>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</si>
  <si>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</si>
  <si>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</si>
  <si>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</si>
  <si>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</si>
  <si>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</si>
  <si>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</si>
  <si>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</si>
  <si>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</si>
  <si>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</si>
  <si>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</si>
  <si>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</si>
  <si>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</si>
  <si>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</si>
  <si>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</si>
  <si>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</si>
  <si>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</si>
  <si>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</si>
  <si>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</si>
  <si>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</si>
  <si>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</si>
  <si>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</si>
  <si>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</si>
  <si>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</si>
  <si>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</si>
  <si>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</si>
  <si>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</si>
  <si>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</si>
  <si>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</si>
  <si>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</si>
  <si>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</si>
  <si>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</si>
  <si>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</si>
  <si>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</si>
  <si>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</si>
  <si>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</si>
  <si>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</si>
  <si>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</si>
  <si>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</si>
  <si>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</si>
  <si>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</si>
  <si>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</si>
  <si>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</si>
  <si>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</si>
  <si>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</si>
  <si>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</si>
  <si>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</si>
  <si>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</si>
  <si>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</si>
  <si>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</si>
  <si>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</si>
  <si>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</si>
  <si>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</si>
  <si>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</si>
  <si>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</si>
  <si>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</si>
  <si>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</si>
  <si>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</si>
  <si>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</si>
  <si>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</si>
  <si>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</si>
  <si>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</si>
  <si>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</si>
  <si>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</si>
  <si>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</si>
  <si>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</si>
  <si>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</si>
  <si>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</si>
  <si>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</si>
  <si>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</si>
  <si>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</si>
  <si>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</si>
  <si>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</si>
  <si>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</si>
  <si>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</si>
  <si>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</si>
  <si>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</si>
  <si>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</si>
  <si>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</si>
  <si>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</si>
  <si>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</si>
  <si>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</si>
  <si>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</si>
  <si>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</si>
  <si>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</si>
  <si>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</si>
  <si>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</si>
  <si>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</si>
  <si>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</si>
  <si>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</si>
  <si>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</si>
  <si>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</si>
  <si>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</si>
  <si>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</si>
  <si>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</si>
  <si>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</si>
  <si>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</si>
  <si>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</si>
  <si>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</si>
  <si>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</si>
  <si>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</si>
  <si>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</si>
  <si>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</si>
  <si>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</si>
  <si>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</si>
  <si>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</si>
  <si>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</si>
  <si>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</si>
  <si>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</si>
  <si>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</si>
  <si>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</si>
  <si>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</si>
  <si>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</si>
  <si>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</si>
  <si>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</si>
  <si>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</si>
  <si>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</si>
  <si>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</si>
  <si>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</si>
  <si>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</si>
  <si>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</si>
  <si>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</si>
  <si>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</si>
  <si>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</si>
  <si>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</si>
  <si>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</si>
  <si>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</si>
  <si>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</si>
  <si>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</si>
  <si>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</si>
  <si>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</si>
  <si>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</si>
  <si>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</si>
  <si>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</si>
  <si>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</si>
  <si>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</si>
  <si>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</si>
  <si>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</si>
  <si>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</si>
  <si>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</si>
  <si>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</si>
  <si>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</si>
  <si>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</si>
  <si>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</si>
  <si>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</si>
  <si>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</si>
  <si>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</si>
  <si>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</si>
  <si>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</si>
  <si>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</si>
  <si>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</si>
  <si>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</si>
  <si>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</si>
  <si>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</si>
  <si>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</si>
  <si>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</si>
  <si>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</si>
  <si>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</si>
  <si>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</si>
  <si>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</si>
  <si>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</si>
  <si>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</si>
  <si>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</si>
  <si>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</si>
  <si>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</si>
  <si>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</si>
  <si>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</si>
  <si>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</si>
  <si>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</si>
  <si>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</si>
  <si>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</si>
  <si>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</si>
  <si>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</si>
  <si>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</si>
  <si>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</si>
  <si>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</si>
  <si>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</si>
  <si>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</si>
  <si>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</si>
  <si>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</si>
  <si>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</si>
  <si>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</si>
  <si>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</si>
  <si>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</si>
  <si>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</si>
  <si>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</si>
  <si>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</si>
  <si>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</si>
  <si>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</si>
  <si>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</si>
  <si>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</si>
  <si>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</si>
  <si>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</si>
  <si>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</si>
  <si>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</si>
  <si>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</si>
  <si>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</si>
  <si>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</si>
  <si>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</si>
  <si>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</si>
  <si>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</si>
  <si>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</si>
  <si>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</si>
  <si>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</si>
  <si>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</si>
  <si>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</si>
  <si>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</si>
  <si>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</si>
  <si>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</si>
  <si>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</si>
  <si>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</si>
  <si>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</si>
  <si>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</si>
  <si>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</si>
  <si>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</si>
  <si>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</si>
  <si>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</si>
  <si>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</si>
  <si>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</si>
  <si>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</si>
  <si>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</si>
  <si>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</si>
  <si>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</si>
  <si>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</si>
  <si>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</si>
  <si>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</si>
  <si>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</si>
  <si>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</si>
  <si>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</si>
  <si>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</si>
  <si>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</si>
  <si>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</si>
  <si>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</si>
  <si>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</si>
  <si>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</si>
  <si>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</si>
  <si>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</si>
  <si>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</si>
  <si>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</si>
  <si>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</si>
  <si>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</si>
  <si>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</si>
  <si>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</si>
  <si>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</si>
  <si>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</si>
  <si>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</si>
  <si>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</si>
  <si>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</si>
  <si>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</si>
  <si>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</si>
  <si>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</si>
  <si>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</si>
  <si>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</si>
  <si>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</si>
  <si>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</si>
  <si>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</si>
  <si>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</si>
  <si>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</si>
  <si>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</si>
  <si>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</si>
  <si>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</si>
  <si>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</si>
  <si>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</si>
  <si>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</si>
  <si>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</si>
  <si>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</si>
  <si>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</si>
  <si>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</si>
  <si>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</si>
  <si>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</si>
  <si>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</si>
  <si>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</si>
  <si>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</si>
  <si>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</si>
  <si>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</si>
  <si>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</si>
  <si>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</si>
  <si>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</si>
  <si>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</si>
  <si>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</si>
  <si>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</si>
  <si>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</si>
  <si>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</si>
  <si>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</si>
  <si>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</si>
  <si>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</si>
  <si>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</si>
  <si>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</si>
  <si>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</si>
  <si>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</si>
  <si>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</si>
  <si>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</si>
  <si>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</si>
  <si>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</si>
  <si>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</si>
  <si>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</si>
  <si>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</si>
  <si>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</si>
  <si>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</si>
  <si>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</si>
  <si>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</si>
  <si>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</si>
  <si>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</si>
  <si>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</si>
  <si>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</si>
  <si>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</si>
  <si>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</si>
  <si>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</si>
  <si>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</si>
  <si>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</si>
  <si>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</si>
  <si>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</si>
  <si>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</si>
  <si>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</si>
  <si>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</si>
  <si>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</si>
  <si>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</si>
  <si>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</si>
  <si>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</si>
  <si>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</si>
  <si>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</si>
  <si>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</si>
  <si>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</si>
  <si>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</si>
  <si>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</si>
  <si>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</si>
  <si>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</si>
  <si>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</si>
  <si>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</si>
  <si>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</si>
  <si>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</si>
  <si>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</si>
  <si>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</si>
  <si>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</si>
  <si>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</si>
  <si>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</si>
  <si>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</si>
  <si>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</si>
  <si>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</si>
  <si>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</si>
  <si>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</si>
  <si>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</si>
  <si>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</si>
  <si>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</si>
  <si>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</si>
  <si>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</si>
  <si>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</si>
  <si>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</si>
  <si>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</si>
  <si>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</si>
  <si>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</si>
  <si>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</si>
  <si>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</si>
  <si>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</si>
  <si>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</si>
  <si>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</si>
  <si>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</si>
  <si>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</si>
  <si>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</si>
  <si>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</si>
  <si>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</si>
  <si>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</si>
  <si>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</si>
  <si>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</si>
  <si>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</si>
  <si>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</si>
  <si>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</si>
  <si>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</si>
  <si>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</si>
  <si>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</si>
  <si>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</si>
  <si>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</si>
  <si>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</si>
  <si>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</si>
  <si>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</si>
  <si>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</si>
  <si>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</si>
  <si>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</si>
  <si>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</si>
  <si>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</si>
  <si>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</si>
  <si>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</si>
  <si>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</si>
  <si>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</si>
  <si>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</si>
  <si>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</si>
  <si>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</si>
  <si>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</si>
  <si>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</si>
  <si>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</si>
  <si>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</si>
  <si>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</si>
  <si>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</si>
  <si>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</si>
  <si>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</si>
  <si>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</si>
  <si>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</si>
  <si>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</si>
  <si>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</si>
  <si>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</si>
  <si>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</si>
  <si>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</si>
  <si>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</si>
  <si>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</si>
  <si>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</si>
  <si>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</si>
  <si>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</si>
  <si>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</si>
  <si>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</si>
  <si>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</si>
  <si>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</si>
  <si>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</si>
  <si>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</si>
  <si>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</si>
  <si>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</si>
  <si>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</si>
  <si>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</si>
  <si>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</si>
  <si>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</si>
  <si>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</si>
  <si>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</si>
  <si>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</si>
  <si>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</si>
  <si>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</si>
  <si>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</si>
  <si>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</si>
  <si>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</si>
  <si>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</si>
  <si>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</si>
  <si>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</si>
  <si>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</si>
  <si>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</si>
  <si>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</si>
  <si>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</si>
  <si>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</si>
  <si>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</si>
  <si>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</si>
  <si>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</si>
  <si>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</si>
  <si>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</si>
  <si>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</si>
  <si>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</si>
  <si>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</si>
  <si>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</si>
  <si>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</si>
  <si>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</si>
  <si>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</si>
  <si>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</si>
  <si>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</si>
  <si>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</si>
  <si>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</si>
  <si>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</si>
  <si>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</si>
  <si>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</si>
  <si>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</si>
  <si>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</si>
  <si>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</si>
  <si>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</si>
  <si>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</si>
  <si>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</si>
  <si>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</si>
  <si>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</si>
  <si>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</si>
  <si>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</si>
  <si>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</si>
  <si>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</si>
  <si>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</si>
  <si>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</si>
  <si>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</si>
  <si>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</si>
  <si>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</si>
  <si>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</si>
  <si>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</si>
  <si>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</si>
  <si>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</si>
  <si>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</si>
  <si>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</si>
  <si>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</si>
  <si>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</si>
  <si>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</si>
  <si>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</si>
  <si>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</si>
  <si>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</si>
  <si>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</si>
  <si>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</si>
  <si>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</si>
  <si>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</si>
  <si>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</si>
  <si>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</si>
  <si>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</si>
  <si>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</si>
  <si>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</si>
  <si>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</si>
  <si>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</si>
  <si>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</si>
  <si>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</si>
  <si>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</si>
  <si>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</si>
  <si>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</si>
  <si>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</si>
  <si>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</si>
  <si>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</si>
  <si>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</si>
  <si>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</si>
  <si>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</si>
  <si>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</si>
  <si>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</si>
  <si>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</si>
  <si>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</si>
  <si>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</si>
  <si>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</si>
  <si>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</si>
  <si>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</si>
  <si>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</si>
  <si>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</si>
  <si>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</si>
  <si>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</si>
  <si>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</si>
  <si>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</si>
  <si>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</si>
  <si>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</si>
  <si>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</si>
  <si>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</si>
  <si>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</si>
  <si>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</si>
  <si>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</si>
  <si>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</si>
  <si>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</si>
  <si>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</si>
  <si>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</si>
  <si>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</si>
  <si>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</si>
  <si>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</si>
  <si>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</si>
  <si>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</si>
  <si>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</si>
  <si>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</si>
  <si>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</si>
  <si>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</si>
  <si>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</si>
  <si>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</si>
  <si>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</si>
  <si>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北京兴旺林贸易有限公司</t>
    <phoneticPr fontId="6" type="noConversion"/>
  </si>
  <si>
    <r>
      <rPr>
        <sz val="10"/>
        <color theme="9" tint="-0.249977111117893"/>
        <rFont val="宋体"/>
        <family val="3"/>
        <charset val="134"/>
      </rPr>
      <t>密云县新南路甲</t>
    </r>
    <r>
      <rPr>
        <sz val="10"/>
        <color theme="9" tint="-0.249977111117893"/>
        <rFont val="Arial"/>
        <family val="2"/>
      </rPr>
      <t>52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3</t>
    </r>
    <r>
      <rPr>
        <sz val="10"/>
        <color theme="9" tint="-0.249977111117893"/>
        <rFont val="宋体"/>
        <family val="3"/>
        <charset val="134"/>
      </rPr>
      <t>幢</t>
    </r>
    <phoneticPr fontId="6" type="noConversion"/>
  </si>
  <si>
    <t>密云县新南路甲52号院1号楼等3幢</t>
    <phoneticPr fontId="134" type="noConversion"/>
  </si>
  <si>
    <r>
      <t>X京房权证密字第</t>
    </r>
    <r>
      <rPr>
        <sz val="11"/>
        <color theme="1"/>
        <rFont val="宋体"/>
        <family val="3"/>
        <charset val="134"/>
        <scheme val="minor"/>
      </rPr>
      <t>059324号</t>
    </r>
    <phoneticPr fontId="134" type="noConversion"/>
  </si>
  <si>
    <t>楼号或幢号</t>
    <phoneticPr fontId="134" type="noConversion"/>
  </si>
  <si>
    <t>建筑物类型</t>
    <phoneticPr fontId="134" type="noConversion"/>
  </si>
  <si>
    <t>房屋总层数</t>
    <phoneticPr fontId="134" type="noConversion"/>
  </si>
  <si>
    <t>建筑面积</t>
    <phoneticPr fontId="134" type="noConversion"/>
  </si>
  <si>
    <t>建筑占地面积</t>
    <phoneticPr fontId="134" type="noConversion"/>
  </si>
  <si>
    <t>楼房</t>
    <phoneticPr fontId="134" type="noConversion"/>
  </si>
  <si>
    <t>平房</t>
    <phoneticPr fontId="134" type="noConversion"/>
  </si>
  <si>
    <t>宗地总面积</t>
    <phoneticPr fontId="134" type="noConversion"/>
  </si>
  <si>
    <t>房屋总建筑面积</t>
    <phoneticPr fontId="134" type="noConversion"/>
  </si>
  <si>
    <t>建筑占地总面积</t>
    <phoneticPr fontId="134" type="noConversion"/>
  </si>
  <si>
    <t>密云县新南路甲52号院</t>
    <phoneticPr fontId="134" type="noConversion"/>
  </si>
  <si>
    <r>
      <t>X京房权证密字第</t>
    </r>
    <r>
      <rPr>
        <sz val="11"/>
        <color theme="1"/>
        <rFont val="宋体"/>
        <family val="3"/>
        <charset val="134"/>
        <scheme val="minor"/>
      </rPr>
      <t>059325号</t>
    </r>
    <phoneticPr fontId="134" type="noConversion"/>
  </si>
  <si>
    <t>密云县新南路52号院1号楼等2幢</t>
    <phoneticPr fontId="134" type="noConversion"/>
  </si>
  <si>
    <t>1号楼</t>
    <phoneticPr fontId="134" type="noConversion"/>
  </si>
  <si>
    <t>2号楼</t>
    <phoneticPr fontId="134" type="noConversion"/>
  </si>
  <si>
    <t>结构</t>
    <phoneticPr fontId="134" type="noConversion"/>
  </si>
  <si>
    <t>混合</t>
    <phoneticPr fontId="134" type="noConversion"/>
  </si>
  <si>
    <t>密云县新南路52号院</t>
    <phoneticPr fontId="134" type="noConversion"/>
  </si>
  <si>
    <t>房产证</t>
    <phoneticPr fontId="134" type="noConversion"/>
  </si>
  <si>
    <t>土地证</t>
    <phoneticPr fontId="134" type="noConversion"/>
  </si>
  <si>
    <r>
      <t>京密国用（2</t>
    </r>
    <r>
      <rPr>
        <sz val="11"/>
        <color theme="1"/>
        <rFont val="宋体"/>
        <family val="3"/>
        <charset val="134"/>
        <scheme val="minor"/>
      </rPr>
      <t>014出）第00076号</t>
    </r>
    <phoneticPr fontId="134" type="noConversion"/>
  </si>
  <si>
    <t>密云县新南路甲52号</t>
    <phoneticPr fontId="134" type="noConversion"/>
  </si>
  <si>
    <t>综合用地</t>
    <phoneticPr fontId="134" type="noConversion"/>
  </si>
  <si>
    <t>座落</t>
    <phoneticPr fontId="134" type="noConversion"/>
  </si>
  <si>
    <t>地类（用途）</t>
    <phoneticPr fontId="134" type="noConversion"/>
  </si>
  <si>
    <t>终止日期</t>
    <phoneticPr fontId="134" type="noConversion"/>
  </si>
  <si>
    <t>使用权面积</t>
    <phoneticPr fontId="134" type="noConversion"/>
  </si>
  <si>
    <t>京密国用（2014出）第00077号</t>
    <phoneticPr fontId="134" type="noConversion"/>
  </si>
  <si>
    <t>密云县新南路52号</t>
    <phoneticPr fontId="134" type="noConversion"/>
  </si>
  <si>
    <t>现房</t>
  </si>
  <si>
    <t>是</t>
  </si>
  <si>
    <t>地上</t>
  </si>
  <si>
    <t>现状为幼儿园</t>
    <phoneticPr fontId="134" type="noConversion"/>
  </si>
  <si>
    <r>
      <t>年租金2</t>
    </r>
    <r>
      <rPr>
        <sz val="11"/>
        <color theme="1"/>
        <rFont val="宋体"/>
        <family val="3"/>
        <charset val="134"/>
        <scheme val="minor"/>
      </rPr>
      <t>05万</t>
    </r>
    <phoneticPr fontId="134" type="noConversion"/>
  </si>
  <si>
    <t>日租金</t>
    <phoneticPr fontId="134" type="noConversion"/>
  </si>
  <si>
    <t>成新度</t>
  </si>
  <si>
    <t>Ⅷ-密1</t>
  </si>
  <si>
    <t>鼓楼街道</t>
    <phoneticPr fontId="3" type="noConversion"/>
  </si>
  <si>
    <t>建成年代</t>
    <phoneticPr fontId="3" type="noConversion"/>
  </si>
  <si>
    <t>设定混合结构</t>
    <phoneticPr fontId="3" type="noConversion"/>
  </si>
  <si>
    <t>直线</t>
    <phoneticPr fontId="3" type="noConversion"/>
  </si>
  <si>
    <t>观察</t>
    <phoneticPr fontId="3" type="noConversion"/>
  </si>
  <si>
    <t>综合</t>
    <phoneticPr fontId="3" type="noConversion"/>
  </si>
  <si>
    <t>建安取值</t>
    <phoneticPr fontId="134" type="noConversion"/>
  </si>
  <si>
    <t>建安取值在面积表</t>
    <phoneticPr fontId="3" type="noConversion"/>
  </si>
  <si>
    <t>自定义容积率</t>
  </si>
  <si>
    <t>与级别开发程度一致</t>
  </si>
  <si>
    <t>按公示增长率计算</t>
  </si>
  <si>
    <t>中心城区以外</t>
  </si>
  <si>
    <t>较好</t>
  </si>
  <si>
    <t>好</t>
  </si>
  <si>
    <t>综合用地</t>
  </si>
  <si>
    <t>未包含在土地购买价格中</t>
  </si>
  <si>
    <t>已包含在土地取得成本中</t>
  </si>
  <si>
    <t>押一</t>
  </si>
  <si>
    <t>砖混</t>
  </si>
  <si>
    <t>非生产用房</t>
  </si>
  <si>
    <t>否</t>
  </si>
  <si>
    <t>设定</t>
    <phoneticPr fontId="3" type="noConversion"/>
  </si>
  <si>
    <t>建筑物</t>
    <phoneticPr fontId="3" type="noConversion"/>
  </si>
  <si>
    <t>空地</t>
    <phoneticPr fontId="3" type="noConversion"/>
  </si>
  <si>
    <r>
      <rPr>
        <sz val="10"/>
        <color indexed="8"/>
        <rFont val="宋体"/>
        <family val="3"/>
        <charset val="134"/>
      </rPr>
      <t>甲</t>
    </r>
    <r>
      <rPr>
        <sz val="10"/>
        <color indexed="8"/>
        <rFont val="Arial"/>
        <family val="2"/>
      </rPr>
      <t>52</t>
    </r>
    <r>
      <rPr>
        <sz val="10"/>
        <color indexed="8"/>
        <rFont val="宋体"/>
        <family val="3"/>
        <charset val="134"/>
      </rPr>
      <t>号</t>
    </r>
    <phoneticPr fontId="3" type="noConversion"/>
  </si>
  <si>
    <t>综合</t>
  </si>
  <si>
    <t>综合</t>
    <phoneticPr fontId="7" type="noConversion"/>
  </si>
  <si>
    <t>收益法</t>
  </si>
  <si>
    <t>全部缴纳</t>
  </si>
  <si>
    <t>成本法</t>
  </si>
  <si>
    <t>总价</t>
  </si>
  <si>
    <t>自定义</t>
  </si>
  <si>
    <t>52号院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</si>
</sst>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95" fillId="0" borderId="1" xfId="0" applyFont="1" applyBorder="1">
      <alignment vertical="center"/>
    </xf>
    <xf numFmtId="0" fontId="95" fillId="0" borderId="1" xfId="0" applyFont="1" applyBorder="1" applyAlignment="1">
      <alignment vertical="center" wrapText="1"/>
    </xf>
    <xf numFmtId="0" fontId="95" fillId="5" borderId="1" xfId="0" applyFont="1" applyFill="1" applyBorder="1">
      <alignment vertical="center"/>
    </xf>
    <xf numFmtId="0" fontId="95" fillId="5" borderId="1" xfId="0" applyFont="1" applyFill="1" applyBorder="1" applyAlignment="1">
      <alignment vertical="center" wrapText="1"/>
    </xf>
    <xf numFmtId="14" fontId="0" fillId="5" borderId="1" xfId="0" applyNumberFormat="1" applyFill="1" applyBorder="1">
      <alignment vertical="center"/>
    </xf>
    <xf numFmtId="0" fontId="0" fillId="5" borderId="1" xfId="0" applyFill="1" applyBorder="1">
      <alignment vertical="center"/>
    </xf>
    <xf numFmtId="0" fontId="95" fillId="5" borderId="58" xfId="0" applyFont="1" applyFill="1" applyBorder="1">
      <alignment vertical="center"/>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95" fillId="0" borderId="15" xfId="0" applyFont="1" applyBorder="1">
      <alignment vertical="center"/>
    </xf>
    <xf numFmtId="0" fontId="0" fillId="0" borderId="15" xfId="0" applyBorder="1">
      <alignment vertical="center"/>
    </xf>
    <xf numFmtId="177" fontId="77" fillId="0" borderId="1" xfId="1"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95" fillId="5" borderId="0" xfId="0" applyFont="1" applyFill="1">
      <alignment vertical="center"/>
    </xf>
    <xf numFmtId="0" fontId="273"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12700</xdr:rowOff>
    </xdr:from>
    <xdr:to>
      <xdr:col>11</xdr:col>
      <xdr:colOff>575266</xdr:colOff>
      <xdr:row>67</xdr:row>
      <xdr:rowOff>84586</xdr:rowOff>
    </xdr:to>
    <xdr:pic>
      <xdr:nvPicPr>
        <xdr:cNvPr id="2" name="图片 1">
          <a:extLst>
            <a:ext uri="{FF2B5EF4-FFF2-40B4-BE49-F238E27FC236}">
              <a16:creationId xmlns:a16="http://schemas.microsoft.com/office/drawing/2014/main" id="{61349972-F7EB-F586-0689-1EFBC010EADB}"/>
            </a:ext>
          </a:extLst>
        </xdr:cNvPr>
        <xdr:cNvPicPr>
          <a:picLocks noChangeAspect="1"/>
        </xdr:cNvPicPr>
      </xdr:nvPicPr>
      <xdr:blipFill>
        <a:blip xmlns:r="http://schemas.openxmlformats.org/officeDocument/2006/relationships" r:embed="rId1"/>
        <a:stretch>
          <a:fillRect/>
        </a:stretch>
      </xdr:blipFill>
      <xdr:spPr>
        <a:xfrm>
          <a:off x="0" y="7480300"/>
          <a:ext cx="11357566" cy="5228086"/>
        </a:xfrm>
        <a:prstGeom prst="rect">
          <a:avLst/>
        </a:prstGeom>
      </xdr:spPr>
    </xdr:pic>
    <xdr:clientData/>
  </xdr:twoCellAnchor>
  <xdr:twoCellAnchor editAs="oneCell">
    <xdr:from>
      <xdr:col>10</xdr:col>
      <xdr:colOff>12700</xdr:colOff>
      <xdr:row>0</xdr:row>
      <xdr:rowOff>56315</xdr:rowOff>
    </xdr:from>
    <xdr:to>
      <xdr:col>17</xdr:col>
      <xdr:colOff>247650</xdr:colOff>
      <xdr:row>16</xdr:row>
      <xdr:rowOff>112015</xdr:rowOff>
    </xdr:to>
    <xdr:pic>
      <xdr:nvPicPr>
        <xdr:cNvPr id="3" name="图片 2">
          <a:extLst>
            <a:ext uri="{FF2B5EF4-FFF2-40B4-BE49-F238E27FC236}">
              <a16:creationId xmlns:a16="http://schemas.microsoft.com/office/drawing/2014/main" id="{5064AD12-BC58-7921-2AD5-BC78A46623FB}"/>
            </a:ext>
          </a:extLst>
        </xdr:cNvPr>
        <xdr:cNvPicPr>
          <a:picLocks noChangeAspect="1"/>
        </xdr:cNvPicPr>
      </xdr:nvPicPr>
      <xdr:blipFill>
        <a:blip xmlns:r="http://schemas.openxmlformats.org/officeDocument/2006/relationships" r:embed="rId2"/>
        <a:stretch>
          <a:fillRect/>
        </a:stretch>
      </xdr:blipFill>
      <xdr:spPr>
        <a:xfrm>
          <a:off x="10185400" y="56315"/>
          <a:ext cx="4502150" cy="3256100"/>
        </a:xfrm>
        <a:prstGeom prst="rect">
          <a:avLst/>
        </a:prstGeom>
      </xdr:spPr>
    </xdr:pic>
    <xdr:clientData/>
  </xdr:twoCellAnchor>
  <xdr:twoCellAnchor editAs="oneCell">
    <xdr:from>
      <xdr:col>9</xdr:col>
      <xdr:colOff>571027</xdr:colOff>
      <xdr:row>17</xdr:row>
      <xdr:rowOff>82550</xdr:rowOff>
    </xdr:from>
    <xdr:to>
      <xdr:col>19</xdr:col>
      <xdr:colOff>247498</xdr:colOff>
      <xdr:row>38</xdr:row>
      <xdr:rowOff>24121</xdr:rowOff>
    </xdr:to>
    <xdr:pic>
      <xdr:nvPicPr>
        <xdr:cNvPr id="4" name="图片 3">
          <a:extLst>
            <a:ext uri="{FF2B5EF4-FFF2-40B4-BE49-F238E27FC236}">
              <a16:creationId xmlns:a16="http://schemas.microsoft.com/office/drawing/2014/main" id="{B2B47F2F-C877-6D24-719A-9010F6CEA614}"/>
            </a:ext>
          </a:extLst>
        </xdr:cNvPr>
        <xdr:cNvPicPr>
          <a:picLocks noChangeAspect="1"/>
        </xdr:cNvPicPr>
      </xdr:nvPicPr>
      <xdr:blipFill>
        <a:blip xmlns:r="http://schemas.openxmlformats.org/officeDocument/2006/relationships" r:embed="rId3"/>
        <a:stretch>
          <a:fillRect/>
        </a:stretch>
      </xdr:blipFill>
      <xdr:spPr>
        <a:xfrm>
          <a:off x="10134127" y="3460750"/>
          <a:ext cx="5772471" cy="4030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313143</xdr:colOff>
      <xdr:row>55</xdr:row>
      <xdr:rowOff>49571</xdr:rowOff>
    </xdr:to>
    <xdr:pic>
      <xdr:nvPicPr>
        <xdr:cNvPr id="2" name="图片 1">
          <a:extLst>
            <a:ext uri="{FF2B5EF4-FFF2-40B4-BE49-F238E27FC236}">
              <a16:creationId xmlns:a16="http://schemas.microsoft.com/office/drawing/2014/main" id="{A62D751A-A2D7-FE89-619C-A70CF529DC72}"/>
            </a:ext>
          </a:extLst>
        </xdr:cNvPr>
        <xdr:cNvPicPr>
          <a:picLocks noChangeAspect="1"/>
        </xdr:cNvPicPr>
      </xdr:nvPicPr>
      <xdr:blipFill>
        <a:blip xmlns:r="http://schemas.openxmlformats.org/officeDocument/2006/relationships" r:embed="rId1"/>
        <a:stretch>
          <a:fillRect/>
        </a:stretch>
      </xdr:blipFill>
      <xdr:spPr>
        <a:xfrm>
          <a:off x="0" y="0"/>
          <a:ext cx="9457143" cy="9828571"/>
        </a:xfrm>
        <a:prstGeom prst="rect">
          <a:avLst/>
        </a:prstGeom>
      </xdr:spPr>
    </xdr:pic>
    <xdr:clientData/>
  </xdr:twoCellAnchor>
  <xdr:twoCellAnchor editAs="oneCell">
    <xdr:from>
      <xdr:col>0</xdr:col>
      <xdr:colOff>0</xdr:colOff>
      <xdr:row>55</xdr:row>
      <xdr:rowOff>0</xdr:rowOff>
    </xdr:from>
    <xdr:to>
      <xdr:col>16</xdr:col>
      <xdr:colOff>132114</xdr:colOff>
      <xdr:row>109</xdr:row>
      <xdr:rowOff>113086</xdr:rowOff>
    </xdr:to>
    <xdr:pic>
      <xdr:nvPicPr>
        <xdr:cNvPr id="3" name="图片 2">
          <a:extLst>
            <a:ext uri="{FF2B5EF4-FFF2-40B4-BE49-F238E27FC236}">
              <a16:creationId xmlns:a16="http://schemas.microsoft.com/office/drawing/2014/main" id="{E6298E57-6628-2077-3554-D0BE5C775A79}"/>
            </a:ext>
          </a:extLst>
        </xdr:cNvPr>
        <xdr:cNvPicPr>
          <a:picLocks noChangeAspect="1"/>
        </xdr:cNvPicPr>
      </xdr:nvPicPr>
      <xdr:blipFill>
        <a:blip xmlns:r="http://schemas.openxmlformats.org/officeDocument/2006/relationships" r:embed="rId2"/>
        <a:stretch>
          <a:fillRect/>
        </a:stretch>
      </xdr:blipFill>
      <xdr:spPr>
        <a:xfrm>
          <a:off x="0" y="9779000"/>
          <a:ext cx="9885714" cy="9714286"/>
        </a:xfrm>
        <a:prstGeom prst="rect">
          <a:avLst/>
        </a:prstGeom>
      </xdr:spPr>
    </xdr:pic>
    <xdr:clientData/>
  </xdr:twoCellAnchor>
  <xdr:twoCellAnchor editAs="oneCell">
    <xdr:from>
      <xdr:col>16</xdr:col>
      <xdr:colOff>0</xdr:colOff>
      <xdr:row>0</xdr:row>
      <xdr:rowOff>0</xdr:rowOff>
    </xdr:from>
    <xdr:to>
      <xdr:col>32</xdr:col>
      <xdr:colOff>408305</xdr:colOff>
      <xdr:row>9</xdr:row>
      <xdr:rowOff>161705</xdr:rowOff>
    </xdr:to>
    <xdr:pic>
      <xdr:nvPicPr>
        <xdr:cNvPr id="4" name="图片 3">
          <a:extLst>
            <a:ext uri="{FF2B5EF4-FFF2-40B4-BE49-F238E27FC236}">
              <a16:creationId xmlns:a16="http://schemas.microsoft.com/office/drawing/2014/main" id="{F4FC204E-B619-E627-EE2A-CC266252AE77}"/>
            </a:ext>
          </a:extLst>
        </xdr:cNvPr>
        <xdr:cNvPicPr>
          <a:picLocks noChangeAspect="1"/>
        </xdr:cNvPicPr>
      </xdr:nvPicPr>
      <xdr:blipFill>
        <a:blip xmlns:r="http://schemas.openxmlformats.org/officeDocument/2006/relationships" r:embed="rId3"/>
        <a:stretch>
          <a:fillRect/>
        </a:stretch>
      </xdr:blipFill>
      <xdr:spPr>
        <a:xfrm>
          <a:off x="9753600" y="0"/>
          <a:ext cx="10161905" cy="1761905"/>
        </a:xfrm>
        <a:prstGeom prst="rect">
          <a:avLst/>
        </a:prstGeom>
      </xdr:spPr>
    </xdr:pic>
    <xdr:clientData/>
  </xdr:twoCellAnchor>
  <xdr:twoCellAnchor editAs="oneCell">
    <xdr:from>
      <xdr:col>16</xdr:col>
      <xdr:colOff>349250</xdr:colOff>
      <xdr:row>9</xdr:row>
      <xdr:rowOff>6350</xdr:rowOff>
    </xdr:from>
    <xdr:to>
      <xdr:col>29</xdr:col>
      <xdr:colOff>414393</xdr:colOff>
      <xdr:row>44</xdr:row>
      <xdr:rowOff>41207</xdr:rowOff>
    </xdr:to>
    <xdr:pic>
      <xdr:nvPicPr>
        <xdr:cNvPr id="5" name="图片 4">
          <a:extLst>
            <a:ext uri="{FF2B5EF4-FFF2-40B4-BE49-F238E27FC236}">
              <a16:creationId xmlns:a16="http://schemas.microsoft.com/office/drawing/2014/main" id="{1B5B375A-AFAB-6187-A8A5-22D00A2F9DDB}"/>
            </a:ext>
          </a:extLst>
        </xdr:cNvPr>
        <xdr:cNvPicPr>
          <a:picLocks noChangeAspect="1"/>
        </xdr:cNvPicPr>
      </xdr:nvPicPr>
      <xdr:blipFill>
        <a:blip xmlns:r="http://schemas.openxmlformats.org/officeDocument/2006/relationships" r:embed="rId4"/>
        <a:stretch>
          <a:fillRect/>
        </a:stretch>
      </xdr:blipFill>
      <xdr:spPr>
        <a:xfrm>
          <a:off x="10102850" y="1606550"/>
          <a:ext cx="7989943" cy="6257857"/>
        </a:xfrm>
        <a:prstGeom prst="rect">
          <a:avLst/>
        </a:prstGeom>
      </xdr:spPr>
    </xdr:pic>
    <xdr:clientData/>
  </xdr:twoCellAnchor>
  <xdr:twoCellAnchor editAs="oneCell">
    <xdr:from>
      <xdr:col>15</xdr:col>
      <xdr:colOff>528864</xdr:colOff>
      <xdr:row>43</xdr:row>
      <xdr:rowOff>107950</xdr:rowOff>
    </xdr:from>
    <xdr:to>
      <xdr:col>28</xdr:col>
      <xdr:colOff>437093</xdr:colOff>
      <xdr:row>82</xdr:row>
      <xdr:rowOff>27650</xdr:rowOff>
    </xdr:to>
    <xdr:pic>
      <xdr:nvPicPr>
        <xdr:cNvPr id="6" name="图片 5">
          <a:extLst>
            <a:ext uri="{FF2B5EF4-FFF2-40B4-BE49-F238E27FC236}">
              <a16:creationId xmlns:a16="http://schemas.microsoft.com/office/drawing/2014/main" id="{923FEBCE-11F6-530A-EFF2-2F1B935AC525}"/>
            </a:ext>
          </a:extLst>
        </xdr:cNvPr>
        <xdr:cNvPicPr>
          <a:picLocks noChangeAspect="1"/>
        </xdr:cNvPicPr>
      </xdr:nvPicPr>
      <xdr:blipFill>
        <a:blip xmlns:r="http://schemas.openxmlformats.org/officeDocument/2006/relationships" r:embed="rId5"/>
        <a:stretch>
          <a:fillRect/>
        </a:stretch>
      </xdr:blipFill>
      <xdr:spPr>
        <a:xfrm>
          <a:off x="9672864" y="7753350"/>
          <a:ext cx="7833029" cy="685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4037;&#34892;-&#38472;&#23425;\&#26032;&#21335;&#36335;52&#21495;&#27979;&#31639;&#34920;-&#31199;&#32473;&#24188;&#20799;&#22253;.xlsx" TargetMode="External"/><Relationship Id="rId1" Type="http://schemas.openxmlformats.org/officeDocument/2006/relationships/externalLinkPath" Target="&#26032;&#21335;&#36335;52&#21495;&#27979;&#31639;&#34920;-&#31199;&#32473;&#24188;&#20799;&#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面积表"/>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3138.68</v>
          </cell>
          <cell r="C14">
            <v>4203.0600000000004</v>
          </cell>
          <cell r="D14">
            <v>3262</v>
          </cell>
          <cell r="E14">
            <v>10393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北京市密云县新南路甲52号院1号楼等3幢房地产抵押价值预评估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受贵公司委托，我公司对北京市密云县新南路甲52号院1号楼等3幢房地产抵押价值进行了预评估。</v>
      </c>
    </row>
    <row r="7" spans="1:2">
      <c r="A7" s="1119" t="s">
        <v>566</v>
      </c>
      <c r="B7" s="1120" t="str">
        <f>'预评函-1'!A7</f>
        <v>估价对象为北京市密云县新南路甲52号院1号楼等3幢房地产，为北京兴旺林贸易有限公司所有。根据《国有土地使用证》[]，估价对象（分摊）出让国有建设用地使用权面积为5851.68平方米，建筑面积为2256.4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县新南路甲52号院1号楼等3幢房地产,属北京兴旺林贸易有限公司开发建设的，该项目尚在开发建设中。根据《国有土地使用证》[]，估价对象（分摊）出让国有建设用地使用权面积为5851.68平方米，规划建筑面积为2256.4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3498</v>
      </c>
    </row>
    <row r="21" spans="1:2">
      <c r="A21" s="1119" t="s">
        <v>537</v>
      </c>
      <c r="B21" s="1120">
        <f ca="1">'预评函-2'!D7</f>
        <v>15503</v>
      </c>
    </row>
    <row r="22" spans="1:2">
      <c r="A22" s="1119" t="s">
        <v>538</v>
      </c>
      <c r="B22" s="1120" t="str">
        <f ca="1">'预评函-2'!D6</f>
        <v>叁仟肆佰玖拾捌万元整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3498</v>
      </c>
    </row>
    <row r="31" spans="1:2">
      <c r="A31" s="1119" t="s">
        <v>576</v>
      </c>
      <c r="B31" s="1120">
        <f ca="1">'预评函-2'!D15</f>
        <v>15503</v>
      </c>
    </row>
    <row r="32" spans="1:2">
      <c r="A32" s="1119" t="s">
        <v>543</v>
      </c>
      <c r="B32" s="1120" t="str">
        <f ca="1">'预评函-2'!D14</f>
        <v>叁仟肆佰玖拾捌万元整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北京市密云县新南路甲52号院1号楼等3幢房地产</v>
      </c>
    </row>
    <row r="42" spans="1:2" ht="30">
      <c r="A42" s="1119" t="s">
        <v>590</v>
      </c>
      <c r="B42" s="1120" t="str">
        <f>'预评函-3'!B2</f>
        <v>建筑面积</v>
      </c>
    </row>
    <row r="43" spans="1:2">
      <c r="A43" s="1119" t="s">
        <v>591</v>
      </c>
      <c r="B43" s="1120">
        <f>'预评函-3'!B4</f>
        <v>2256.4</v>
      </c>
    </row>
    <row r="44" spans="1:2" ht="30">
      <c r="A44" s="1119" t="s">
        <v>575</v>
      </c>
      <c r="B44" s="1120" t="str">
        <f>'预评函-3'!C2</f>
        <v>(分摊)土地面积</v>
      </c>
    </row>
    <row r="45" spans="1:2">
      <c r="A45" s="1119" t="s">
        <v>547</v>
      </c>
      <c r="B45" s="1120">
        <f>'预评函-3'!C4</f>
        <v>5851.68</v>
      </c>
    </row>
    <row r="46" spans="1:2">
      <c r="A46" s="1119" t="s">
        <v>573</v>
      </c>
      <c r="B46" s="1120" t="str">
        <f>'预评函-3'!D2</f>
        <v>出让国有建设用地使用权价值</v>
      </c>
    </row>
    <row r="47" spans="1:2">
      <c r="A47" s="1119" t="s">
        <v>548</v>
      </c>
      <c r="B47" s="1120">
        <f ca="1">'预评函-3'!D4</f>
        <v>2773</v>
      </c>
    </row>
    <row r="48" spans="1:2">
      <c r="A48" s="1119" t="s">
        <v>549</v>
      </c>
      <c r="B48" s="1120">
        <f ca="1">'预评函-3'!E4</f>
        <v>12289</v>
      </c>
    </row>
    <row r="49" spans="1:2">
      <c r="A49" s="1119" t="s">
        <v>550</v>
      </c>
      <c r="B49" s="1120" t="str">
        <f ca="1">'预评函-3'!D5</f>
        <v>贰仟柒佰柒拾叁万元整</v>
      </c>
    </row>
    <row r="50" spans="1:2">
      <c r="A50" s="1119" t="s">
        <v>574</v>
      </c>
      <c r="B50" s="1120" t="str">
        <f>'预评函-3'!F2</f>
        <v>在建建筑物价值</v>
      </c>
    </row>
    <row r="51" spans="1:2">
      <c r="A51" s="1119" t="s">
        <v>551</v>
      </c>
      <c r="B51" s="1120">
        <f ca="1">'预评函-3'!F4</f>
        <v>725</v>
      </c>
    </row>
    <row r="52" spans="1:2">
      <c r="A52" s="1119" t="s">
        <v>552</v>
      </c>
      <c r="B52" s="1120">
        <f ca="1">'预评函-3'!G4</f>
        <v>3213</v>
      </c>
    </row>
    <row r="53" spans="1:2">
      <c r="A53" s="1119" t="s">
        <v>580</v>
      </c>
      <c r="B53" s="1120" t="str">
        <f ca="1">'预评函-3'!F5</f>
        <v>柒佰贰拾伍万元整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976</v>
      </c>
      <c r="C1" s="1438" t="s">
        <v>314</v>
      </c>
      <c r="D1" s="1439" t="s">
        <v>3348</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3404</v>
      </c>
      <c r="AA1" s="1438" t="s">
        <v>3403</v>
      </c>
      <c r="AB1" s="1438" t="s">
        <v>3</v>
      </c>
    </row>
    <row r="2" spans="1:28">
      <c r="A2" s="1441" t="s">
        <v>19</v>
      </c>
      <c r="B2" s="1441" t="s">
        <v>992</v>
      </c>
      <c r="C2" s="1442" t="s">
        <v>315</v>
      </c>
      <c r="D2" s="1443" t="s">
        <v>993</v>
      </c>
      <c r="E2" s="1443" t="s">
        <v>994</v>
      </c>
      <c r="F2" s="1443" t="s">
        <v>995</v>
      </c>
      <c r="G2" s="1443">
        <v>20</v>
      </c>
      <c r="H2" s="1443" t="s">
        <v>995</v>
      </c>
      <c r="I2" s="1443" t="s">
        <v>3334</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2438</v>
      </c>
      <c r="Y2" s="1445" t="s">
        <v>3411</v>
      </c>
      <c r="Z2" s="1445" t="s">
        <v>2451</v>
      </c>
      <c r="AA2" s="1445" t="s">
        <v>3412</v>
      </c>
      <c r="AB2" s="1445" t="s">
        <v>2478</v>
      </c>
    </row>
    <row r="3" spans="1:28">
      <c r="A3" s="1441" t="s">
        <v>1000</v>
      </c>
      <c r="B3" s="1444" t="s">
        <v>448</v>
      </c>
      <c r="C3" s="1442" t="s">
        <v>316</v>
      </c>
      <c r="D3" s="1443" t="s">
        <v>1001</v>
      </c>
      <c r="E3" s="1443" t="s">
        <v>13</v>
      </c>
      <c r="F3" s="1443" t="s">
        <v>1002</v>
      </c>
      <c r="G3" s="1443">
        <v>40</v>
      </c>
      <c r="H3" s="1443" t="s">
        <v>1002</v>
      </c>
      <c r="I3" s="1443" t="s">
        <v>3335</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2440</v>
      </c>
      <c r="Z3" s="1445" t="s">
        <v>2453</v>
      </c>
      <c r="AB3" s="1445" t="s">
        <v>2480</v>
      </c>
    </row>
    <row r="4" spans="1:28">
      <c r="A4" s="1441" t="s">
        <v>1007</v>
      </c>
      <c r="B4" s="1441" t="s">
        <v>1008</v>
      </c>
      <c r="C4" s="1442" t="s">
        <v>317</v>
      </c>
      <c r="D4" s="1443" t="s">
        <v>389</v>
      </c>
      <c r="E4" s="1443" t="s">
        <v>1009</v>
      </c>
      <c r="F4" s="1443" t="s">
        <v>1010</v>
      </c>
      <c r="G4" s="1443">
        <v>50</v>
      </c>
      <c r="H4" s="1443" t="s">
        <v>1010</v>
      </c>
      <c r="I4" s="1443" t="s">
        <v>3336</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2442</v>
      </c>
      <c r="Z4" s="1445" t="s">
        <v>2455</v>
      </c>
      <c r="AB4" s="1445" t="s">
        <v>2482</v>
      </c>
    </row>
    <row r="5" spans="1:28">
      <c r="A5" s="1441" t="s">
        <v>1013</v>
      </c>
      <c r="B5" s="1441" t="s">
        <v>1014</v>
      </c>
      <c r="C5" s="1442" t="s">
        <v>318</v>
      </c>
      <c r="F5" s="1443" t="s">
        <v>1015</v>
      </c>
      <c r="G5" s="1443">
        <v>70</v>
      </c>
      <c r="H5" s="1443" t="s">
        <v>1016</v>
      </c>
      <c r="I5" s="1443" t="s">
        <v>3337</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c r="X5" s="1445" t="s">
        <v>2444</v>
      </c>
      <c r="Z5" s="1445" t="s">
        <v>2457</v>
      </c>
      <c r="AB5" s="1445" t="s">
        <v>3413</v>
      </c>
    </row>
    <row r="6" spans="1:28">
      <c r="A6" s="1441" t="s">
        <v>1019</v>
      </c>
      <c r="B6" s="1444" t="s">
        <v>449</v>
      </c>
      <c r="C6" s="1446" t="s">
        <v>24</v>
      </c>
      <c r="F6" s="1443" t="s">
        <v>1016</v>
      </c>
      <c r="H6" s="1443" t="s">
        <v>1020</v>
      </c>
      <c r="I6" s="1443" t="s">
        <v>3338</v>
      </c>
      <c r="K6" s="1443" t="s">
        <v>1021</v>
      </c>
      <c r="L6" s="1443" t="s">
        <v>1021</v>
      </c>
      <c r="M6" s="1443" t="s">
        <v>1021</v>
      </c>
      <c r="N6" s="1443" t="s">
        <v>1021</v>
      </c>
      <c r="O6" s="1443" t="s">
        <v>1021</v>
      </c>
      <c r="P6" s="1443" t="s">
        <v>1021</v>
      </c>
      <c r="Q6" s="1443" t="s">
        <v>1021</v>
      </c>
      <c r="R6" s="1443" t="s">
        <v>446</v>
      </c>
      <c r="S6" s="1443" t="s">
        <v>1021</v>
      </c>
      <c r="T6" s="1443"/>
      <c r="U6" s="1443" t="s">
        <v>1021</v>
      </c>
      <c r="W6" s="1443" t="s">
        <v>1021</v>
      </c>
      <c r="X6" s="1445" t="s">
        <v>2446</v>
      </c>
      <c r="Z6" s="1445" t="s">
        <v>2459</v>
      </c>
      <c r="AB6" s="1445" t="s">
        <v>2485</v>
      </c>
    </row>
    <row r="7" spans="1:28">
      <c r="A7" s="1441" t="s">
        <v>1022</v>
      </c>
      <c r="B7" s="1444" t="s">
        <v>450</v>
      </c>
      <c r="C7" s="1442" t="s">
        <v>25</v>
      </c>
      <c r="F7" s="1443" t="s">
        <v>1023</v>
      </c>
      <c r="H7" s="1443" t="s">
        <v>1024</v>
      </c>
      <c r="I7" s="1443" t="s">
        <v>3339</v>
      </c>
      <c r="X7" s="1445" t="s">
        <v>2448</v>
      </c>
      <c r="Z7" s="1445" t="s">
        <v>2461</v>
      </c>
      <c r="AB7" s="1445" t="s">
        <v>2487</v>
      </c>
    </row>
    <row r="8" spans="1:28">
      <c r="A8" s="1441" t="s">
        <v>1025</v>
      </c>
      <c r="B8" s="1441" t="s">
        <v>1026</v>
      </c>
      <c r="C8" s="1442" t="s">
        <v>319</v>
      </c>
      <c r="F8" s="1443" t="s">
        <v>1027</v>
      </c>
      <c r="H8" s="1443" t="s">
        <v>2576</v>
      </c>
      <c r="I8" s="1443" t="s">
        <v>3340</v>
      </c>
      <c r="X8" s="1445" t="s">
        <v>3414</v>
      </c>
      <c r="Z8" s="1445" t="s">
        <v>2463</v>
      </c>
      <c r="AB8" s="1445" t="s">
        <v>2489</v>
      </c>
    </row>
    <row r="9" spans="1:28">
      <c r="A9" s="1441" t="s">
        <v>1028</v>
      </c>
      <c r="B9" s="1441" t="s">
        <v>1029</v>
      </c>
      <c r="C9" s="1442" t="s">
        <v>320</v>
      </c>
      <c r="F9" s="1443" t="s">
        <v>1030</v>
      </c>
      <c r="H9" s="1443"/>
      <c r="I9" s="1445" t="s">
        <v>3341</v>
      </c>
      <c r="X9" s="1445" t="s">
        <v>3415</v>
      </c>
      <c r="Z9" s="1445" t="s">
        <v>2465</v>
      </c>
      <c r="AB9" s="1445" t="s">
        <v>2491</v>
      </c>
    </row>
    <row r="10" spans="1:28">
      <c r="A10" s="1441" t="s">
        <v>1031</v>
      </c>
      <c r="B10" s="1441" t="s">
        <v>1032</v>
      </c>
      <c r="C10" s="1442" t="s">
        <v>321</v>
      </c>
      <c r="F10" s="1443" t="s">
        <v>2577</v>
      </c>
      <c r="I10" s="1445" t="s">
        <v>3342</v>
      </c>
      <c r="Z10" s="1445" t="s">
        <v>2467</v>
      </c>
      <c r="AB10" s="1445" t="s">
        <v>2493</v>
      </c>
    </row>
    <row r="11" spans="1:28">
      <c r="A11" s="1441" t="s">
        <v>1033</v>
      </c>
      <c r="B11" s="1441" t="s">
        <v>1034</v>
      </c>
      <c r="C11" s="1442" t="s">
        <v>322</v>
      </c>
      <c r="F11" s="1443" t="s">
        <v>13</v>
      </c>
      <c r="I11" s="1445" t="s">
        <v>3343</v>
      </c>
      <c r="Z11" s="1445" t="s">
        <v>2469</v>
      </c>
      <c r="AB11" s="1445" t="s">
        <v>2495</v>
      </c>
    </row>
    <row r="12" spans="1:28">
      <c r="A12" s="1441" t="s">
        <v>1035</v>
      </c>
      <c r="B12" s="1441" t="s">
        <v>1036</v>
      </c>
      <c r="C12" s="1442" t="s">
        <v>323</v>
      </c>
      <c r="I12" s="1445" t="s">
        <v>3344</v>
      </c>
      <c r="Z12" s="1445" t="s">
        <v>2471</v>
      </c>
      <c r="AB12" s="1445" t="s">
        <v>2497</v>
      </c>
    </row>
    <row r="13" spans="1:28">
      <c r="A13" s="1441" t="s">
        <v>1037</v>
      </c>
      <c r="B13" s="1441" t="s">
        <v>1038</v>
      </c>
      <c r="C13" s="1442" t="s">
        <v>324</v>
      </c>
      <c r="I13" s="1445" t="s">
        <v>3345</v>
      </c>
      <c r="Z13" s="1445" t="s">
        <v>2473</v>
      </c>
    </row>
    <row r="14" spans="1:28">
      <c r="A14" s="1441" t="s">
        <v>1039</v>
      </c>
      <c r="B14" s="1441" t="s">
        <v>1040</v>
      </c>
      <c r="C14" s="1443" t="s">
        <v>13</v>
      </c>
      <c r="I14" s="1445" t="s">
        <v>3346</v>
      </c>
      <c r="Z14" s="1445" t="s">
        <v>2475</v>
      </c>
    </row>
    <row r="15" spans="1:28">
      <c r="A15" s="1441" t="s">
        <v>1041</v>
      </c>
      <c r="B15" s="1441" t="s">
        <v>1042</v>
      </c>
      <c r="C15" s="1442"/>
      <c r="I15" s="1445" t="s">
        <v>3347</v>
      </c>
    </row>
    <row r="16" spans="1:28">
      <c r="A16" s="1441" t="s">
        <v>1043</v>
      </c>
      <c r="B16" s="1441" t="s">
        <v>312</v>
      </c>
      <c r="C16" s="1442"/>
    </row>
    <row r="17" spans="1:3">
      <c r="A17" s="1441" t="s">
        <v>1044</v>
      </c>
      <c r="B17" s="1441" t="s">
        <v>2292</v>
      </c>
      <c r="C17" s="1442"/>
    </row>
    <row r="18" spans="1:3">
      <c r="A18" s="1441" t="s">
        <v>1045</v>
      </c>
      <c r="B18" s="1441" t="s">
        <v>2432</v>
      </c>
      <c r="C18" s="1442"/>
    </row>
    <row r="19" spans="1:3">
      <c r="A19" s="1441" t="s">
        <v>1046</v>
      </c>
      <c r="B19" s="1441" t="s">
        <v>313</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9" t="s">
        <v>2579</v>
      </c>
      <c r="J2" s="3229"/>
      <c r="K2" s="3229"/>
      <c r="L2" s="3229"/>
      <c r="M2" s="3229"/>
      <c r="N2" s="3229"/>
      <c r="O2" s="3229"/>
      <c r="P2" s="3229"/>
      <c r="Q2" s="3229"/>
      <c r="R2" s="3229"/>
    </row>
    <row r="3" spans="1:18">
      <c r="A3" s="2760" t="s">
        <v>2500</v>
      </c>
      <c r="B3" s="2761">
        <f>项目基本情况!D3</f>
        <v>45924</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1.23</v>
      </c>
      <c r="D5" s="2765">
        <f>IF(ISERROR(ROUND(POWER(1+E5,A5-C5)*(POWER(1+E5,C5)-1)/(POWER(1+E5,A5)-1),3)),0,ROUND(POWER(1+E5,A5-C5)*(POWER(1+E5,C5)-1)/(POWER(1+E5,A5)-1),4))</f>
        <v>5.9499999999999997E-2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11.24</v>
      </c>
      <c r="D6" s="2765">
        <f>IF(ISERROR(ROUND(POWER(1+E6,A6-C6)*(POWER(1+E6,C6)-1)/(POWER(1+E6,A6)-1),3)),0,ROUND(POWER(1+E6,A6-C6)*(POWER(1+E6,C6)-1)/(POWER(1+E6,A6)-1),4))</f>
        <v>0.41489999999999999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31.25</v>
      </c>
      <c r="D7" s="2765">
        <f>IF(ISERROR(ROUND(POWER(1+E7,A7-C7)*(POWER(1+E7,C7)-1)/(POWER(1+E7,A7)-1),3)),0,ROUND(POWER(1+E7,A7-C7)*(POWER(1+E7,C7)-1)/(POWER(1+E7,A7)-1),4))</f>
        <v>0.75490000000000002</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4.5" thickBot="1">
      <c r="A18" s="2770" t="s">
        <v>2515</v>
      </c>
      <c r="B18" s="2771">
        <f>ROUND(B17*F11/F12,2)</f>
        <v>5541.87</v>
      </c>
      <c r="C18" s="2771">
        <f>ROUND(F11/F12,4)</f>
        <v>1.1521999999999999</v>
      </c>
      <c r="D18" s="2772"/>
      <c r="E18" s="2772"/>
      <c r="F18" s="2773"/>
    </row>
    <row r="19" spans="1:14" ht="14.5" thickBot="1"/>
    <row r="20" spans="1:14" s="2806" customFormat="1" ht="14.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4.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K13" sqref="K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2167</v>
      </c>
      <c r="B1" s="3237" t="str">
        <f>IF(B10="北京市","北京市",C10)&amp;F10&amp;IF(结果表!G1="在建","出让国有建设用地使用权及在建建筑物",IF(结果表!G1="土地","出让国有建设用地使用权",))&amp;B9&amp;"预评估"</f>
        <v>北京市密云县新南路甲52号院1号楼等3幢房地产抵押价值预评估</v>
      </c>
      <c r="C1" s="3238"/>
      <c r="D1" s="3238"/>
      <c r="E1" s="3238"/>
      <c r="F1" s="3238"/>
      <c r="G1" s="3238"/>
      <c r="H1" s="3238"/>
      <c r="I1" s="3239"/>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北京市密云县新南路甲52号院1号楼等3幢房地产抵押价值</v>
      </c>
      <c r="T1" s="1618"/>
      <c r="U1" s="1618"/>
      <c r="V1" s="1618"/>
      <c r="W1" s="1618"/>
      <c r="X1" s="1618"/>
      <c r="Y1" s="1618"/>
      <c r="Z1" s="1618"/>
      <c r="AA1" s="1618"/>
      <c r="AB1" s="1618"/>
    </row>
    <row r="2" spans="1:30" ht="13">
      <c r="A2" s="2181" t="s">
        <v>2168</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北京市密云县新南路甲52号院1号楼等3幢房地产</v>
      </c>
      <c r="T2" s="1618"/>
      <c r="U2" s="1618"/>
      <c r="V2" s="1618"/>
      <c r="W2" s="1618"/>
      <c r="X2" s="1618"/>
      <c r="Y2" s="1618"/>
      <c r="Z2" s="1618"/>
      <c r="AA2" s="1618"/>
      <c r="AB2" s="1618"/>
    </row>
    <row r="3" spans="1:30" ht="13">
      <c r="A3" s="294" t="s">
        <v>2169</v>
      </c>
      <c r="B3" s="2184"/>
      <c r="C3" s="2185" t="s">
        <v>2170</v>
      </c>
      <c r="D3" s="2184">
        <v>45924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2172</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2173</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2174</v>
      </c>
      <c r="B7" s="2197"/>
      <c r="C7" s="2195"/>
      <c r="D7" s="2196"/>
      <c r="E7" s="2439"/>
      <c r="F7" s="2440"/>
      <c r="G7" s="2440"/>
      <c r="H7" s="2440"/>
      <c r="I7" s="2440"/>
      <c r="J7" s="2243"/>
      <c r="K7" s="2400"/>
      <c r="L7" s="2397"/>
      <c r="M7" s="2397"/>
      <c r="N7" s="2243"/>
      <c r="O7" s="1670"/>
      <c r="P7" s="2243"/>
      <c r="Q7" s="2243"/>
      <c r="R7" s="2243"/>
    </row>
    <row r="8" spans="1:30" ht="13">
      <c r="A8" s="2198" t="s">
        <v>2175</v>
      </c>
      <c r="B8" s="2199" t="s">
        <v>3416</v>
      </c>
      <c r="C8" s="2200"/>
      <c r="D8" s="3240" t="s">
        <v>2176</v>
      </c>
      <c r="E8" s="2201" t="s">
        <v>3417</v>
      </c>
      <c r="F8" s="2202"/>
      <c r="G8" s="2440"/>
      <c r="H8" s="2440"/>
      <c r="I8" s="2440"/>
      <c r="J8" s="2243"/>
      <c r="K8" s="2398"/>
      <c r="L8" s="2397"/>
      <c r="M8" s="2397"/>
      <c r="N8" s="2243"/>
      <c r="O8" s="1670"/>
      <c r="P8" s="2243"/>
      <c r="Q8" s="2243"/>
      <c r="R8" s="2243"/>
    </row>
    <row r="9" spans="1:30" ht="13.5" thickBot="1">
      <c r="A9" s="2203" t="s">
        <v>2177</v>
      </c>
      <c r="B9" s="2204" t="s">
        <v>3417</v>
      </c>
      <c r="C9" s="2205"/>
      <c r="D9" s="3241"/>
      <c r="E9" s="2204"/>
      <c r="F9" s="2206"/>
      <c r="G9" s="2441"/>
      <c r="H9" s="2441"/>
      <c r="I9" s="2441"/>
      <c r="J9" s="2243"/>
      <c r="K9" s="2400"/>
      <c r="L9" s="2397"/>
      <c r="M9" s="2397"/>
      <c r="N9" s="2243"/>
      <c r="O9" s="1670"/>
      <c r="P9" s="2243"/>
      <c r="Q9" s="2243"/>
      <c r="R9" s="2243"/>
    </row>
    <row r="10" spans="1:30" ht="13.5" thickTop="1">
      <c r="A10" s="2207" t="s">
        <v>2178</v>
      </c>
      <c r="B10" s="2208" t="s">
        <v>3418</v>
      </c>
      <c r="C10" s="2209"/>
      <c r="D10" s="2192"/>
      <c r="E10" s="2210" t="s">
        <v>2179</v>
      </c>
      <c r="F10" s="3168" t="s">
        <v>3421</v>
      </c>
      <c r="G10" s="2442"/>
      <c r="H10" s="2443"/>
      <c r="I10" s="2444"/>
      <c r="J10" s="2243"/>
      <c r="K10" s="2400"/>
      <c r="L10" s="2397"/>
      <c r="M10" s="2397"/>
      <c r="N10" s="2243"/>
      <c r="O10" s="1670"/>
      <c r="P10" s="2243"/>
      <c r="Q10" s="2243"/>
      <c r="R10" s="2243"/>
    </row>
    <row r="11" spans="1:30" ht="39">
      <c r="A11" s="2211" t="s">
        <v>2180</v>
      </c>
      <c r="B11" s="2212" t="s">
        <v>3419</v>
      </c>
      <c r="C11" s="3167" t="s">
        <v>3420</v>
      </c>
      <c r="D11" s="2213"/>
      <c r="E11" s="2181"/>
      <c r="F11" s="2181"/>
      <c r="G11" s="2181"/>
      <c r="H11" s="2181"/>
      <c r="I11" s="2181"/>
      <c r="J11" s="2799"/>
      <c r="K11" s="2397"/>
      <c r="L11" s="2397"/>
      <c r="M11" s="2397"/>
      <c r="N11" s="2243"/>
      <c r="O11" s="1670"/>
      <c r="P11" s="2243"/>
      <c r="Q11" s="2243"/>
      <c r="R11" s="2243"/>
    </row>
    <row r="12" spans="1:30" ht="13">
      <c r="A12" s="2214" t="s">
        <v>2181</v>
      </c>
      <c r="B12" s="315" t="s">
        <v>2182</v>
      </c>
      <c r="C12" s="2215" t="s">
        <v>2183</v>
      </c>
      <c r="D12" s="2215" t="s">
        <v>2184</v>
      </c>
      <c r="E12" s="2215" t="s">
        <v>2185</v>
      </c>
      <c r="F12" s="2215" t="s">
        <v>2186</v>
      </c>
      <c r="G12" s="2215" t="s">
        <v>2187</v>
      </c>
      <c r="H12" s="2215" t="s">
        <v>2188</v>
      </c>
      <c r="I12" s="2798" t="s">
        <v>2575</v>
      </c>
      <c r="J12" s="2800"/>
      <c r="K12" s="2397"/>
      <c r="L12" s="2397"/>
      <c r="M12" s="2243"/>
      <c r="N12" s="1670"/>
      <c r="O12" s="2243"/>
      <c r="P12" s="2243"/>
      <c r="Q12" s="2243"/>
      <c r="AD12" s="1618"/>
    </row>
    <row r="13" spans="1:30" ht="13">
      <c r="A13" s="3119" t="s">
        <v>3329</v>
      </c>
      <c r="B13" s="2216" t="s">
        <v>2189</v>
      </c>
      <c r="C13" s="803"/>
      <c r="D13" s="803"/>
      <c r="E13" s="803">
        <f>面积表!D5</f>
        <v>56324</v>
      </c>
      <c r="F13" s="803"/>
      <c r="G13" s="803"/>
      <c r="H13" s="803"/>
      <c r="I13" s="803"/>
      <c r="J13" s="2800"/>
      <c r="K13" s="2397"/>
      <c r="L13" s="2397"/>
      <c r="M13" s="2243"/>
      <c r="N13" s="1670"/>
      <c r="O13" s="2243"/>
      <c r="P13" s="2243"/>
      <c r="Q13" s="2243"/>
      <c r="AD13" s="1618"/>
    </row>
    <row r="14" spans="1:30" ht="13">
      <c r="A14" s="1018"/>
      <c r="B14" s="2216" t="s">
        <v>2190</v>
      </c>
      <c r="C14" s="2217"/>
      <c r="D14" s="2217"/>
      <c r="E14" s="2217"/>
      <c r="F14" s="2217"/>
      <c r="G14" s="2217"/>
      <c r="H14" s="2217"/>
      <c r="I14" s="2217"/>
      <c r="J14" s="2801"/>
      <c r="K14" s="2397"/>
      <c r="L14" s="2397"/>
      <c r="M14" s="2243"/>
      <c r="N14" s="1670"/>
      <c r="O14" s="2243"/>
      <c r="P14" s="2243"/>
      <c r="Q14" s="2243"/>
      <c r="AD14" s="1618"/>
    </row>
    <row r="15" spans="1:30" ht="13">
      <c r="A15" s="312"/>
      <c r="B15" s="2218" t="s">
        <v>2191</v>
      </c>
      <c r="C15" s="2219" t="str">
        <f>IF(A13="出让",IF(C13="","",ROUNDDOWN(MIN((C13-$D$3)/365,C14),2)),C14)</f>
        <v/>
      </c>
      <c r="D15" s="2219" t="str">
        <f>IF(A13="出让",IF(D13="","",ROUNDDOWN(MIN((D13-$D$3)/365,D14),2)),D14)</f>
        <v/>
      </c>
      <c r="E15" s="2219">
        <f>IF(A13="出让",IF(E13="","",ROUNDDOWN(MIN((E13-$D$3)/365,E14),2)),E14)</f>
        <v>28.49</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0" t="s">
        <v>2192</v>
      </c>
      <c r="B16" s="3247"/>
      <c r="C16" s="3248"/>
      <c r="D16" s="3249"/>
      <c r="E16" s="2220" t="s">
        <v>2193</v>
      </c>
      <c r="F16" s="3250"/>
      <c r="G16" s="3251"/>
      <c r="H16" s="3251"/>
      <c r="I16" s="3252"/>
      <c r="J16" s="2243"/>
      <c r="K16" s="2401"/>
      <c r="L16" s="1670"/>
      <c r="M16" s="1670"/>
      <c r="N16" s="2243"/>
      <c r="O16" s="1670"/>
      <c r="P16" s="2243"/>
      <c r="Q16" s="2243"/>
      <c r="R16" s="2243"/>
    </row>
    <row r="17" spans="1:28" ht="13">
      <c r="A17" s="305" t="s">
        <v>2194</v>
      </c>
      <c r="B17" s="294" t="s">
        <v>2195</v>
      </c>
      <c r="C17" s="8">
        <f>'数据-汇总表'!E3</f>
        <v>2256.4</v>
      </c>
      <c r="D17" s="1256" t="s">
        <v>2196</v>
      </c>
      <c r="E17" s="3253" t="s">
        <v>2197</v>
      </c>
      <c r="F17" s="3254"/>
      <c r="G17" s="3254"/>
      <c r="H17" s="3254"/>
      <c r="I17" s="3255"/>
      <c r="J17" s="2243"/>
      <c r="K17" s="2402"/>
      <c r="L17" s="1670"/>
      <c r="M17" s="1670"/>
      <c r="N17" s="2243"/>
      <c r="O17" s="1670"/>
      <c r="P17" s="2243"/>
      <c r="Q17" s="2243"/>
      <c r="R17" s="2243"/>
      <c r="S17" s="2243"/>
      <c r="T17" s="2243"/>
      <c r="U17" s="2243"/>
      <c r="V17" s="2243"/>
    </row>
    <row r="18" spans="1:28" ht="26.5" thickBot="1">
      <c r="A18" s="2221" t="s">
        <v>2198</v>
      </c>
      <c r="B18" s="1027" t="s">
        <v>2199</v>
      </c>
      <c r="C18" s="2222">
        <f>'数据-汇总表'!D3</f>
        <v>5851.68</v>
      </c>
      <c r="D18" s="1029" t="s">
        <v>2200</v>
      </c>
      <c r="E18" s="3256" t="s">
        <v>2201</v>
      </c>
      <c r="F18" s="3257"/>
      <c r="G18" s="3257"/>
      <c r="H18" s="3257"/>
      <c r="I18" s="3258"/>
      <c r="J18" s="2243"/>
      <c r="K18" s="2402"/>
      <c r="L18" s="1670"/>
      <c r="M18" s="1670"/>
      <c r="N18" s="2243"/>
      <c r="O18" s="1670"/>
      <c r="P18" s="2243"/>
      <c r="Q18" s="2243"/>
      <c r="R18" s="2243"/>
      <c r="S18" s="2243"/>
      <c r="T18" s="2243"/>
      <c r="U18" s="2243"/>
      <c r="V18" s="2243"/>
    </row>
    <row r="19" spans="1:28" ht="40" thickTop="1" thickBot="1">
      <c r="A19" s="319" t="s">
        <v>1054</v>
      </c>
      <c r="B19" s="299" t="s">
        <v>2202</v>
      </c>
      <c r="C19" s="1455"/>
      <c r="D19" s="1456" t="s">
        <v>2203</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2204</v>
      </c>
      <c r="B20" s="3243" t="s">
        <v>2205</v>
      </c>
      <c r="C20" s="3244"/>
      <c r="D20" s="3245" t="s">
        <v>2206</v>
      </c>
      <c r="E20" s="3246"/>
      <c r="F20" s="2428" t="s">
        <v>1055</v>
      </c>
      <c r="G20" s="2440"/>
      <c r="H20" s="2440"/>
      <c r="I20" s="2440"/>
      <c r="J20" s="2243"/>
      <c r="K20" s="324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2208</v>
      </c>
      <c r="C21" s="2294" t="s">
        <v>1056</v>
      </c>
      <c r="D21" s="1460" t="s">
        <v>2209</v>
      </c>
      <c r="E21" s="2417" t="s">
        <v>1056</v>
      </c>
      <c r="F21" s="2429"/>
      <c r="G21" s="2440"/>
      <c r="H21" s="2440"/>
      <c r="I21" s="2440"/>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2210</v>
      </c>
      <c r="C22" s="2294" t="s">
        <v>1057</v>
      </c>
      <c r="D22" s="2440"/>
      <c r="E22" s="2440"/>
      <c r="F22" s="2440"/>
      <c r="G22" s="2440"/>
      <c r="H22" s="2440"/>
      <c r="I22" s="2440"/>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1058</v>
      </c>
      <c r="C24" s="2269"/>
      <c r="D24" s="2419" t="s">
        <v>1058</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1059</v>
      </c>
      <c r="C25" s="2269"/>
      <c r="D25" s="2419" t="s">
        <v>1059</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1060</v>
      </c>
      <c r="C26" s="2426"/>
      <c r="D26" s="2424" t="s">
        <v>1060</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1" t="s">
        <v>2213</v>
      </c>
      <c r="B27" s="312" t="s">
        <v>2214</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31"/>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31"/>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32"/>
      <c r="B30" s="294" t="s">
        <v>2217</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2218</v>
      </c>
      <c r="B31" s="2229" t="s">
        <v>3453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2219</v>
      </c>
      <c r="B34" s="1870"/>
      <c r="C34" s="1870"/>
      <c r="D34" s="1870"/>
      <c r="E34" s="1870"/>
      <c r="F34" s="1870"/>
      <c r="G34" s="1870"/>
      <c r="H34" s="1870"/>
      <c r="I34" s="2440"/>
      <c r="J34" s="2243"/>
      <c r="K34" s="8">
        <f>COUNTIF(B34:H34,"——")</f>
        <v>0</v>
      </c>
      <c r="L34" s="315" t="s">
        <v>2220</v>
      </c>
      <c r="M34" s="315" t="s">
        <v>2221</v>
      </c>
      <c r="N34" s="315" t="s">
        <v>2222</v>
      </c>
      <c r="O34" s="315" t="s">
        <v>2223</v>
      </c>
      <c r="P34" s="315" t="s">
        <v>2224</v>
      </c>
      <c r="Q34" s="315" t="s">
        <v>2225</v>
      </c>
      <c r="R34" s="315" t="s">
        <v>2226</v>
      </c>
      <c r="S34" s="3230" t="s">
        <v>2227</v>
      </c>
      <c r="T34" s="315" t="str">
        <f>NUMBERSTRING(7-K34,1)&amp;"通"</f>
        <v>七通</v>
      </c>
      <c r="U34" s="2243"/>
      <c r="V34" s="2243"/>
    </row>
    <row r="35" spans="1:30">
      <c r="A35" s="2234"/>
      <c r="B35" s="3230" t="s">
        <v>2228</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ht="13">
      <c r="A36" s="2182"/>
      <c r="B36" s="8" t="s">
        <v>2184</v>
      </c>
      <c r="C36" s="8" t="s">
        <v>2185</v>
      </c>
      <c r="D36" s="8" t="s">
        <v>2183</v>
      </c>
      <c r="E36" s="8" t="s">
        <v>2188</v>
      </c>
      <c r="F36" s="2798" t="s">
        <v>2578</v>
      </c>
      <c r="G36" s="2440"/>
      <c r="H36" s="2440"/>
      <c r="I36" s="2440"/>
      <c r="J36" s="2243"/>
      <c r="K36" s="2400"/>
      <c r="L36" s="2397"/>
      <c r="M36" s="2397"/>
      <c r="N36" s="2243"/>
      <c r="O36" s="1670"/>
      <c r="P36" s="2243"/>
      <c r="Q36" s="2243"/>
      <c r="R36" s="2243"/>
      <c r="S36" s="2243"/>
      <c r="T36" s="2243"/>
      <c r="U36" s="2243"/>
      <c r="V36" s="2243"/>
    </row>
    <row r="37" spans="1:30" ht="13">
      <c r="A37" s="2413" t="s">
        <v>2229</v>
      </c>
      <c r="B37" s="2235"/>
      <c r="C37" s="2235" t="s">
        <v>305</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2230</v>
      </c>
      <c r="B38" s="2236"/>
      <c r="C38" s="2236" t="s">
        <v>3460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2232</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f>面积表!E5</f>
        <v>5851.68</v>
      </c>
      <c r="B3" s="11">
        <f>IF(C3="否",G5-AT5,G5)</f>
        <v>2256.4</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1070</v>
      </c>
      <c r="B5" s="1259"/>
      <c r="C5" s="1259"/>
      <c r="D5" s="1260"/>
      <c r="E5" s="13" t="s">
        <v>0</v>
      </c>
      <c r="F5" s="13">
        <f>SUM(F13:F587)</f>
        <v>0</v>
      </c>
      <c r="G5" s="13">
        <f>SUM(G13:G587)</f>
        <v>2256.4</v>
      </c>
      <c r="H5" s="13">
        <f t="shared" ref="H5:AT5" si="0">SUM(H13:H656)</f>
        <v>2256.4</v>
      </c>
      <c r="I5" s="13">
        <f t="shared" si="0"/>
        <v>2256.4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2256.4</v>
      </c>
      <c r="BA5" s="15">
        <f t="shared" si="1"/>
        <v>2256.4</v>
      </c>
      <c r="BB5" s="15">
        <f t="shared" si="1"/>
        <v>2256.4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1071</v>
      </c>
      <c r="B6" s="1474"/>
      <c r="C6" s="1474"/>
      <c r="D6" s="1475"/>
      <c r="E6" s="13">
        <f>H6+AC6+AT6</f>
        <v>5851.68</v>
      </c>
      <c r="F6" s="13" t="s">
        <v>0</v>
      </c>
      <c r="G6" s="13" t="s">
        <v>1</v>
      </c>
      <c r="H6" s="17">
        <f>SUMIF(I$12:AB$12,"总值",I6:AB6)</f>
        <v>5851.68</v>
      </c>
      <c r="I6" s="13">
        <f t="shared" ref="I6:AB6" si="2">ROUND($A$3*I5/$B$3,2)</f>
        <v>5851.68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5851.68</v>
      </c>
      <c r="AZ6" s="13" t="s">
        <v>2</v>
      </c>
      <c r="BA6" s="13">
        <f>ROUND($AY$6*BA5/$AZ$5,2)</f>
        <v>5851.68</v>
      </c>
      <c r="BB6" s="13">
        <f>ROUND($AY$6*BB5/$AZ$5,2)</f>
        <v>5851.68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1090</v>
      </c>
      <c r="I9" s="1491" t="s">
        <v>3455</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3187" t="s">
        <v>3485</v>
      </c>
      <c r="D13" s="1513" t="s">
        <v>3454</v>
      </c>
      <c r="E13" s="13">
        <f>IF($C$3="是",ROUND($A$3*G13/$B$3,2),ROUND($A$3*(G13-AT13)/$B$3,2))</f>
        <v>5851.68</v>
      </c>
      <c r="F13" s="29"/>
      <c r="G13" s="30">
        <f>H13+AC13+AT13</f>
        <v>2256.4</v>
      </c>
      <c r="H13" s="17">
        <f>SUMIF(I$12:AB$12,"总值",I13:AB13)</f>
        <v>2256.4</v>
      </c>
      <c r="I13" s="1514">
        <f>面积表!F11</f>
        <v>2256.4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甲52号</v>
      </c>
      <c r="AY13" s="1260">
        <f>ROUND($AY$6*AZ13/$AZ$5,2)</f>
        <v>5851.68</v>
      </c>
      <c r="AZ13" s="13">
        <f>BA13+BL13</f>
        <v>2256.4</v>
      </c>
      <c r="BA13" s="13">
        <f>SUM(BB13:BK13)</f>
        <v>2256.4</v>
      </c>
      <c r="BB13" s="13">
        <f>IF($D13="是",I13-J13,0)</f>
        <v>2256.4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1129</v>
      </c>
      <c r="B1" s="1071"/>
      <c r="C1" s="1071"/>
      <c r="D1" s="1071"/>
      <c r="E1" s="1071"/>
      <c r="F1" s="1071"/>
      <c r="G1" s="1071"/>
      <c r="H1" s="1071"/>
      <c r="I1" s="1071"/>
      <c r="J1" s="1071"/>
      <c r="K1" s="1071"/>
      <c r="L1" s="1071"/>
      <c r="M1" s="1071"/>
      <c r="N1" s="1071"/>
      <c r="O1" s="1071"/>
      <c r="P1" s="1071"/>
    </row>
    <row r="2" spans="1:16">
      <c r="A2" s="3268" t="s">
        <v>1130</v>
      </c>
      <c r="B2" s="3268"/>
      <c r="C2" s="3268"/>
      <c r="D2" s="748" t="s">
        <v>1106</v>
      </c>
      <c r="E2" s="1523" t="s">
        <v>1107</v>
      </c>
      <c r="F2" s="2437"/>
      <c r="G2" s="2430"/>
      <c r="H2" s="2431"/>
      <c r="I2" s="2145" t="s">
        <v>1131</v>
      </c>
      <c r="J2" s="2437"/>
      <c r="K2" s="2437"/>
      <c r="L2" s="2437"/>
      <c r="M2" s="2437"/>
      <c r="N2" s="2438"/>
      <c r="O2" s="2437"/>
      <c r="P2" s="2437"/>
    </row>
    <row r="3" spans="1:16" ht="14.5" thickBot="1">
      <c r="A3" s="3269" t="s">
        <v>1104</v>
      </c>
      <c r="B3" s="3269"/>
      <c r="C3" s="3269"/>
      <c r="D3" s="41">
        <f>'数据-基础表'!AY6</f>
        <v>5851.68</v>
      </c>
      <c r="E3" s="41">
        <f>'数据-基础表'!AZ5</f>
        <v>2256.4</v>
      </c>
      <c r="F3" s="2437"/>
      <c r="G3" s="42"/>
      <c r="H3" s="43" t="s">
        <v>1105</v>
      </c>
      <c r="I3" s="802">
        <f>ROUND('数据-基础表'!B3/'数据-基础表'!A3,2)</f>
        <v>0.39</v>
      </c>
      <c r="J3" s="2437"/>
      <c r="K3" s="2437"/>
      <c r="L3" s="2437"/>
      <c r="M3" s="2437"/>
      <c r="N3" s="2438"/>
      <c r="O3" s="2437"/>
      <c r="P3" s="2437"/>
    </row>
    <row r="4" spans="1:16">
      <c r="A4" s="3270"/>
      <c r="B4" s="3271"/>
      <c r="C4" s="3272"/>
      <c r="D4" s="1524" t="s">
        <v>1106</v>
      </c>
      <c r="E4" s="1525" t="s">
        <v>1107</v>
      </c>
      <c r="F4" s="2437"/>
      <c r="G4" s="2432" t="s">
        <v>1132</v>
      </c>
      <c r="H4" s="43" t="s">
        <v>1112</v>
      </c>
      <c r="I4" s="802">
        <f>ROUND(SUMIF('数据-基础表'!I9:AS9,"地上",'数据-基础表'!I5:AS5)/'数据-基础表'!A3,2)</f>
        <v>0.39</v>
      </c>
      <c r="J4" s="2437"/>
      <c r="K4" s="2437"/>
      <c r="L4" s="2437"/>
      <c r="M4" s="2437"/>
      <c r="N4" s="2438"/>
      <c r="O4" s="2437"/>
      <c r="P4" s="2437"/>
    </row>
    <row r="5" spans="1:16">
      <c r="A5" s="42" t="s">
        <v>1108</v>
      </c>
      <c r="B5" s="3273" t="s">
        <v>1109</v>
      </c>
      <c r="C5" s="3273"/>
      <c r="D5" s="43">
        <f>ROUND($D$3*E5/$E$3,2)</f>
        <v>0</v>
      </c>
      <c r="E5" s="44">
        <f>SUMIF('数据-基础表'!$11:$11,"住宅",'数据-基础表'!$5:$5)</f>
        <v>0</v>
      </c>
      <c r="F5" s="2437"/>
      <c r="G5" s="42"/>
      <c r="H5" s="43" t="s">
        <v>1105</v>
      </c>
      <c r="I5" s="802">
        <f>ROUND(E31/D31,2)</f>
        <v>0.39</v>
      </c>
      <c r="J5" s="2437"/>
      <c r="K5" s="2437"/>
      <c r="L5" s="2437"/>
      <c r="M5" s="2437"/>
      <c r="N5" s="2437"/>
      <c r="O5" s="2437"/>
      <c r="P5" s="2437"/>
    </row>
    <row r="6" spans="1:16" ht="14.5" thickBot="1">
      <c r="A6" s="1527"/>
      <c r="B6" s="3273" t="s">
        <v>1110</v>
      </c>
      <c r="C6" s="3273"/>
      <c r="D6" s="43">
        <f>ROUND($D$3*E6/$E$3,2)</f>
        <v>5851.68</v>
      </c>
      <c r="E6" s="44">
        <f>E3-E5</f>
        <v>2256.4</v>
      </c>
      <c r="F6" s="2437"/>
      <c r="G6" s="1529" t="s">
        <v>1111</v>
      </c>
      <c r="H6" s="45" t="s">
        <v>1112</v>
      </c>
      <c r="I6" s="2433">
        <f>ROUND(F31/D31,2)</f>
        <v>0.39</v>
      </c>
      <c r="J6" s="2437"/>
      <c r="K6" s="2437"/>
      <c r="L6" s="2437"/>
      <c r="M6" s="2437"/>
      <c r="N6" s="2437"/>
      <c r="O6" s="2437"/>
      <c r="P6" s="2437"/>
    </row>
    <row r="7" spans="1:16" ht="14.5" thickBot="1">
      <c r="A7" s="3265"/>
      <c r="B7" s="3266"/>
      <c r="C7" s="3267"/>
      <c r="D7" s="1524" t="s">
        <v>1106</v>
      </c>
      <c r="E7" s="1528" t="s">
        <v>1113</v>
      </c>
      <c r="F7" s="2437"/>
      <c r="G7" s="2434" t="s">
        <v>1114</v>
      </c>
      <c r="H7" s="95"/>
      <c r="I7" s="2435">
        <v>1</v>
      </c>
      <c r="J7" s="2437"/>
      <c r="K7" s="2437"/>
      <c r="L7" s="2437"/>
      <c r="M7" s="2437"/>
      <c r="N7" s="2437"/>
      <c r="O7" s="2437"/>
      <c r="P7" s="2437"/>
    </row>
    <row r="8" spans="1:16">
      <c r="A8" s="42" t="s">
        <v>1115</v>
      </c>
      <c r="B8" s="45" t="s">
        <v>1116</v>
      </c>
      <c r="C8" s="43" t="s">
        <v>1117</v>
      </c>
      <c r="D8" s="43">
        <f t="shared" ref="D8:D15" si="0">ROUND($D$3*E8/$E$3,2)</f>
        <v>5851.68</v>
      </c>
      <c r="E8" s="46">
        <f>SUMIF('数据-基础表'!BB10:BK10,"地上",'数据-基础表'!BB5:BK5)</f>
        <v>2256.4</v>
      </c>
      <c r="F8" s="2437"/>
      <c r="G8" s="2437"/>
      <c r="H8" s="2437"/>
      <c r="I8" s="2437"/>
      <c r="J8" s="2437"/>
      <c r="K8" s="2437"/>
      <c r="L8" s="2437"/>
      <c r="M8" s="2437"/>
      <c r="N8" s="2437"/>
      <c r="O8" s="2437"/>
      <c r="P8" s="2437"/>
    </row>
    <row r="9" spans="1:16">
      <c r="A9" s="1529"/>
      <c r="B9" s="1530"/>
      <c r="C9" s="43" t="s">
        <v>1118</v>
      </c>
      <c r="D9" s="43">
        <f t="shared" si="0"/>
        <v>0</v>
      </c>
      <c r="E9" s="47">
        <v>0</v>
      </c>
      <c r="F9" s="2437"/>
      <c r="G9" s="2437"/>
      <c r="H9" s="2437"/>
      <c r="I9" s="2437"/>
      <c r="J9" s="2437"/>
      <c r="K9" s="2437"/>
      <c r="L9" s="2437"/>
      <c r="M9" s="2437"/>
      <c r="N9" s="2437"/>
      <c r="O9" s="2437"/>
      <c r="P9" s="2437"/>
    </row>
    <row r="10" spans="1:16">
      <c r="A10" s="1529"/>
      <c r="B10" s="1530"/>
      <c r="C10" s="43" t="s">
        <v>1127</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1119</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1120</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1121</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1133</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1128</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1122</v>
      </c>
      <c r="D16" s="45">
        <f>SUM(D8:D15)</f>
        <v>5851.68</v>
      </c>
      <c r="E16" s="48">
        <f>SUM(E8:E15)</f>
        <v>2256.4</v>
      </c>
      <c r="F16" s="2437"/>
      <c r="G16" s="2437"/>
      <c r="H16" s="1531" t="s">
        <v>1134</v>
      </c>
      <c r="I16" s="1532"/>
      <c r="J16" s="1071"/>
      <c r="K16" s="3262" t="s">
        <v>1134</v>
      </c>
      <c r="L16" s="3263"/>
      <c r="M16" s="3263"/>
      <c r="N16" s="3263"/>
      <c r="O16" s="3263"/>
      <c r="P16" s="3264"/>
    </row>
    <row r="17" spans="1:19">
      <c r="A17" s="1533" t="s">
        <v>1135</v>
      </c>
      <c r="B17" s="1534" t="s">
        <v>1136</v>
      </c>
      <c r="C17" s="1535" t="s">
        <v>1137</v>
      </c>
      <c r="D17" s="1536" t="s">
        <v>1125</v>
      </c>
      <c r="E17" s="1537" t="s">
        <v>1126</v>
      </c>
      <c r="F17" s="1538"/>
      <c r="G17" s="1539"/>
      <c r="H17" s="1540" t="s">
        <v>1138</v>
      </c>
      <c r="I17" s="1541" t="s">
        <v>1123</v>
      </c>
      <c r="J17" s="1071"/>
      <c r="K17" s="3259" t="s">
        <v>1139</v>
      </c>
      <c r="L17" s="3260"/>
      <c r="M17" s="3261"/>
      <c r="N17" s="3259" t="s">
        <v>1140</v>
      </c>
      <c r="O17" s="3260"/>
      <c r="P17" s="3261"/>
      <c r="R17" s="769" t="s">
        <v>1141</v>
      </c>
      <c r="S17" s="54"/>
    </row>
    <row r="18" spans="1:19">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3" t="s">
        <v>3487</v>
      </c>
      <c r="D19" s="43">
        <f>ROUND($D$3*E19/$E$3,2)</f>
        <v>5851.68</v>
      </c>
      <c r="E19" s="51">
        <f t="shared" ref="E19:E26" si="1">SUM(F19:G19)</f>
        <v>2256.4</v>
      </c>
      <c r="F19" s="2555">
        <f>'数据-基础表'!B3</f>
        <v>2256.4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5851.68</v>
      </c>
      <c r="S19" s="51">
        <f t="shared" si="5"/>
        <v>2256.4</v>
      </c>
    </row>
    <row r="20" spans="1:19">
      <c r="A20" s="1549"/>
      <c r="B20" s="45" t="s">
        <v>1152</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1153</v>
      </c>
      <c r="D27" s="1072">
        <f>SUM(D19:D26)</f>
        <v>5851.68</v>
      </c>
      <c r="E27" s="1073">
        <f>IF(SUM(E19:E26)='数据-基础表'!BA5,SUM(E19:E26),IF(F27="地上面积有误","面积有误","地下面积有误"))</f>
        <v>2256.4</v>
      </c>
      <c r="F27" s="1072">
        <f>IF(SUM(F19:F26)=E8,SUM(F19:F26),"地上面积有误")</f>
        <v>2256.4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5851.68</v>
      </c>
      <c r="S27" s="43">
        <f>IF(SUM(S19:S26)=$E$3,SUM(S19:S26),SUM(S19:S26)&amp;"误差"&amp;ROUND(SUM(S19:S26)-E3,2))</f>
        <v>2256.4</v>
      </c>
    </row>
    <row r="28" spans="1:19">
      <c r="A28" s="1549"/>
      <c r="B28" s="45" t="s">
        <v>1154</v>
      </c>
      <c r="C28" s="54" t="s">
        <v>1155</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1154</v>
      </c>
      <c r="C29" s="1555" t="s">
        <v>1156</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1153</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1157</v>
      </c>
      <c r="D31" s="643">
        <f>D27+D30</f>
        <v>5851.68</v>
      </c>
      <c r="E31" s="643">
        <f>E27+E30</f>
        <v>2256.4</v>
      </c>
      <c r="F31" s="644">
        <f>F27+F30</f>
        <v>2256.4</v>
      </c>
      <c r="G31" s="645">
        <f>G27+G30</f>
        <v>0</v>
      </c>
      <c r="H31" s="2437"/>
      <c r="I31" s="2437"/>
      <c r="J31" s="2437"/>
      <c r="K31" s="2437"/>
      <c r="L31" s="2437"/>
      <c r="M31" s="2437"/>
      <c r="N31" s="2437"/>
      <c r="O31" s="2437"/>
      <c r="P31" s="2437"/>
    </row>
    <row r="32" spans="1:19">
      <c r="A32" s="1526"/>
      <c r="B32" s="1526" t="s">
        <v>1158</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T22" sqref="T2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1160</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6"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3459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综合</v>
      </c>
      <c r="B6" s="1587" t="str">
        <f>IF(A6=0,"","经营性")</f>
        <v>经营性</v>
      </c>
      <c r="C6" s="1588" t="s">
        <v>21</v>
      </c>
      <c r="D6" s="805">
        <f>SUMIF(项目基本情况!C$12:I$12,C6,项目基本情况!C$14:I$14)</f>
        <v>0</v>
      </c>
      <c r="E6" s="804">
        <f>IF(B6="","",SUMIF(项目基本情况!C$12:I$12,C6,项目基本情况!C$13:I$13))</f>
        <v>56324</v>
      </c>
      <c r="F6" s="61">
        <f>SUMIF(项目基本情况!C$12:I$12,C6,项目基本情况!C$15:I$15)</f>
        <v>28.49</v>
      </c>
      <c r="G6" s="62">
        <f>IF(ISERROR(ROUND(POWER(1+H6,D6-F6)*(POWER(1+H6,F6)-1)/(POWER(1+H6,D6)-1),3)),0,ROUND(POWER(1+H6,D6-F6)*(POWER(1+H6,F6)-1)/(POWER(1+H6,D6)-1),3))</f>
        <v>0</v>
      </c>
      <c r="H6" s="691">
        <v>0.05</v>
      </c>
      <c r="I6" s="691">
        <v>5.5E-2</v>
      </c>
      <c r="J6" s="63">
        <v>7.0000000000000007E-2</v>
      </c>
      <c r="K6" s="970">
        <f>SUMIF('数据-汇总表'!C$19:C$33,A6,'数据-汇总表'!E$19:E$33)</f>
        <v>2256.4</v>
      </c>
      <c r="L6" s="692">
        <v>3000</v>
      </c>
      <c r="M6" s="64">
        <f t="shared" ref="M6:M14" si="0">ROUND(K6*L6/10000,0)</f>
        <v>677</v>
      </c>
      <c r="N6" s="690">
        <f>N23</f>
        <v>0.78</v>
      </c>
      <c r="O6" s="64" t="str">
        <f>IF($N$5="成新度","——",ROUND(M6*N6,0))</f>
        <v>——</v>
      </c>
      <c r="P6" s="65" t="str">
        <f>IF($N$5="成新度","——",M6-O6)</f>
        <v>——</v>
      </c>
      <c r="Q6" s="693">
        <v>0.08</v>
      </c>
      <c r="R6" s="66">
        <f ca="1">SUMIF('数据-汇总表'!C$19:C$33,A6,'数据-汇总表'!R$19:R$27)</f>
        <v>5851.68</v>
      </c>
      <c r="S6" s="49">
        <f>IF('数据-汇总表'!$I$17="按面积比例",SUMIF('数据-汇总表'!C$19:C$33,A6,'数据-汇总表'!K$19:K$33),SUMIF('数据-汇总表'!C$19:C$33,A6,'数据-汇总表'!N$19:N$33))</f>
        <v>0</v>
      </c>
      <c r="T6" s="1092">
        <f>ROUND($L$14*S6/10000,0)</f>
        <v>0</v>
      </c>
      <c r="U6" s="3124">
        <v>1.6</v>
      </c>
      <c r="V6" s="67">
        <v>0.02</v>
      </c>
      <c r="W6" s="67">
        <v>0.1</v>
      </c>
      <c r="X6" s="979"/>
      <c r="Y6" s="68">
        <f>N6</f>
        <v>0.78</v>
      </c>
      <c r="Z6" s="69"/>
      <c r="AA6" s="63"/>
      <c r="AB6" s="63"/>
      <c r="AC6" s="979"/>
      <c r="AD6" s="70"/>
      <c r="AE6" s="980">
        <f ca="1">IF(AN6="",0,SUMIF(INDIRECT("'"&amp;AN6&amp;"'"&amp;"!E:E"),$AE$5,INDIRECT("'"&amp;AN6&amp;"'"&amp;"!F:F")))</f>
        <v>28.49</v>
      </c>
      <c r="AF6" s="74"/>
      <c r="AG6" s="130">
        <f>IF(AF6="",0,AE6-AF6)</f>
        <v>0</v>
      </c>
      <c r="AH6" s="71"/>
      <c r="AI6" s="73">
        <v>365</v>
      </c>
      <c r="AJ6" s="74"/>
      <c r="AK6" s="75">
        <v>5.0000000000000001E-3</v>
      </c>
      <c r="AL6" s="76">
        <v>1E-3</v>
      </c>
      <c r="AM6" s="77">
        <v>0.01</v>
      </c>
      <c r="AN6" s="1589" t="s">
        <v>3488</v>
      </c>
      <c r="AO6" s="50">
        <f ca="1">SUMIF(INDIRECT("'"&amp;AN6&amp;"'"&amp;"!A:A"),"总价",INDIRECT("'"&amp;AN6&amp;"'"&amp;"!B:B"))</f>
        <v>1670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3183"/>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1208</v>
      </c>
      <c r="B16" s="82"/>
      <c r="C16" s="783"/>
      <c r="D16" s="1594"/>
      <c r="E16" s="82"/>
      <c r="F16" s="82"/>
      <c r="G16" s="83" t="e">
        <f>ROUND(SUMPRODUCT(G6:G13,K6:K13)/SUMPRODUCT((G6:G13&gt;0)*(K6:K13)),3)</f>
        <v>#DIV/0!</v>
      </c>
      <c r="H16" s="84">
        <f>ROUND(SUMPRODUCT(H6:H13,K6:K13)/SUMPRODUCT((H6:H13&gt;0)*(K6:K13)),3)</f>
        <v>0.05</v>
      </c>
      <c r="I16" s="85"/>
      <c r="J16" s="85"/>
      <c r="K16" s="86">
        <f>SUM(K6:K15)</f>
        <v>2256.4</v>
      </c>
      <c r="L16" s="87">
        <f>ROUND(M16*10000/SUM(K6:K14),0)</f>
        <v>3000</v>
      </c>
      <c r="M16" s="87">
        <f>SUM(M6:M14)</f>
        <v>677</v>
      </c>
      <c r="N16" s="88">
        <f>ROUND(SUMPRODUCT(M6:M14,N6:N14)/M16,3)</f>
        <v>0.78</v>
      </c>
      <c r="O16" s="87">
        <f>SUM(O6:O14)</f>
        <v>0</v>
      </c>
      <c r="P16" s="87">
        <f>SUM(P6:P14)</f>
        <v>0</v>
      </c>
      <c r="Q16" s="89">
        <f>ROUND(SUMPRODUCT(Q6:Q13,K6:K13)/SUMPRODUCT((Q6:Q13&gt;0)*(K6:K13)),2)</f>
        <v>0.08</v>
      </c>
      <c r="R16" s="974">
        <f ca="1">SUM(R6:R13)</f>
        <v>5851.68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1209</v>
      </c>
      <c r="B18" s="2458"/>
      <c r="C18" s="2437"/>
      <c r="D18" s="2449"/>
      <c r="E18" s="2437"/>
      <c r="F18" s="2437"/>
      <c r="G18" s="2437"/>
      <c r="H18" s="2437"/>
      <c r="I18" s="2437"/>
      <c r="J18" s="3184" t="s">
        <v>3468</v>
      </c>
      <c r="K18" s="3183"/>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1210</v>
      </c>
      <c r="B19" s="97">
        <v>0</v>
      </c>
      <c r="C19" s="2558" t="s">
        <v>2301</v>
      </c>
      <c r="D19" s="2449"/>
      <c r="E19" s="2437"/>
      <c r="F19" s="2437"/>
      <c r="G19" s="2437"/>
      <c r="H19" s="2437"/>
      <c r="I19" s="2437"/>
      <c r="J19" s="2437"/>
      <c r="K19" s="2447"/>
      <c r="L19" s="2447"/>
      <c r="M19" s="2446"/>
      <c r="N19" s="2446"/>
      <c r="O19" s="2446"/>
      <c r="P19" s="2446"/>
      <c r="Q19" s="2446"/>
      <c r="R19" s="2446"/>
      <c r="S19" s="2446"/>
      <c r="T19" s="3179" t="s">
        <v>3483</v>
      </c>
      <c r="U19" s="2446">
        <f>'数据-汇总表'!E3</f>
        <v>2256.4</v>
      </c>
      <c r="V19" s="2446">
        <v>1.5</v>
      </c>
      <c r="W19" s="2446">
        <f>U19*V19</f>
        <v>3384.6000000000004</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1211</v>
      </c>
      <c r="B20" s="98">
        <v>1</v>
      </c>
      <c r="C20" s="2559" t="s">
        <v>2299</v>
      </c>
      <c r="D20" s="2449"/>
      <c r="E20" s="2437"/>
      <c r="F20" s="2437"/>
      <c r="G20" s="2437"/>
      <c r="H20" s="2437"/>
      <c r="I20" s="2437"/>
      <c r="J20" s="2437"/>
      <c r="K20" s="2447"/>
      <c r="L20" s="2447"/>
      <c r="M20" s="2446"/>
      <c r="N20" s="3178">
        <f>面积表!$D$5</f>
        <v>56324</v>
      </c>
      <c r="O20" s="2446"/>
      <c r="P20" s="2446"/>
      <c r="Q20" s="2446"/>
      <c r="R20" s="2446"/>
      <c r="S20" s="2446"/>
      <c r="T20" s="3179" t="s">
        <v>3484</v>
      </c>
      <c r="U20" s="2446">
        <f>'数据-汇总表'!D3-'数据-取费表'!U19</f>
        <v>3595.28</v>
      </c>
      <c r="V20" s="2446">
        <v>0.1</v>
      </c>
      <c r="W20" s="2446">
        <f>V20*U20</f>
        <v>359.52800000000002</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1212</v>
      </c>
      <c r="B21" s="98">
        <v>1</v>
      </c>
      <c r="C21" s="2437"/>
      <c r="D21" s="2449"/>
      <c r="E21" s="2437"/>
      <c r="F21" s="2437"/>
      <c r="G21" s="2437"/>
      <c r="H21" s="2437"/>
      <c r="I21" s="2437"/>
      <c r="J21" s="2437"/>
      <c r="K21" s="2447"/>
      <c r="L21" s="2447"/>
      <c r="M21" s="3179" t="s">
        <v>3462</v>
      </c>
      <c r="N21" s="3180">
        <v>2014</v>
      </c>
      <c r="O21" s="3179" t="s">
        <v>3482</v>
      </c>
      <c r="P21" s="2446"/>
      <c r="Q21" s="2446"/>
      <c r="R21" s="2446"/>
      <c r="S21" s="2446"/>
      <c r="T21" s="2446"/>
      <c r="U21" s="2446"/>
      <c r="V21" s="2446"/>
      <c r="W21" s="2446">
        <f>W19+W20</f>
        <v>3744.1280000000006</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1213</v>
      </c>
      <c r="B22" s="99">
        <f>B19+B20</f>
        <v>1</v>
      </c>
      <c r="C22" s="2437"/>
      <c r="D22" s="2449"/>
      <c r="E22" s="2437"/>
      <c r="F22" s="2437"/>
      <c r="G22" s="2437"/>
      <c r="H22" s="2437"/>
      <c r="I22" s="2437"/>
      <c r="J22" s="2437"/>
      <c r="K22" s="2447"/>
      <c r="L22" s="2447"/>
      <c r="M22" s="3179" t="s">
        <v>3463</v>
      </c>
      <c r="N22" s="2446"/>
      <c r="O22" s="2446"/>
      <c r="P22" s="2446"/>
      <c r="Q22" s="2446"/>
      <c r="R22" s="2446"/>
      <c r="S22" s="2446"/>
      <c r="T22" s="2446"/>
      <c r="U22" s="2446"/>
      <c r="V22" s="2446"/>
      <c r="W22" s="2446">
        <f>W21/U19</f>
        <v>1.6593369969863501</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1214</v>
      </c>
      <c r="B23" s="99">
        <f>B19+B21</f>
        <v>1</v>
      </c>
      <c r="C23" s="2437"/>
      <c r="D23" s="2449"/>
      <c r="E23" s="2437"/>
      <c r="F23" s="2437"/>
      <c r="G23" s="2437"/>
      <c r="H23" s="2437"/>
      <c r="I23" s="2437"/>
      <c r="J23" s="2437"/>
      <c r="K23" s="2447"/>
      <c r="L23" s="2447"/>
      <c r="M23" s="3179" t="s">
        <v>3464</v>
      </c>
      <c r="N23" s="2446">
        <f>ROUND(1-(1-2%)*(2025-N21)/50,2)</f>
        <v>0.78</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1215</v>
      </c>
      <c r="B24" s="100">
        <f>B20-B21</f>
        <v>0</v>
      </c>
      <c r="C24" s="2437"/>
      <c r="D24" s="2449"/>
      <c r="E24" s="2437"/>
      <c r="F24" s="2437"/>
      <c r="G24" s="2437"/>
      <c r="H24" s="2437"/>
      <c r="I24" s="2437"/>
      <c r="J24" s="2437"/>
      <c r="K24" s="2447"/>
      <c r="L24" s="2447"/>
      <c r="M24" s="3179" t="s">
        <v>3465</v>
      </c>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1216</v>
      </c>
      <c r="B26" s="1600" t="s">
        <v>1217</v>
      </c>
      <c r="C26" s="2450" t="s">
        <v>1218</v>
      </c>
      <c r="D26" s="2449"/>
      <c r="E26" s="2437"/>
      <c r="F26" s="2437"/>
      <c r="G26" s="2437"/>
      <c r="H26" s="2437"/>
      <c r="I26" s="2437"/>
      <c r="J26" s="2437"/>
      <c r="K26" s="2447"/>
      <c r="L26" s="2447"/>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1219</v>
      </c>
      <c r="B27" s="101">
        <v>150</v>
      </c>
      <c r="C27" s="2560" t="s">
        <v>2303</v>
      </c>
      <c r="D27" s="2452"/>
      <c r="E27" s="2438"/>
      <c r="F27" s="2438"/>
      <c r="G27" s="2437"/>
      <c r="H27" s="2437"/>
      <c r="I27" s="2437"/>
      <c r="J27" s="2437"/>
      <c r="K27" s="2447"/>
      <c r="L27" s="2447"/>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1220</v>
      </c>
      <c r="B28" s="103">
        <v>190</v>
      </c>
      <c r="C28" s="2453"/>
      <c r="D28" s="2452"/>
      <c r="E28" s="2438"/>
      <c r="F28" s="2438"/>
      <c r="G28" s="2437"/>
      <c r="H28" s="2437"/>
      <c r="I28" s="2437"/>
      <c r="J28" s="2437"/>
      <c r="K28" s="2447"/>
      <c r="L28" s="2447"/>
      <c r="M28" s="3179" t="s">
        <v>3466</v>
      </c>
      <c r="N28" s="2446">
        <f>ROUND((N23+N24)/2,2)</f>
        <v>0.39</v>
      </c>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1221</v>
      </c>
      <c r="B29" s="105"/>
      <c r="C29" s="2561" t="s">
        <v>2293</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1222</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1223</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1224</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1225</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1226</v>
      </c>
      <c r="B34" s="106">
        <v>0</v>
      </c>
      <c r="C34" s="2562" t="s">
        <v>2294</v>
      </c>
      <c r="D34" s="2457" t="s">
        <v>2300</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1227</v>
      </c>
      <c r="B35" s="103">
        <v>200</v>
      </c>
      <c r="C35" s="2562" t="s">
        <v>2295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1228</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1229</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1230</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1231</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2309</v>
      </c>
      <c r="B40" s="1015">
        <f ca="1">IF(A40="利息：取LPR",存贷款利率!G1,存贷款利率!G1+C40)</f>
        <v>0.03</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1232</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1233</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1234</v>
      </c>
      <c r="B43" s="111">
        <f>B42*(B44+B45+B46)+B47</f>
        <v>6.000000000000001E-3</v>
      </c>
      <c r="C43" s="2451"/>
      <c r="D43" s="3177" t="s">
        <v>3461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1235</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1236</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1237</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1238</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1239</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1240</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1241</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1242</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1243</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1244</v>
      </c>
      <c r="B53" s="1611" t="s">
        <v>29</v>
      </c>
      <c r="C53" s="2438" t="s">
        <v>1245</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1246</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1247</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1248</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1249</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1250</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1251</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1252</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1253</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1254</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1255</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74" t="s">
        <v>2285</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2280</v>
      </c>
      <c r="D2" s="1595"/>
      <c r="E2" s="2258"/>
      <c r="F2" s="2261"/>
      <c r="G2" s="2260" t="s">
        <v>2281</v>
      </c>
      <c r="H2" s="751"/>
      <c r="I2" s="751"/>
      <c r="J2" s="751"/>
      <c r="K2" s="751"/>
      <c r="L2" s="751"/>
      <c r="M2" s="751"/>
      <c r="N2" s="751"/>
      <c r="O2" s="751"/>
      <c r="P2" s="751"/>
      <c r="Q2" s="751"/>
    </row>
    <row r="3" spans="1:29" ht="52">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9">
      <c r="A4" s="2246"/>
      <c r="B4" s="315" t="s">
        <v>2253</v>
      </c>
      <c r="C4" s="2267" t="s">
        <v>2254</v>
      </c>
      <c r="D4" s="2264"/>
      <c r="E4" s="2268"/>
      <c r="F4" s="1281" t="s">
        <v>2255</v>
      </c>
      <c r="G4" s="2269" t="s">
        <v>2256</v>
      </c>
      <c r="H4" s="751"/>
      <c r="I4" s="751"/>
      <c r="J4" s="751"/>
      <c r="K4" s="751"/>
      <c r="L4" s="751"/>
      <c r="M4" s="751"/>
      <c r="N4" s="751"/>
      <c r="O4" s="751"/>
      <c r="P4" s="751"/>
      <c r="Q4" s="751"/>
    </row>
    <row r="5" spans="1:29" ht="39">
      <c r="A5" s="2246"/>
      <c r="B5" s="315" t="s">
        <v>2257</v>
      </c>
      <c r="C5" s="2267" t="s">
        <v>2258</v>
      </c>
      <c r="D5" s="2264"/>
      <c r="E5" s="2268"/>
      <c r="F5" s="315" t="s">
        <v>2259</v>
      </c>
      <c r="G5" s="2269" t="s">
        <v>2260</v>
      </c>
      <c r="H5" s="751"/>
      <c r="I5" s="751"/>
      <c r="J5" s="751"/>
      <c r="K5" s="751"/>
      <c r="L5" s="751"/>
      <c r="M5" s="751"/>
      <c r="N5" s="751"/>
      <c r="O5" s="751"/>
      <c r="P5" s="751"/>
      <c r="Q5" s="751"/>
    </row>
    <row r="6" spans="1:29" ht="39">
      <c r="A6" s="2246"/>
      <c r="B6" s="315" t="s">
        <v>2261</v>
      </c>
      <c r="C6" s="2269" t="s">
        <v>2256</v>
      </c>
      <c r="D6" s="2264"/>
      <c r="E6" s="2268"/>
      <c r="F6" s="315" t="s">
        <v>2262</v>
      </c>
      <c r="G6" s="2269" t="s">
        <v>2263</v>
      </c>
      <c r="H6" s="751"/>
      <c r="I6" s="751"/>
      <c r="J6" s="751"/>
      <c r="K6" s="751"/>
      <c r="L6" s="751"/>
      <c r="M6" s="751"/>
      <c r="N6" s="751"/>
      <c r="O6" s="751"/>
      <c r="P6" s="751"/>
      <c r="Q6" s="751"/>
    </row>
    <row r="7" spans="1:29" ht="39.5" thickBot="1">
      <c r="A7" s="2246"/>
      <c r="B7" s="315" t="s">
        <v>2259</v>
      </c>
      <c r="C7" s="2269" t="s">
        <v>2260</v>
      </c>
      <c r="D7" s="2243"/>
      <c r="E7" s="2270"/>
      <c r="F7" s="2271" t="s">
        <v>2264</v>
      </c>
      <c r="G7" s="2272" t="s">
        <v>2265</v>
      </c>
      <c r="H7" s="751"/>
      <c r="I7" s="751"/>
      <c r="J7" s="751"/>
      <c r="K7" s="751"/>
      <c r="L7" s="751"/>
      <c r="M7" s="751"/>
      <c r="N7" s="751"/>
      <c r="O7" s="751"/>
      <c r="P7" s="751"/>
      <c r="Q7" s="751"/>
    </row>
    <row r="8" spans="1:29" ht="26">
      <c r="A8" s="2246"/>
      <c r="B8" s="315" t="s">
        <v>2262</v>
      </c>
      <c r="C8" s="2269" t="s">
        <v>2263</v>
      </c>
      <c r="D8" s="2243"/>
      <c r="E8" s="2243"/>
      <c r="F8" s="121"/>
      <c r="G8" s="121"/>
      <c r="H8" s="751"/>
      <c r="I8" s="751"/>
      <c r="J8" s="751"/>
      <c r="K8" s="751"/>
      <c r="L8" s="751"/>
      <c r="M8" s="751"/>
      <c r="N8" s="751"/>
      <c r="O8" s="751"/>
      <c r="P8" s="751"/>
      <c r="Q8" s="751"/>
    </row>
    <row r="9" spans="1:29" ht="26">
      <c r="A9" s="2246"/>
      <c r="B9" s="315" t="s">
        <v>2266</v>
      </c>
      <c r="C9" s="2267" t="s">
        <v>2267</v>
      </c>
      <c r="D9" s="2264"/>
      <c r="E9" s="2243"/>
      <c r="F9" s="121"/>
      <c r="G9" s="121"/>
      <c r="H9" s="751"/>
      <c r="I9" s="751"/>
      <c r="J9" s="751"/>
      <c r="K9" s="751"/>
      <c r="L9" s="751"/>
      <c r="M9" s="751"/>
      <c r="N9" s="751"/>
      <c r="O9" s="751"/>
      <c r="P9" s="751"/>
      <c r="Q9" s="751"/>
    </row>
    <row r="10" spans="1:29" ht="14.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2286</v>
      </c>
      <c r="B13" s="2278"/>
      <c r="C13" s="2278"/>
      <c r="D13" s="2277"/>
      <c r="E13" s="2278"/>
      <c r="F13" s="2278"/>
      <c r="G13" s="2278"/>
    </row>
    <row r="14" spans="1:29" ht="14.5" thickBot="1">
      <c r="A14" s="2283"/>
      <c r="B14" s="2283"/>
      <c r="C14" s="2284" t="s">
        <v>2269</v>
      </c>
      <c r="D14" s="2264"/>
      <c r="E14" s="2285"/>
      <c r="F14" s="2285"/>
      <c r="G14" s="2260" t="s">
        <v>2270</v>
      </c>
    </row>
    <row r="15" spans="1:29" ht="50">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7.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7.5">
      <c r="A17" s="2250"/>
      <c r="B17" s="2289" t="s">
        <v>2257</v>
      </c>
      <c r="C17" s="2290" t="str">
        <f>C5</f>
        <v>估价对象位于XX商圈，周边办公楼项目较多，入驻率高，办公集聚程度较好</v>
      </c>
      <c r="D17" s="2243"/>
      <c r="E17" s="2251"/>
      <c r="F17" s="2291" t="s">
        <v>2274</v>
      </c>
      <c r="G17" s="2293"/>
    </row>
    <row r="18" spans="1:17" ht="37.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
      <c r="A19" s="2250"/>
      <c r="B19" s="2291" t="s">
        <v>2275</v>
      </c>
      <c r="C19" s="2293"/>
      <c r="D19" s="2264"/>
      <c r="E19" s="2251"/>
      <c r="F19" s="315" t="s">
        <v>2259</v>
      </c>
      <c r="G19" s="2292" t="str">
        <f>G5</f>
        <v>估价对象所在区域公共配套设施齐备情况</v>
      </c>
    </row>
    <row r="20" spans="1:17" ht="25">
      <c r="A20" s="2250"/>
      <c r="B20" s="2291" t="s">
        <v>2276</v>
      </c>
      <c r="C20" s="2290" t="str">
        <f>C9</f>
        <v>区域自然环境：；人文环境；综合评价环境状况一般</v>
      </c>
      <c r="D20" s="2243"/>
      <c r="E20" s="2251"/>
      <c r="F20" s="315" t="s">
        <v>2262</v>
      </c>
      <c r="G20" s="2292" t="str">
        <f>G6</f>
        <v>估价对象所在区域基础设施水平</v>
      </c>
    </row>
    <row r="21" spans="1:17" ht="2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4.5" thickBot="1">
      <c r="A23" s="2250"/>
      <c r="B23" s="2291" t="s">
        <v>2277</v>
      </c>
      <c r="C23" s="2294"/>
      <c r="D23" s="1614"/>
      <c r="E23" s="2252"/>
      <c r="F23" s="2295" t="s">
        <v>2278</v>
      </c>
      <c r="G23" s="2296"/>
      <c r="H23" s="2275"/>
      <c r="I23" s="2275"/>
      <c r="J23" s="2275"/>
      <c r="K23" s="2275"/>
      <c r="L23" s="2275"/>
      <c r="M23" s="2275"/>
      <c r="N23" s="2275"/>
      <c r="O23" s="2275"/>
      <c r="P23" s="2275"/>
      <c r="Q23" s="2275"/>
    </row>
    <row r="24" spans="1:17" s="751" customFormat="1" ht="14.5" thickBot="1">
      <c r="A24" s="2253"/>
      <c r="B24" s="2295" t="s">
        <v>2279</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A16" sqref="A16"/>
    </sheetView>
  </sheetViews>
  <sheetFormatPr defaultColWidth="9" defaultRowHeight="14"/>
  <cols>
    <col min="1" max="1" width="25" style="2299" customWidth="1"/>
    <col min="2" max="9" width="15.7265625" style="2299" customWidth="1"/>
    <col min="10" max="16384" width="9" style="2299"/>
  </cols>
  <sheetData>
    <row r="1" spans="1:11" ht="16.5">
      <c r="A1" s="2298" t="s">
        <v>664</v>
      </c>
      <c r="B1" s="2298">
        <f>SUM(B14:B23)</f>
        <v>5395.08</v>
      </c>
      <c r="C1" s="2459"/>
      <c r="D1" s="2459"/>
      <c r="E1" s="2459"/>
      <c r="F1" s="2459"/>
      <c r="G1" s="2460"/>
      <c r="H1" s="2460"/>
      <c r="I1" s="2460"/>
      <c r="J1" s="2460"/>
      <c r="K1" s="2460"/>
    </row>
    <row r="2" spans="1:11" ht="16.5">
      <c r="A2" s="2298" t="s">
        <v>652</v>
      </c>
      <c r="B2" s="2298">
        <f>SUM(C14:C23)</f>
        <v>10054.740000000002</v>
      </c>
      <c r="C2" s="2459"/>
      <c r="D2" s="2459"/>
      <c r="E2" s="2459"/>
      <c r="F2" s="2459"/>
      <c r="G2" s="2460"/>
      <c r="H2" s="2460"/>
      <c r="I2" s="2460"/>
      <c r="J2" s="2460"/>
      <c r="K2" s="2460"/>
    </row>
    <row r="3" spans="1:11" ht="16.5">
      <c r="A3" s="2298" t="s">
        <v>661</v>
      </c>
      <c r="B3" s="2300">
        <f>项目基本情况!D3</f>
        <v>45924</v>
      </c>
      <c r="C3" s="2459"/>
      <c r="D3" s="2459"/>
      <c r="E3" s="2459"/>
      <c r="F3" s="2459"/>
      <c r="G3" s="2460"/>
      <c r="H3" s="2460"/>
      <c r="I3" s="2460"/>
      <c r="J3" s="2460"/>
      <c r="K3" s="2460"/>
    </row>
    <row r="4" spans="1:11" ht="33">
      <c r="A4" s="2298" t="s">
        <v>660</v>
      </c>
      <c r="B4" s="2298" t="s">
        <v>659</v>
      </c>
      <c r="C4" s="2298" t="s">
        <v>658</v>
      </c>
      <c r="D4" s="2298" t="s">
        <v>657</v>
      </c>
      <c r="E4" s="2459"/>
      <c r="F4" s="2460"/>
      <c r="G4" s="2460"/>
      <c r="H4" s="2460"/>
      <c r="I4" s="2460"/>
      <c r="J4" s="2460"/>
      <c r="K4" s="2460"/>
    </row>
    <row r="5" spans="1:11" ht="16.5">
      <c r="A5" s="2298" t="s">
        <v>656</v>
      </c>
      <c r="B5" s="2298">
        <f ca="1">SUM(D14:D23)</f>
        <v>6760</v>
      </c>
      <c r="C5" s="2298">
        <f ca="1">IF(B5=D14,结果表!H102,ROUND(B5*10000/$B$1,0))</f>
        <v>12530</v>
      </c>
      <c r="D5" s="2298">
        <f ca="1">ROUND(B5*10000/$B$2,0)</f>
        <v>6723</v>
      </c>
      <c r="E5" s="2459"/>
      <c r="F5" s="2460"/>
      <c r="G5" s="2460"/>
      <c r="H5" s="2460"/>
      <c r="I5" s="2460"/>
      <c r="J5" s="2460"/>
      <c r="K5" s="2460"/>
    </row>
    <row r="6" spans="1:11" ht="16.5">
      <c r="A6" s="2298" t="s">
        <v>655</v>
      </c>
      <c r="B6" s="2298">
        <f ca="1">SUM(G14:G23)</f>
        <v>6760</v>
      </c>
      <c r="C6" s="2298">
        <f ca="1">IF(B6=G14,结果表!H108,ROUND(B6*10000/$B$1,0))</f>
        <v>12530</v>
      </c>
      <c r="D6" s="2298">
        <f ca="1">ROUND(B6*10000/$B$2,0)</f>
        <v>6723</v>
      </c>
      <c r="E6" s="2459"/>
      <c r="F6" s="2460"/>
      <c r="G6" s="2460"/>
      <c r="H6" s="2460"/>
      <c r="I6" s="2460"/>
      <c r="J6" s="2460"/>
      <c r="K6" s="2460"/>
    </row>
    <row r="7" spans="1:11" ht="16.5">
      <c r="A7" s="2298" t="s">
        <v>663</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654</v>
      </c>
      <c r="B9" s="1244"/>
      <c r="C9" s="2459"/>
      <c r="D9" s="2459"/>
      <c r="E9" s="2459"/>
      <c r="F9" s="2460"/>
      <c r="G9" s="2460"/>
      <c r="H9" s="2460"/>
      <c r="I9" s="2460"/>
      <c r="J9" s="2460"/>
      <c r="K9" s="2460"/>
    </row>
    <row r="10" spans="1:11" ht="16.5">
      <c r="A10" s="2298" t="s">
        <v>653</v>
      </c>
      <c r="B10" s="2298">
        <f>IF(E10="",0,ROUND(B1*(E10*365/G10)/10000,0))</f>
        <v>0</v>
      </c>
      <c r="C10" s="2298" t="s">
        <v>3353</v>
      </c>
      <c r="D10" s="2298" t="s">
        <v>3354</v>
      </c>
      <c r="E10" s="3134"/>
      <c r="F10" s="3138" t="s">
        <v>3355</v>
      </c>
      <c r="G10" s="3135"/>
      <c r="H10" s="2460"/>
      <c r="I10" s="2460"/>
      <c r="J10" s="2460"/>
      <c r="K10" s="2460"/>
    </row>
    <row r="11" spans="1:11" ht="16.5">
      <c r="A11" s="2298" t="s">
        <v>669</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668</v>
      </c>
      <c r="B13" s="2302" t="s">
        <v>665</v>
      </c>
      <c r="C13" s="2302" t="s">
        <v>667</v>
      </c>
      <c r="D13" s="2302" t="s">
        <v>666</v>
      </c>
      <c r="E13" s="2298" t="s">
        <v>658</v>
      </c>
      <c r="F13" s="2298" t="s">
        <v>657</v>
      </c>
      <c r="G13" s="2302" t="s">
        <v>651</v>
      </c>
      <c r="H13" s="2302" t="s">
        <v>662</v>
      </c>
      <c r="I13" s="2302" t="s">
        <v>650</v>
      </c>
      <c r="J13" s="2460"/>
      <c r="K13" s="2460"/>
    </row>
    <row r="14" spans="1:11" ht="16.5">
      <c r="A14" s="2303" t="s">
        <v>649</v>
      </c>
      <c r="B14" s="2304">
        <f>结果表!B118</f>
        <v>2256.4</v>
      </c>
      <c r="C14" s="2304">
        <f>结果表!C118</f>
        <v>5851.68</v>
      </c>
      <c r="D14" s="2304">
        <f ca="1">结果表!H118</f>
        <v>3498</v>
      </c>
      <c r="E14" s="2304">
        <f ca="1">结果表!I118</f>
        <v>15503</v>
      </c>
      <c r="F14" s="2304">
        <f ca="1">ROUND(D14*10000/C14,0)</f>
        <v>5978</v>
      </c>
      <c r="G14" s="2304">
        <f ca="1">D14</f>
        <v>3498</v>
      </c>
      <c r="H14" s="2304"/>
      <c r="I14" s="2304"/>
      <c r="J14" s="2460"/>
      <c r="K14" s="2460"/>
    </row>
    <row r="15" spans="1:11" ht="16.5">
      <c r="A15" s="2303" t="s">
        <v>3493</v>
      </c>
      <c r="B15" s="2305">
        <f>[2]系统读取表!$B$14</f>
        <v>3138.68</v>
      </c>
      <c r="C15" s="2305">
        <f>[2]系统读取表!$C$14</f>
        <v>4203.0600000000004</v>
      </c>
      <c r="D15" s="2305">
        <f ca="1">[2]系统读取表!$D$14</f>
        <v>3262</v>
      </c>
      <c r="E15" s="2304">
        <f ca="1">[2]系统读取表!$E$14</f>
        <v>10393</v>
      </c>
      <c r="F15" s="2304">
        <f t="shared" ref="F15:F23" ca="1" si="0">ROUND(D15*10000/C15,0)</f>
        <v>7761</v>
      </c>
      <c r="G15" s="1244">
        <f ca="1">D15</f>
        <v>3262</v>
      </c>
      <c r="H15" s="1244"/>
      <c r="I15" s="2305"/>
      <c r="J15" s="2460"/>
      <c r="K15" s="2460"/>
    </row>
    <row r="16" spans="1:11" ht="16.5">
      <c r="A16" s="2303" t="s">
        <v>648</v>
      </c>
      <c r="B16" s="2305"/>
      <c r="C16" s="2305"/>
      <c r="D16" s="2305"/>
      <c r="E16" s="2304" t="e">
        <f t="shared" ref="E15:E23" si="1">ROUND(D16*10000/B16,0)</f>
        <v>#DIV/0!</v>
      </c>
      <c r="F16" s="2304" t="e">
        <f t="shared" si="0"/>
        <v>#DIV/0!</v>
      </c>
      <c r="G16" s="1244"/>
      <c r="H16" s="1244"/>
      <c r="I16" s="2305"/>
      <c r="J16" s="2460"/>
      <c r="K16" s="2460"/>
    </row>
    <row r="17" spans="1:11" ht="16.5">
      <c r="A17" s="2303" t="s">
        <v>647</v>
      </c>
      <c r="B17" s="2305"/>
      <c r="C17" s="2305"/>
      <c r="D17" s="2305"/>
      <c r="E17" s="2304" t="e">
        <f t="shared" si="1"/>
        <v>#DIV/0!</v>
      </c>
      <c r="F17" s="2304" t="e">
        <f t="shared" si="0"/>
        <v>#DIV/0!</v>
      </c>
      <c r="G17" s="1244"/>
      <c r="H17" s="1244"/>
      <c r="I17" s="2305"/>
      <c r="J17" s="2460"/>
      <c r="K17" s="2460"/>
    </row>
    <row r="18" spans="1:11" ht="16.5">
      <c r="A18" s="2303" t="s">
        <v>646</v>
      </c>
      <c r="B18" s="2305"/>
      <c r="C18" s="2305"/>
      <c r="D18" s="2305"/>
      <c r="E18" s="2304" t="e">
        <f t="shared" si="1"/>
        <v>#DIV/0!</v>
      </c>
      <c r="F18" s="2304" t="e">
        <f t="shared" si="0"/>
        <v>#DIV/0!</v>
      </c>
      <c r="G18" s="2305"/>
      <c r="H18" s="2305"/>
      <c r="I18" s="2305"/>
      <c r="J18" s="2460"/>
      <c r="K18" s="2460"/>
    </row>
    <row r="19" spans="1:11" ht="16.5">
      <c r="A19" s="2303" t="s">
        <v>645</v>
      </c>
      <c r="B19" s="2305"/>
      <c r="C19" s="2305"/>
      <c r="D19" s="2305"/>
      <c r="E19" s="2304" t="e">
        <f t="shared" si="1"/>
        <v>#DIV/0!</v>
      </c>
      <c r="F19" s="2304" t="e">
        <f t="shared" si="0"/>
        <v>#DIV/0!</v>
      </c>
      <c r="G19" s="2305"/>
      <c r="H19" s="2305"/>
      <c r="I19" s="2305"/>
      <c r="J19" s="2460"/>
      <c r="K19" s="2460"/>
    </row>
    <row r="20" spans="1:11" ht="16.5">
      <c r="A20" s="2303" t="s">
        <v>644</v>
      </c>
      <c r="B20" s="2305"/>
      <c r="C20" s="2305"/>
      <c r="D20" s="2305"/>
      <c r="E20" s="2304" t="e">
        <f t="shared" si="1"/>
        <v>#DIV/0!</v>
      </c>
      <c r="F20" s="2304" t="e">
        <f t="shared" si="0"/>
        <v>#DIV/0!</v>
      </c>
      <c r="G20" s="2305"/>
      <c r="H20" s="2305"/>
      <c r="I20" s="2305"/>
      <c r="J20" s="2460"/>
      <c r="K20" s="2460"/>
    </row>
    <row r="21" spans="1:11" ht="16.5">
      <c r="A21" s="2303" t="s">
        <v>643</v>
      </c>
      <c r="B21" s="2305"/>
      <c r="C21" s="2305"/>
      <c r="D21" s="2305"/>
      <c r="E21" s="2304" t="e">
        <f t="shared" si="1"/>
        <v>#DIV/0!</v>
      </c>
      <c r="F21" s="2304" t="e">
        <f t="shared" si="0"/>
        <v>#DIV/0!</v>
      </c>
      <c r="G21" s="2305"/>
      <c r="H21" s="2305"/>
      <c r="I21" s="2305"/>
      <c r="J21" s="2460"/>
      <c r="K21" s="2460"/>
    </row>
    <row r="22" spans="1:11" ht="16.5">
      <c r="A22" s="2303" t="s">
        <v>642</v>
      </c>
      <c r="B22" s="2305"/>
      <c r="C22" s="2305"/>
      <c r="D22" s="2305"/>
      <c r="E22" s="2304" t="e">
        <f t="shared" si="1"/>
        <v>#DIV/0!</v>
      </c>
      <c r="F22" s="2304" t="e">
        <f t="shared" si="0"/>
        <v>#DIV/0!</v>
      </c>
      <c r="G22" s="2305"/>
      <c r="H22" s="2305"/>
      <c r="I22" s="2305"/>
      <c r="J22" s="2460"/>
      <c r="K22" s="2460"/>
    </row>
    <row r="23" spans="1:11" ht="16.5">
      <c r="A23" s="2303" t="s">
        <v>641</v>
      </c>
      <c r="B23" s="2305"/>
      <c r="C23" s="2305"/>
      <c r="D23" s="2305"/>
      <c r="E23" s="1244" t="e">
        <f t="shared" si="1"/>
        <v>#DIV/0!</v>
      </c>
      <c r="F23" s="1244" t="e">
        <f t="shared" si="0"/>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F35" sqref="F3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1261</v>
      </c>
      <c r="B1" s="646"/>
      <c r="C1" s="1620" t="s">
        <v>3486</v>
      </c>
      <c r="D1" s="646"/>
      <c r="E1" s="646"/>
      <c r="F1" s="1621" t="s">
        <v>1262</v>
      </c>
      <c r="G1" s="1453" t="s">
        <v>3453</v>
      </c>
      <c r="H1" s="1621" t="str">
        <f>IF(G1="现房","——","估价对象范围")</f>
        <v>——</v>
      </c>
      <c r="I1" s="1622"/>
    </row>
    <row r="2" spans="1:12" ht="21.75" customHeight="1" thickBot="1">
      <c r="A2" s="3310" t="str">
        <f>项目基本情况!S2</f>
        <v>北京市密云县新南路甲52号院1号楼等3幢房地产</v>
      </c>
      <c r="B2" s="3311"/>
      <c r="C2" s="3311"/>
      <c r="D2" s="3311"/>
      <c r="E2" s="3311"/>
      <c r="F2" s="3311"/>
      <c r="G2" s="3311"/>
      <c r="H2" s="3311"/>
      <c r="I2" s="3312"/>
    </row>
    <row r="3" spans="1:12" ht="13">
      <c r="A3" s="3314" t="s">
        <v>1263</v>
      </c>
      <c r="B3" s="3315"/>
      <c r="C3" s="3315"/>
      <c r="D3" s="3315"/>
      <c r="E3" s="3315"/>
      <c r="F3" s="3315"/>
      <c r="G3" s="3315"/>
      <c r="H3" s="3315"/>
      <c r="I3" s="3315"/>
    </row>
    <row r="4" spans="1:12" ht="14">
      <c r="A4" s="1624" t="s">
        <v>1264</v>
      </c>
      <c r="B4" s="1625" t="s">
        <v>1265</v>
      </c>
      <c r="C4" s="1626" t="s">
        <v>3490</v>
      </c>
      <c r="D4" s="1626" t="s">
        <v>3488</v>
      </c>
      <c r="E4" s="3316" t="s">
        <v>1266</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90" t="s">
        <v>1267</v>
      </c>
      <c r="B5" s="3277">
        <v>25</v>
      </c>
      <c r="C5" s="3293"/>
      <c r="D5" s="3313"/>
      <c r="E5" s="123" t="s">
        <v>1268</v>
      </c>
      <c r="F5" s="1627"/>
      <c r="G5" s="1627"/>
      <c r="H5" s="1627"/>
      <c r="I5" s="1281"/>
    </row>
    <row r="6" spans="1:12" ht="13">
      <c r="A6" s="3290"/>
      <c r="B6" s="3277"/>
      <c r="C6" s="3294"/>
      <c r="D6" s="3313"/>
      <c r="E6" s="123" t="s">
        <v>1269</v>
      </c>
      <c r="F6" s="1627"/>
      <c r="G6" s="1627"/>
      <c r="H6" s="1627"/>
      <c r="I6" s="1281"/>
    </row>
    <row r="7" spans="1:12" ht="13">
      <c r="A7" s="3290"/>
      <c r="B7" s="3277"/>
      <c r="C7" s="3295"/>
      <c r="D7" s="3313"/>
      <c r="E7" s="123" t="s">
        <v>1270</v>
      </c>
      <c r="F7" s="1627"/>
      <c r="G7" s="1627"/>
      <c r="H7" s="1627"/>
      <c r="I7" s="1281"/>
    </row>
    <row r="8" spans="1:12" ht="13">
      <c r="A8" s="3290" t="s">
        <v>1271</v>
      </c>
      <c r="B8" s="3277">
        <v>15</v>
      </c>
      <c r="C8" s="3293"/>
      <c r="D8" s="3313"/>
      <c r="E8" s="123" t="s">
        <v>1272</v>
      </c>
      <c r="F8" s="1627"/>
      <c r="G8" s="1627"/>
      <c r="H8" s="1627"/>
      <c r="I8" s="1281"/>
    </row>
    <row r="9" spans="1:12" ht="13">
      <c r="A9" s="3290"/>
      <c r="B9" s="3277"/>
      <c r="C9" s="3295"/>
      <c r="D9" s="3313"/>
      <c r="E9" s="123" t="s">
        <v>1273</v>
      </c>
      <c r="F9" s="1627"/>
      <c r="G9" s="1627"/>
      <c r="H9" s="1627"/>
      <c r="I9" s="1281"/>
    </row>
    <row r="10" spans="1:12" ht="13">
      <c r="A10" s="3290" t="s">
        <v>1274</v>
      </c>
      <c r="B10" s="3277">
        <v>15</v>
      </c>
      <c r="C10" s="3293"/>
      <c r="D10" s="3313"/>
      <c r="E10" s="123" t="s">
        <v>1275</v>
      </c>
      <c r="F10" s="1627"/>
      <c r="G10" s="1627"/>
      <c r="H10" s="1627"/>
      <c r="I10" s="1281"/>
    </row>
    <row r="11" spans="1:12" ht="13">
      <c r="A11" s="3290"/>
      <c r="B11" s="3277"/>
      <c r="C11" s="3295"/>
      <c r="D11" s="3313"/>
      <c r="E11" s="123" t="s">
        <v>1276</v>
      </c>
      <c r="F11" s="1627"/>
      <c r="G11" s="1627"/>
      <c r="H11" s="1627"/>
      <c r="I11" s="1281"/>
    </row>
    <row r="12" spans="1:12" ht="13">
      <c r="A12" s="3290" t="s">
        <v>1277</v>
      </c>
      <c r="B12" s="3277">
        <v>15</v>
      </c>
      <c r="C12" s="3293"/>
      <c r="D12" s="3313"/>
      <c r="E12" s="123" t="s">
        <v>1278</v>
      </c>
      <c r="F12" s="1627"/>
      <c r="G12" s="1627"/>
      <c r="H12" s="1627"/>
      <c r="I12" s="1281"/>
    </row>
    <row r="13" spans="1:12" ht="13">
      <c r="A13" s="3290"/>
      <c r="B13" s="3277"/>
      <c r="C13" s="3295"/>
      <c r="D13" s="3313"/>
      <c r="E13" s="123" t="s">
        <v>1279</v>
      </c>
      <c r="F13" s="1627"/>
      <c r="G13" s="1627"/>
      <c r="H13" s="1627"/>
      <c r="I13" s="1281"/>
    </row>
    <row r="14" spans="1:12" ht="13">
      <c r="A14" s="3290" t="s">
        <v>1280</v>
      </c>
      <c r="B14" s="3277">
        <v>30</v>
      </c>
      <c r="C14" s="3293">
        <v>4</v>
      </c>
      <c r="D14" s="3313">
        <v>6</v>
      </c>
      <c r="E14" s="123" t="s">
        <v>1281</v>
      </c>
      <c r="F14" s="1627"/>
      <c r="G14" s="1627"/>
      <c r="H14" s="1627"/>
      <c r="I14" s="1281"/>
    </row>
    <row r="15" spans="1:12" ht="13">
      <c r="A15" s="3290"/>
      <c r="B15" s="3277"/>
      <c r="C15" s="3294"/>
      <c r="D15" s="3313"/>
      <c r="E15" s="123" t="s">
        <v>1282</v>
      </c>
      <c r="F15" s="1627"/>
      <c r="G15" s="1627"/>
      <c r="H15" s="1627"/>
      <c r="I15" s="1281"/>
    </row>
    <row r="16" spans="1:12" ht="13">
      <c r="A16" s="3290"/>
      <c r="B16" s="3277"/>
      <c r="C16" s="3295"/>
      <c r="D16" s="3313"/>
      <c r="E16" s="123" t="s">
        <v>1283</v>
      </c>
      <c r="F16" s="1627"/>
      <c r="G16" s="1627"/>
      <c r="H16" s="1627"/>
      <c r="I16" s="1281"/>
    </row>
    <row r="17" spans="1:36" ht="14">
      <c r="A17" s="1628" t="s">
        <v>1284</v>
      </c>
      <c r="B17" s="54"/>
      <c r="C17" s="124">
        <f>SUM(C5:C16)</f>
        <v>4</v>
      </c>
      <c r="D17" s="124">
        <f>SUM(D5:D16)</f>
        <v>6</v>
      </c>
      <c r="E17" s="121"/>
      <c r="F17" s="121"/>
      <c r="G17" s="121"/>
      <c r="H17" s="121"/>
      <c r="I17" s="121"/>
      <c r="K17" s="294"/>
      <c r="L17" s="294" t="s">
        <v>1285</v>
      </c>
      <c r="M17" s="294" t="s">
        <v>1286</v>
      </c>
    </row>
    <row r="18" spans="1:36" ht="31.9" customHeight="1" thickBot="1">
      <c r="A18" s="1629" t="s">
        <v>1287</v>
      </c>
      <c r="B18" s="1542"/>
      <c r="C18" s="125">
        <f>ROUND(C17/SUM(C17:D17),2)</f>
        <v>0.4</v>
      </c>
      <c r="D18" s="125">
        <f>1-C18</f>
        <v>0.6</v>
      </c>
      <c r="E18" s="3300" t="s">
        <v>2130</v>
      </c>
      <c r="F18" s="3301"/>
      <c r="G18" s="3301"/>
      <c r="H18" s="3301"/>
      <c r="I18" s="3301"/>
      <c r="K18" s="294" t="s">
        <v>1288</v>
      </c>
      <c r="L18" s="294">
        <f>IF(C1="",'数据-汇总表'!E3,SUMIF(项目类型,C1,'数据-汇总表'!E17:E26)+SUMIF(项目类型,C1,'数据-汇总表'!I17:I26))</f>
        <v>2256.4</v>
      </c>
      <c r="M18" s="294">
        <f>IF(C1="",'数据-汇总表'!E3,SUMIF(项目类型,C1,'数据-汇总表'!E17:E26))</f>
        <v>2256.4</v>
      </c>
    </row>
    <row r="19" spans="1:36" ht="14">
      <c r="A19" s="1630" t="s">
        <v>1289</v>
      </c>
      <c r="B19" s="1631" t="s">
        <v>1290</v>
      </c>
      <c r="C19" s="126">
        <f ca="1">SUMIF(INDIRECT("'"&amp;C4&amp;"'"&amp;"!A:A"),结果表!B19,INDIRECT("'"&amp;C4&amp;"'"&amp;"!B:B"))</f>
        <v>6239</v>
      </c>
      <c r="D19" s="127">
        <f ca="1">SUMIF(INDIRECT("'"&amp;D4&amp;"'"&amp;"!A:A"),结果表!B19,INDIRECT("'"&amp;D4&amp;"'"&amp;"!B:B"))</f>
        <v>1670</v>
      </c>
      <c r="E19" s="1630" t="s">
        <v>1291</v>
      </c>
      <c r="F19" s="1631" t="s">
        <v>1290</v>
      </c>
      <c r="G19" s="128">
        <f ca="1">ROUND(C19*$C$18+D19*$D$18,0)</f>
        <v>3498</v>
      </c>
      <c r="H19" s="1632" t="s">
        <v>1292</v>
      </c>
      <c r="I19" s="121"/>
      <c r="K19" s="294" t="s">
        <v>1293</v>
      </c>
      <c r="L19" s="294">
        <f>IF(C1="",'数据-汇总表'!D3,SUMIF(项目类型,C1,'数据-汇总表'!D17:D26)+SUMIF(项目类型,C1,'数据-汇总表'!H17:H27))</f>
        <v>5851.68</v>
      </c>
      <c r="M19" s="294">
        <f>IF(C1="",'数据-汇总表'!D3,SUMIF(项目类型,C1,'数据-汇总表'!D17:D26))</f>
        <v>5851.68</v>
      </c>
    </row>
    <row r="20" spans="1:36" ht="14">
      <c r="A20" s="1633"/>
      <c r="B20" s="43" t="s">
        <v>1294</v>
      </c>
      <c r="C20" s="129">
        <f ca="1">SUMIF(INDIRECT("'"&amp;C4&amp;"'"&amp;"!A:A"),结果表!B20,INDIRECT("'"&amp;C4&amp;"'"&amp;"!B:B"))</f>
        <v>27650</v>
      </c>
      <c r="D20" s="130">
        <f ca="1">SUMIF(INDIRECT("'"&amp;D4&amp;"'"&amp;"!A:A"),结果表!B20,INDIRECT("'"&amp;D4&amp;"'"&amp;"!B:B"))</f>
        <v>7401</v>
      </c>
      <c r="E20" s="1633"/>
      <c r="F20" s="43" t="s">
        <v>1294</v>
      </c>
      <c r="G20" s="131">
        <f ca="1">ROUND(C20*$C$18+D20*$D$18,0)</f>
        <v>15501</v>
      </c>
      <c r="H20" s="760" t="s">
        <v>1295</v>
      </c>
      <c r="I20" s="121"/>
    </row>
    <row r="21" spans="1:36" ht="15" customHeight="1" thickBot="1">
      <c r="A21" s="449"/>
      <c r="B21" s="93" t="s">
        <v>1296</v>
      </c>
      <c r="C21" s="678">
        <f ca="1">ROUND(C19*10000/L19,0)</f>
        <v>10662</v>
      </c>
      <c r="D21" s="679">
        <f ca="1">ROUND(D19*10000/L19,0)</f>
        <v>2854</v>
      </c>
      <c r="E21" s="449"/>
      <c r="F21" s="93" t="s">
        <v>1296</v>
      </c>
      <c r="G21" s="132">
        <f ca="1">ROUND(G19*10000/L19,0)</f>
        <v>5978</v>
      </c>
      <c r="H21" s="1634" t="s">
        <v>1295</v>
      </c>
      <c r="I21" s="121"/>
    </row>
    <row r="22" spans="1:36" ht="14.5" thickBot="1">
      <c r="A22" s="1564" t="s">
        <v>1297</v>
      </c>
      <c r="B22" s="1635"/>
      <c r="C22" s="1636"/>
      <c r="D22" s="680">
        <f ca="1">IF(C19&lt;D19,D19/C19-1,C19/D19-1)</f>
        <v>2.7359281437125746</v>
      </c>
      <c r="E22" s="121"/>
      <c r="F22" s="121"/>
      <c r="G22" s="121"/>
      <c r="H22" s="121"/>
      <c r="I22" s="121"/>
    </row>
    <row r="23" spans="1:36" ht="13" thickBot="1">
      <c r="A23" s="646"/>
      <c r="B23" s="646"/>
      <c r="C23" s="646"/>
      <c r="D23" s="646"/>
      <c r="E23" s="121"/>
      <c r="F23" s="121"/>
      <c r="G23" s="121"/>
      <c r="H23" s="121"/>
      <c r="I23" s="121"/>
    </row>
    <row r="24" spans="1:36" ht="14">
      <c r="A24" s="3284" t="s">
        <v>1298</v>
      </c>
      <c r="B24" s="1631" t="s">
        <v>1290</v>
      </c>
      <c r="C24" s="128">
        <f>IF(B30=0,0,D30)</f>
        <v>0</v>
      </c>
      <c r="D24" s="1637"/>
      <c r="E24" s="121"/>
      <c r="F24" s="121"/>
      <c r="G24" s="121"/>
      <c r="H24" s="121"/>
      <c r="I24" s="121"/>
    </row>
    <row r="25" spans="1:36" ht="14">
      <c r="A25" s="3285"/>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1303</v>
      </c>
      <c r="B30" s="134"/>
      <c r="C30" s="134"/>
      <c r="D30" s="134"/>
      <c r="E30" s="2126" t="s">
        <v>2131</v>
      </c>
      <c r="F30" s="121"/>
      <c r="G30" s="121"/>
      <c r="H30" s="121"/>
      <c r="I30" s="121"/>
    </row>
    <row r="31" spans="1:36" s="2132" customFormat="1" ht="26.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1304</v>
      </c>
      <c r="B32" s="1535"/>
      <c r="C32" s="136">
        <f ca="1">IF(D32="总价",G19-C24,G20-C25)</f>
        <v>3498</v>
      </c>
      <c r="D32" s="1641" t="s">
        <v>3491</v>
      </c>
      <c r="E32" s="121"/>
      <c r="F32" s="121"/>
      <c r="G32" s="121"/>
      <c r="H32" s="121"/>
      <c r="I32" s="121"/>
    </row>
    <row r="33" spans="1:15" ht="14">
      <c r="A33" s="740" t="s">
        <v>1305</v>
      </c>
      <c r="B33" s="123"/>
      <c r="C33" s="1642" t="s">
        <v>3492</v>
      </c>
      <c r="D33" s="1643"/>
      <c r="E33" s="1644" t="s">
        <v>1306</v>
      </c>
      <c r="F33" s="1645" t="str">
        <f>IF(D32="楼面单价","取值（单价）","取值（总价）")</f>
        <v>取值（总价）</v>
      </c>
      <c r="G33" s="121"/>
      <c r="H33" s="121"/>
      <c r="I33" s="121"/>
    </row>
    <row r="34" spans="1:15" ht="14">
      <c r="A34" s="1646"/>
      <c r="B34" s="1647" t="s">
        <v>1307</v>
      </c>
      <c r="C34" s="140">
        <f ca="1">IF(C33="自定义",F34,C32-C35)</f>
        <v>2773</v>
      </c>
      <c r="D34" s="808">
        <f ca="1">IF(C33="自定义",ROUND(C34/C32,3),IF(C33="收益比率",SUMIF(INDIRECT("'"&amp;D33&amp;"'"&amp;"!b:b"),"土地收益比率",INDIRECT("'"&amp;D33&amp;"'"&amp;"!c:c")),SUMIF(INDIRECT("'"&amp;D33&amp;"'"&amp;"!b:b"),"土地成本比率",INDIRECT("'"&amp;D33&amp;"'"&amp;"!c:c"))))</f>
        <v>0.79300000000000004</v>
      </c>
      <c r="E34" s="1648" t="s">
        <v>1308</v>
      </c>
      <c r="F34" s="1243">
        <f ca="1">C32-F35</f>
        <v>2773</v>
      </c>
      <c r="G34" s="121"/>
      <c r="H34" s="121"/>
      <c r="I34" s="121"/>
    </row>
    <row r="35" spans="1:15" ht="14.5" thickBot="1">
      <c r="A35" s="1649"/>
      <c r="B35" s="1650" t="s">
        <v>1309</v>
      </c>
      <c r="C35" s="1090">
        <f ca="1">IF(C33="自定义",F35,ROUND(C32*D35,0))</f>
        <v>725</v>
      </c>
      <c r="D35" s="1091">
        <f ca="1">IF(C33="自定义",ROUND(C35/C32,3),IF(C33="收益比率",SUMIF(INDIRECT("'"&amp;D33&amp;"'"&amp;"!b:b"),"建筑物收益比率",INDIRECT("'"&amp;D33&amp;"'"&amp;"!c:c")),SUMIF(INDIRECT("'"&amp;D33&amp;"'"&amp;"!b:b"),"建筑物成本比率",INDIRECT("'"&amp;D33&amp;"'"&amp;"!c:c"))))</f>
        <v>0.20699999999999999</v>
      </c>
      <c r="E35" s="1651" t="s">
        <v>1310</v>
      </c>
      <c r="F35" s="146">
        <f ca="1">成本法!C51</f>
        <v>725</v>
      </c>
      <c r="G35" s="121"/>
      <c r="H35" s="121"/>
      <c r="I35" s="121"/>
    </row>
    <row r="36" spans="1:15" ht="14.5" thickBot="1">
      <c r="A36" s="3304" t="s">
        <v>1311</v>
      </c>
      <c r="B36" s="1652" t="s">
        <v>1312</v>
      </c>
      <c r="C36" s="137"/>
      <c r="D36" s="1653"/>
      <c r="E36" s="1567"/>
      <c r="F36" s="1654"/>
      <c r="G36" s="121"/>
      <c r="H36" s="121"/>
      <c r="I36" s="121"/>
    </row>
    <row r="37" spans="1:15" ht="14.5" thickBot="1">
      <c r="A37" s="3305"/>
      <c r="B37" s="1555" t="s">
        <v>1313</v>
      </c>
      <c r="C37" s="139"/>
      <c r="D37" s="1071"/>
      <c r="E37" s="1071"/>
      <c r="F37" s="1654"/>
      <c r="G37" s="121"/>
      <c r="H37" s="121"/>
      <c r="I37" s="121"/>
    </row>
    <row r="38" spans="1:15" ht="14.5" thickBot="1">
      <c r="A38" s="3306"/>
      <c r="B38" s="1655" t="s">
        <v>1314</v>
      </c>
      <c r="C38" s="641"/>
      <c r="D38" s="1656" t="s">
        <v>1315</v>
      </c>
      <c r="E38" s="1071"/>
      <c r="F38" s="1654"/>
      <c r="G38" s="121"/>
      <c r="H38" s="121"/>
      <c r="I38" s="121"/>
    </row>
    <row r="39" spans="1:15" ht="14">
      <c r="A39" s="1633" t="s">
        <v>1316</v>
      </c>
      <c r="B39" s="1657" t="s">
        <v>1317</v>
      </c>
      <c r="C39" s="1658" t="s">
        <v>1318</v>
      </c>
      <c r="D39" s="1658" t="s">
        <v>1319</v>
      </c>
      <c r="E39" s="1659" t="s">
        <v>1320</v>
      </c>
      <c r="F39" s="1654"/>
      <c r="G39" s="121"/>
      <c r="H39" s="121"/>
      <c r="I39" s="121"/>
    </row>
    <row r="40" spans="1:15" ht="14">
      <c r="A40" s="1660" t="s">
        <v>1321</v>
      </c>
      <c r="B40" s="141"/>
      <c r="C40" s="142"/>
      <c r="D40" s="142"/>
      <c r="E40" s="143"/>
      <c r="F40" s="1654"/>
      <c r="G40" s="121"/>
      <c r="H40" s="121"/>
      <c r="I40" s="121"/>
    </row>
    <row r="41" spans="1:15" ht="14">
      <c r="A41" s="1660" t="s">
        <v>1322</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1323</v>
      </c>
      <c r="B44" s="1664"/>
      <c r="C44" s="1664"/>
      <c r="D44" s="1665"/>
      <c r="E44" s="1665"/>
      <c r="F44" s="1666"/>
      <c r="G44" s="1666"/>
      <c r="H44" s="1666"/>
      <c r="I44" s="1666"/>
      <c r="J44" s="1667" t="s">
        <v>1324</v>
      </c>
      <c r="K44" s="4"/>
      <c r="L44" s="4"/>
      <c r="M44" s="4"/>
      <c r="N44" s="4"/>
      <c r="O44" s="4"/>
    </row>
    <row r="45" spans="1:15" ht="14.25" customHeight="1" thickBot="1">
      <c r="A45" s="3281" t="s">
        <v>1325</v>
      </c>
      <c r="B45" s="3282"/>
      <c r="C45" s="3283"/>
      <c r="D45" s="147">
        <f ca="1">ROUND(H101*F45,0)</f>
        <v>3498</v>
      </c>
      <c r="E45" s="148" t="s">
        <v>1326</v>
      </c>
      <c r="F45" s="149">
        <v>1</v>
      </c>
      <c r="G45" s="150" t="s">
        <v>1327</v>
      </c>
      <c r="H45" s="121"/>
      <c r="I45" s="121"/>
      <c r="J45" s="3359" t="s">
        <v>1328</v>
      </c>
      <c r="K45" s="3359"/>
      <c r="L45" s="3359"/>
      <c r="M45" s="3359"/>
      <c r="N45" s="3359"/>
      <c r="O45" s="3359"/>
    </row>
    <row r="46" spans="1:15" ht="14.25" customHeight="1">
      <c r="A46" s="3278" t="s">
        <v>1329</v>
      </c>
      <c r="B46" s="3279"/>
      <c r="C46" s="3279"/>
      <c r="D46" s="3279"/>
      <c r="E46" s="3279"/>
      <c r="F46" s="3279"/>
      <c r="G46" s="3280"/>
      <c r="H46" s="1668"/>
      <c r="I46" s="151"/>
      <c r="J46" s="2308">
        <v>1</v>
      </c>
      <c r="K46" s="3340" t="s">
        <v>1330</v>
      </c>
      <c r="L46" s="3340"/>
      <c r="M46" s="3360"/>
      <c r="N46" s="3360"/>
      <c r="O46" s="3360"/>
    </row>
    <row r="47" spans="1:15" ht="12" customHeight="1">
      <c r="A47" s="152" t="s">
        <v>1331</v>
      </c>
      <c r="B47" s="153"/>
      <c r="C47" s="154"/>
      <c r="D47" s="1024" t="s">
        <v>1332</v>
      </c>
      <c r="E47" s="294" t="s">
        <v>1333</v>
      </c>
      <c r="F47" s="155" t="s">
        <v>1334</v>
      </c>
      <c r="G47" s="2331" t="s">
        <v>1335</v>
      </c>
      <c r="H47" s="2332"/>
      <c r="I47" s="151"/>
      <c r="J47" s="2308">
        <v>2</v>
      </c>
      <c r="K47" s="3340" t="s">
        <v>1336</v>
      </c>
      <c r="L47" s="3340"/>
      <c r="M47" s="3361">
        <f>'数据-取费表'!B2</f>
        <v>45924</v>
      </c>
      <c r="N47" s="3361"/>
      <c r="O47" s="3361"/>
    </row>
    <row r="48" spans="1:15" ht="26">
      <c r="A48" s="3309" t="s">
        <v>1337</v>
      </c>
      <c r="B48" s="3292"/>
      <c r="C48" s="329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1338</v>
      </c>
      <c r="H48" s="2335"/>
      <c r="I48" s="1668"/>
      <c r="J48" s="2308">
        <v>3</v>
      </c>
      <c r="K48" s="3340" t="s">
        <v>1339</v>
      </c>
      <c r="L48" s="3340"/>
      <c r="M48" s="3362">
        <f ca="1">H101</f>
        <v>3498</v>
      </c>
      <c r="N48" s="3362"/>
      <c r="O48" s="3362"/>
    </row>
    <row r="49" spans="1:35" ht="25.5" customHeight="1">
      <c r="A49" s="2151" t="s">
        <v>1340</v>
      </c>
      <c r="B49" s="3276" t="s">
        <v>1341</v>
      </c>
      <c r="C49" s="3276"/>
      <c r="D49" s="1478">
        <v>0</v>
      </c>
      <c r="E49" s="316" t="s">
        <v>1342</v>
      </c>
      <c r="F49" s="2231" t="s">
        <v>28</v>
      </c>
      <c r="G49" s="3346"/>
      <c r="H49" s="2133" t="s">
        <v>2133</v>
      </c>
      <c r="I49" s="2134"/>
      <c r="J49" s="2308">
        <v>4</v>
      </c>
      <c r="K49" s="3340" t="str">
        <f>IF(项目基本情况!E8="房地产抵押价值","房地产抵押价值","抵押担保权已注销时的房地产抵押价值")</f>
        <v>房地产抵押价值</v>
      </c>
      <c r="L49" s="3340"/>
      <c r="M49" s="3362">
        <f ca="1">IF(项目基本情况!E8="房地产抵押价值",H107,H109)</f>
        <v>3498</v>
      </c>
      <c r="N49" s="3362"/>
      <c r="O49" s="3362"/>
    </row>
    <row r="50" spans="1:35" ht="25.5" customHeight="1">
      <c r="A50" s="2336"/>
      <c r="B50" s="3276" t="s">
        <v>1343</v>
      </c>
      <c r="C50" s="3276"/>
      <c r="D50" s="2188"/>
      <c r="E50" s="323"/>
      <c r="F50" s="2231"/>
      <c r="G50" s="3347"/>
      <c r="H50" s="2135" t="s">
        <v>2134</v>
      </c>
      <c r="I50" s="2134"/>
      <c r="J50" s="3359" t="s">
        <v>1344</v>
      </c>
      <c r="K50" s="3359"/>
      <c r="L50" s="3359"/>
      <c r="M50" s="3359"/>
      <c r="N50" s="3359"/>
      <c r="O50" s="3359"/>
    </row>
    <row r="51" spans="1:35" ht="20.5" customHeight="1">
      <c r="A51" s="2337"/>
      <c r="B51" s="3276" t="s">
        <v>1345</v>
      </c>
      <c r="C51" s="3276"/>
      <c r="D51" s="1024"/>
      <c r="E51" s="319"/>
      <c r="F51" s="2231"/>
      <c r="G51" s="3348"/>
      <c r="H51" s="2135" t="s">
        <v>2135</v>
      </c>
      <c r="I51" s="2134"/>
      <c r="J51" s="2309" t="s">
        <v>1346</v>
      </c>
      <c r="K51" s="3340" t="s">
        <v>1347</v>
      </c>
      <c r="L51" s="3340"/>
      <c r="M51" s="2309" t="s">
        <v>1348</v>
      </c>
      <c r="N51" s="2309" t="s">
        <v>1349</v>
      </c>
      <c r="O51" s="2309" t="s">
        <v>1350</v>
      </c>
    </row>
    <row r="52" spans="1:35" ht="24" customHeight="1">
      <c r="A52" s="2152" t="s">
        <v>1351</v>
      </c>
      <c r="B52" s="3276" t="s">
        <v>1352</v>
      </c>
      <c r="C52" s="3276"/>
      <c r="D52" s="1024">
        <f ca="1">ROUND(D45*'数据-取费表'!B41/(1+'数据-取费表'!C42),0)</f>
        <v>187</v>
      </c>
      <c r="E52" s="1256" t="s">
        <v>1353</v>
      </c>
      <c r="F52" s="2338">
        <f>'数据-取费表'!B41</f>
        <v>5.6000000000000001E-2</v>
      </c>
      <c r="G52" s="2339"/>
      <c r="H52" s="2329"/>
      <c r="I52" s="1669"/>
      <c r="J52" s="2308">
        <v>1</v>
      </c>
      <c r="K52" s="3341" t="s">
        <v>1354</v>
      </c>
      <c r="L52" s="3341"/>
      <c r="M52" s="2310" t="b">
        <f>D48</f>
        <v>0</v>
      </c>
      <c r="N52" s="2308" t="str">
        <f>E48</f>
        <v>销售额×税（费）率</v>
      </c>
      <c r="O52" s="2311">
        <f>F48</f>
        <v>5.6000000000000001E-2</v>
      </c>
    </row>
    <row r="53" spans="1:35" ht="12" customHeight="1">
      <c r="A53" s="2152" t="s">
        <v>1355</v>
      </c>
      <c r="B53" s="3302" t="s">
        <v>2290</v>
      </c>
      <c r="C53" s="3303"/>
      <c r="D53" s="1024">
        <f ca="1">ROUND(D45*'数据-取费表'!B41/(1+'数据-取费表'!C42),0)</f>
        <v>187</v>
      </c>
      <c r="E53" s="1256" t="s">
        <v>1353</v>
      </c>
      <c r="F53" s="2338">
        <f>'数据-取费表'!B41</f>
        <v>5.6000000000000001E-2</v>
      </c>
      <c r="G53" s="2339"/>
      <c r="H53" s="2329"/>
      <c r="I53" s="1669"/>
      <c r="J53" s="2308">
        <v>2</v>
      </c>
      <c r="K53" s="3341" t="s">
        <v>1356</v>
      </c>
      <c r="L53" s="3341"/>
      <c r="M53" s="2310">
        <f t="shared" ref="M53:O54" ca="1" si="0">D55</f>
        <v>2</v>
      </c>
      <c r="N53" s="2308" t="str">
        <f t="shared" si="0"/>
        <v>销售额×税（费）率</v>
      </c>
      <c r="O53" s="2311" t="str">
        <f t="shared" si="0"/>
        <v>免征</v>
      </c>
    </row>
    <row r="54" spans="1:35" ht="12" customHeight="1">
      <c r="A54" s="2152" t="s">
        <v>1357</v>
      </c>
      <c r="B54" s="3302" t="s">
        <v>2291</v>
      </c>
      <c r="C54" s="3303"/>
      <c r="D54" s="1024">
        <f ca="1">C68</f>
        <v>187</v>
      </c>
      <c r="E54" s="319" t="s">
        <v>1358</v>
      </c>
      <c r="F54" s="2338">
        <f>'数据-取费表'!B41</f>
        <v>5.6000000000000001E-2</v>
      </c>
      <c r="G54" s="2339"/>
      <c r="H54" s="2340"/>
      <c r="I54" s="1669"/>
      <c r="J54" s="2308">
        <v>3</v>
      </c>
      <c r="K54" s="3341" t="s">
        <v>1359</v>
      </c>
      <c r="L54" s="3341"/>
      <c r="M54" s="2310">
        <f t="shared" ca="1" si="0"/>
        <v>1980</v>
      </c>
      <c r="N54" s="2308" t="str">
        <f t="shared" si="0"/>
        <v>增值额×税（费）率</v>
      </c>
      <c r="O54" s="2312" t="str">
        <f t="shared" si="0"/>
        <v>免征</v>
      </c>
    </row>
    <row r="55" spans="1:35" ht="24" customHeight="1">
      <c r="A55" s="3291" t="s">
        <v>1360</v>
      </c>
      <c r="B55" s="3292"/>
      <c r="C55" s="3292"/>
      <c r="D55" s="12">
        <f ca="1">IF(H55="个人住宅",0,ROUND(D45*I55,0))</f>
        <v>2</v>
      </c>
      <c r="E55" s="1256" t="s">
        <v>1361</v>
      </c>
      <c r="F55" s="2338" t="str">
        <f>IF(H55="正常",I55,"免征")</f>
        <v>免征</v>
      </c>
      <c r="G55" s="2339"/>
      <c r="H55" s="2335"/>
      <c r="I55" s="157">
        <f>'数据-取费表'!B49</f>
        <v>5.0000000000000001E-4</v>
      </c>
      <c r="J55" s="2308">
        <f>IF(H59="非个人房产","",4)</f>
        <v>4</v>
      </c>
      <c r="K55" s="3341" t="str">
        <f>IF(H59="非个人房产","——","个人所得税")</f>
        <v>个人所得税</v>
      </c>
      <c r="L55" s="3341"/>
      <c r="M55" s="2313">
        <f ca="1">D59</f>
        <v>33</v>
      </c>
      <c r="N55" s="1883" t="str">
        <f>E59</f>
        <v>差额计税</v>
      </c>
      <c r="O55" s="2314">
        <f>F59</f>
        <v>0.01</v>
      </c>
    </row>
    <row r="56" spans="1:35" ht="26">
      <c r="A56" s="3291" t="s">
        <v>1362</v>
      </c>
      <c r="B56" s="3292"/>
      <c r="C56" s="3292"/>
      <c r="D56" s="12">
        <f ca="1">IF(H56="个人住宅",D57,D58)</f>
        <v>1980</v>
      </c>
      <c r="E56" s="1256" t="s">
        <v>1363</v>
      </c>
      <c r="F56" s="2338" t="str">
        <f>IF(H56="正常",F58,"免征")</f>
        <v>免征</v>
      </c>
      <c r="G56" s="2341" t="s">
        <v>1364</v>
      </c>
      <c r="H56" s="2342"/>
      <c r="I56" s="1670"/>
      <c r="J56" s="2308" t="str">
        <f>IF(项目基本情况!K6="上海银行",IF(J55="",4,J55+1),"")</f>
        <v/>
      </c>
      <c r="K56" s="3364" t="str">
        <f>IF(项目基本情况!K6="上海银行","其他处置费用","")</f>
        <v/>
      </c>
      <c r="L56" s="3365"/>
      <c r="M56" s="2310" t="str">
        <f>IF(项目基本情况!K6="上海银行",M69,"")</f>
        <v/>
      </c>
      <c r="N56" s="3364" t="str">
        <f>IF(项目基本情况!K6="上海银行","包含处置中涉及的律师、诉讼、拍卖、评估等费用","")</f>
        <v/>
      </c>
      <c r="O56" s="3367"/>
    </row>
    <row r="57" spans="1:35" ht="13">
      <c r="A57" s="2152" t="s">
        <v>1340</v>
      </c>
      <c r="B57" s="3302" t="s">
        <v>1365</v>
      </c>
      <c r="C57" s="3303"/>
      <c r="D57" s="1478">
        <v>0</v>
      </c>
      <c r="E57" s="316" t="s">
        <v>1342</v>
      </c>
      <c r="F57" s="294"/>
      <c r="G57" s="2339"/>
      <c r="H57" s="2343"/>
      <c r="I57" s="1670"/>
      <c r="J57" s="3341">
        <f>IF(AND(J55="",J56=""),4,IF(项目基本情况!K6="上海银行",结果表!J56+1,结果表!J55+1))</f>
        <v>5</v>
      </c>
      <c r="K57" s="3341" t="s">
        <v>1366</v>
      </c>
      <c r="L57" s="2315" t="s">
        <v>1367</v>
      </c>
      <c r="M57" s="2316"/>
      <c r="N57" s="2317">
        <f ca="1">SUMIF(M52:M56,"&lt;9e307")</f>
        <v>2015</v>
      </c>
      <c r="O57" s="2318"/>
      <c r="P57" s="2462">
        <f ca="1">N57/M49</f>
        <v>0.57604345340194396</v>
      </c>
    </row>
    <row r="58" spans="1:35" ht="26">
      <c r="A58" s="2152" t="s">
        <v>1351</v>
      </c>
      <c r="B58" s="3302" t="s">
        <v>1368</v>
      </c>
      <c r="C58" s="3276"/>
      <c r="D58" s="12">
        <f ca="1">IF(H58="转让取得",C81,C97)</f>
        <v>1980</v>
      </c>
      <c r="E58" s="1256" t="s">
        <v>1363</v>
      </c>
      <c r="F58" s="294" t="s">
        <v>28</v>
      </c>
      <c r="G58" s="2339"/>
      <c r="H58" s="2342"/>
      <c r="I58" s="1670"/>
      <c r="J58" s="3341"/>
      <c r="K58" s="3341"/>
      <c r="L58" s="2315" t="s">
        <v>1369</v>
      </c>
      <c r="M58" s="2319"/>
      <c r="N58" s="2320" t="str">
        <f ca="1">NUMBERSTRING(INT(N57*10000),2)&amp;"元整"</f>
        <v>贰仟零壹拾伍万元整</v>
      </c>
      <c r="O58" s="2321"/>
    </row>
    <row r="59" spans="1:35" ht="26.5" thickBot="1">
      <c r="A59" s="3344" t="s">
        <v>1370</v>
      </c>
      <c r="B59" s="3345"/>
      <c r="C59" s="3345"/>
      <c r="D59" s="2344">
        <f ca="1">IF(H59="非个人房产","——",IF(H59="个人住宅（满五唯一有凭证）",0,IF(H59="个人其他（无凭证）",ROUND(D45/(1+'数据-取费表'!C42)*F59,0),ROUND(C67*F59,0))))</f>
        <v>33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7"/>
      <c r="I59" s="2136" t="s">
        <v>2136</v>
      </c>
      <c r="J59" s="3342">
        <f>J57+1</f>
        <v>6</v>
      </c>
      <c r="K59" s="3341" t="s">
        <v>1371</v>
      </c>
      <c r="L59" s="2308" t="s">
        <v>1367</v>
      </c>
      <c r="M59" s="2322"/>
      <c r="N59" s="2323">
        <f ca="1">M49-N57</f>
        <v>1483</v>
      </c>
      <c r="O59" s="2324"/>
    </row>
    <row r="60" spans="1:35" ht="12" customHeight="1">
      <c r="A60" s="1671"/>
      <c r="B60" s="646"/>
      <c r="C60" s="646"/>
      <c r="D60" s="646"/>
      <c r="E60" s="1466"/>
      <c r="F60" s="1670"/>
      <c r="G60" s="1670"/>
      <c r="H60" s="151"/>
      <c r="I60" s="121"/>
      <c r="J60" s="3343"/>
      <c r="K60" s="3341"/>
      <c r="L60" s="2315" t="s">
        <v>1369</v>
      </c>
      <c r="M60" s="2319"/>
      <c r="N60" s="2320" t="str">
        <f ca="1">NUMBERSTRING(INT(N59*10000),2)&amp;"元整"</f>
        <v>壹仟肆佰捌拾叁万元整</v>
      </c>
      <c r="O60" s="2321"/>
    </row>
    <row r="61" spans="1:35" ht="13.5" thickBot="1">
      <c r="A61" s="3289" t="s">
        <v>1372</v>
      </c>
      <c r="B61" s="3289"/>
      <c r="C61" s="3289"/>
      <c r="D61" s="3289"/>
      <c r="E61" s="3289"/>
      <c r="F61" s="1670"/>
      <c r="G61" s="1670"/>
      <c r="H61" s="151"/>
      <c r="I61" s="121"/>
      <c r="J61" s="2308">
        <f>J59+1</f>
        <v>7</v>
      </c>
      <c r="K61" s="3341" t="s">
        <v>1373</v>
      </c>
      <c r="L61" s="3341"/>
      <c r="M61" s="2325"/>
      <c r="N61" s="2326">
        <f ca="1">ROUND(N59*10000/'数据-汇总表'!E3,0)</f>
        <v>6572</v>
      </c>
      <c r="O61" s="2327"/>
    </row>
    <row r="62" spans="1:35" ht="13">
      <c r="A62" s="3307" t="s">
        <v>1374</v>
      </c>
      <c r="B62" s="3308"/>
      <c r="C62" s="1865"/>
      <c r="D62" s="1865" t="s">
        <v>1375</v>
      </c>
      <c r="E62" s="158" t="s">
        <v>1376</v>
      </c>
      <c r="F62" s="1670"/>
      <c r="G62" s="1670"/>
      <c r="H62" s="151"/>
      <c r="I62" s="121"/>
    </row>
    <row r="63" spans="1:35" ht="13">
      <c r="A63" s="165" t="s">
        <v>330</v>
      </c>
      <c r="B63" s="159" t="s">
        <v>1377</v>
      </c>
      <c r="C63" s="2348">
        <f ca="1">ROUND((C64+C65)/(1+'数据-取费表'!C42),0)</f>
        <v>3331</v>
      </c>
      <c r="D63" s="159"/>
      <c r="E63" s="160"/>
      <c r="F63" s="1670"/>
      <c r="G63" s="1670"/>
      <c r="H63" s="151"/>
      <c r="I63" s="121"/>
      <c r="J63" s="3366" t="s">
        <v>1378</v>
      </c>
      <c r="K63" s="1245" t="s">
        <v>1379</v>
      </c>
      <c r="L63" s="1245">
        <f ca="1">IF(M49&gt;10000,M49*0.5%,IF(AND(M49&gt;1000,M49&lt;=10000),M49*1%,IF(AND(M49&gt;100,M49&lt;=1000),M49*3%,IF(AND(M49&gt;10,M49&lt;=100),M49*5%,M49*8%))))</f>
        <v>34.980000000000004</v>
      </c>
      <c r="M63" s="294">
        <f ca="1">ROUND(L63,1)</f>
        <v>35</v>
      </c>
      <c r="N63" s="2328"/>
      <c r="Z63" s="1623"/>
      <c r="AI63" s="1561"/>
    </row>
    <row r="64" spans="1:35" ht="14.25" customHeight="1">
      <c r="A64" s="161" t="s">
        <v>325</v>
      </c>
      <c r="B64" s="162" t="s">
        <v>1380</v>
      </c>
      <c r="C64" s="2349">
        <f ca="1">D45</f>
        <v>3498</v>
      </c>
      <c r="D64" s="162" t="s">
        <v>26</v>
      </c>
      <c r="E64" s="164"/>
      <c r="F64" s="1670"/>
      <c r="G64" s="1670"/>
      <c r="H64" s="151"/>
      <c r="I64" s="121"/>
      <c r="J64" s="3366"/>
      <c r="K64" s="1245" t="s">
        <v>1381</v>
      </c>
      <c r="L64" s="1245">
        <f ca="1">IF(M49&gt;2000,M49*0.5%,IF(AND(M49&gt;1000,M49&lt;=2000),M49*0.6%,IF(AND(M49&gt;500,M49&lt;=1000),M49*0.7%,IF(AND(M49&gt;200,M49&lt;=500),M49*0.8%,IF(AND(M49&gt;100,M49&lt;=200),M49*0.9%,IF(AND(M49&gt;50,M49&lt;=100),M49*1%,IF(AND(M49&gt;20,M49&lt;=50),M49*1.5%,IF(AND(M49&gt;10,M49&lt;=20),M49*2%,IF(AND(M49&gt;1,M49&lt;=10),M49*2.5%)))))))))</f>
        <v>17.490000000000002</v>
      </c>
      <c r="M64" s="294">
        <f t="shared" ref="M64:M65" ca="1" si="1">ROUND(L64,1)</f>
        <v>17.5</v>
      </c>
      <c r="N64" s="2329" t="s">
        <v>1382</v>
      </c>
      <c r="Z64" s="1623"/>
      <c r="AI64" s="1561"/>
    </row>
    <row r="65" spans="1:35" ht="14.25" customHeight="1">
      <c r="A65" s="161" t="s">
        <v>326</v>
      </c>
      <c r="B65" s="162" t="s">
        <v>1383</v>
      </c>
      <c r="C65" s="2350"/>
      <c r="D65" s="162"/>
      <c r="E65" s="164"/>
      <c r="F65" s="1670"/>
      <c r="G65" s="1670"/>
      <c r="H65" s="151"/>
      <c r="I65" s="121"/>
      <c r="J65" s="3366"/>
      <c r="K65" s="1245" t="s">
        <v>1384</v>
      </c>
      <c r="L65" s="1245">
        <f ca="1">IF(M49&gt;1000,M49*0.1%,IF(AND(M49&gt;500,M49&lt;=1000),M49*0.5%,IF(AND(M49&gt;50,M49&lt;=500),M49*1%,IF(AND(M49&gt;1,M49&lt;=50),M49*1.5%))))</f>
        <v>3.4980000000000002</v>
      </c>
      <c r="M65" s="294">
        <f t="shared" ca="1" si="1"/>
        <v>3.5</v>
      </c>
      <c r="N65" s="2329" t="s">
        <v>1382</v>
      </c>
      <c r="Z65" s="1623"/>
      <c r="AI65" s="1561"/>
    </row>
    <row r="66" spans="1:35" ht="14.25" customHeight="1">
      <c r="A66" s="165" t="s">
        <v>327</v>
      </c>
      <c r="B66" s="166" t="s">
        <v>1385</v>
      </c>
      <c r="C66" s="2351"/>
      <c r="D66" s="166" t="s">
        <v>26</v>
      </c>
      <c r="E66" s="1251" t="s">
        <v>670</v>
      </c>
      <c r="F66" s="1670"/>
      <c r="G66" s="1670"/>
      <c r="H66" s="151"/>
      <c r="I66" s="121"/>
      <c r="J66" s="3366"/>
      <c r="K66" s="1245" t="s">
        <v>1386</v>
      </c>
      <c r="L66" s="1245">
        <f ca="1">M49*0.5%</f>
        <v>17.490000000000002</v>
      </c>
      <c r="M66" s="294">
        <f ca="1">IF(L66&gt;0.5,0.5,ROUND(L66,0))</f>
        <v>0.5</v>
      </c>
      <c r="N66" s="2329" t="s">
        <v>1387</v>
      </c>
      <c r="Z66" s="1623"/>
      <c r="AI66" s="1561"/>
    </row>
    <row r="67" spans="1:35" ht="14.25" customHeight="1">
      <c r="A67" s="165" t="s">
        <v>328</v>
      </c>
      <c r="B67" s="166" t="s">
        <v>1388</v>
      </c>
      <c r="C67" s="2352">
        <f ca="1">C63-C66</f>
        <v>3331</v>
      </c>
      <c r="D67" s="162" t="s">
        <v>26</v>
      </c>
      <c r="E67" s="164"/>
      <c r="F67" s="1670"/>
      <c r="G67" s="1670"/>
      <c r="H67" s="151"/>
      <c r="I67" s="121"/>
      <c r="J67" s="3366"/>
      <c r="K67" s="1245" t="s">
        <v>1389</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1390</v>
      </c>
      <c r="C68" s="2353">
        <f ca="1">IF(C67&lt;=0,0,ROUND(C67*D68,0))</f>
        <v>187</v>
      </c>
      <c r="D68" s="2354">
        <f>'数据-取费表'!B41</f>
        <v>5.6000000000000001E-2</v>
      </c>
      <c r="E68" s="170"/>
      <c r="F68" s="1670"/>
      <c r="G68" s="1670"/>
      <c r="H68" s="151"/>
      <c r="I68" s="121"/>
      <c r="J68" s="3366"/>
      <c r="K68" s="1245" t="s">
        <v>1391</v>
      </c>
      <c r="L68" s="1245">
        <f ca="1">IF(M49&gt;10000,M49*0.5%,IF(AND(M49&gt;5000,M49&lt;=10000),M49*1%,IF(AND(M49&gt;1000,M49&lt;=5000),M49*2%,IF(AND(M49&gt;200,M49&lt;=1000),M49*3%,M49*5%))))</f>
        <v>69.960000000000008</v>
      </c>
      <c r="M68" s="294">
        <f ca="1">ROUND(L68,1)</f>
        <v>70</v>
      </c>
      <c r="N68" s="2328"/>
      <c r="Z68" s="1623"/>
      <c r="AI68" s="1561"/>
    </row>
    <row r="69" spans="1:35" ht="16.5" customHeight="1">
      <c r="A69" s="1672"/>
      <c r="B69" s="1673"/>
      <c r="C69" s="1674"/>
      <c r="D69" s="1675"/>
      <c r="E69" s="1676"/>
      <c r="F69" s="1466"/>
      <c r="G69" s="1466"/>
      <c r="H69" s="1467"/>
      <c r="I69" s="646"/>
      <c r="J69" s="3366"/>
      <c r="K69" s="1245" t="s">
        <v>1392</v>
      </c>
      <c r="L69" s="1245"/>
      <c r="M69" s="294">
        <f ca="1">ROUND(SUM(M63:M68),0)</f>
        <v>129</v>
      </c>
      <c r="N69" s="2330">
        <f ca="1">M69/M49</f>
        <v>3.687821612349914E-2</v>
      </c>
      <c r="Z69" s="1623"/>
      <c r="AI69" s="1561"/>
    </row>
    <row r="70" spans="1:35" s="642" customFormat="1" ht="14.5" thickBot="1">
      <c r="A70" s="3328" t="s">
        <v>1393</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7" t="s">
        <v>1374</v>
      </c>
      <c r="B71" s="3308"/>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1394</v>
      </c>
      <c r="C72" s="2352">
        <f ca="1">ROUND(D45/(1+'数据-取费表'!C42),0)</f>
        <v>3331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1395</v>
      </c>
      <c r="C73" s="2352">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1397</v>
      </c>
      <c r="C75" s="2355"/>
      <c r="D75" s="162" t="s">
        <v>26</v>
      </c>
      <c r="E75" s="176" t="s">
        <v>1398</v>
      </c>
      <c r="F75" s="2356"/>
      <c r="G75" s="176" t="s">
        <v>1399</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8">
        <v>0.05</v>
      </c>
      <c r="E76" s="3302" t="s">
        <v>1401</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59">
        <f>'数据-取费表'!B48+'数据-取费表'!B49</f>
        <v>3.0499999999999999E-2</v>
      </c>
      <c r="E77" s="12" t="s">
        <v>1403</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0">
        <f ca="1">ROUND(D45*D78/(1+'数据-取费表'!C42),0)</f>
        <v>20</v>
      </c>
      <c r="D78" s="2361">
        <f>'数据-取费表'!B43</f>
        <v>6.000000000000001E-3</v>
      </c>
      <c r="E78" s="3286" t="s">
        <v>1405</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1406</v>
      </c>
      <c r="C79" s="2352">
        <f ca="1">C72-C73</f>
        <v>3311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1407</v>
      </c>
      <c r="C80" s="2362">
        <f ca="1">IF(C79&lt;=0,0,C79/C73)</f>
        <v>165.55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1408</v>
      </c>
      <c r="C81" s="2363">
        <f ca="1">ROUND(IF(C79&lt;=0,0,IF(C80&gt;=200%,C79*60%-C73*35%,IF(C80&gt;=100%,C79*50%-C73*15%,IF(C80&gt;=50%,C79*40%-C73*5%,IF(C80&lt;50%,C79*30%,0))))),0)</f>
        <v>1980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8" t="s">
        <v>1409</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7" t="s">
        <v>1374</v>
      </c>
      <c r="B84" s="3308"/>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1394</v>
      </c>
      <c r="C85" s="2352">
        <f ca="1">ROUND(D45/(1+'数据-取费表'!C42),0)</f>
        <v>3331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1395</v>
      </c>
      <c r="C86" s="2352">
        <f ca="1">IF(H88="仅含出让金",C87+C90+C91+C92+C93+C94,C87+C91+C92+C93+C94)</f>
        <v>20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1410</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1411</v>
      </c>
      <c r="C88" s="2366"/>
      <c r="D88" s="2361"/>
      <c r="E88" s="185" t="s">
        <v>1412</v>
      </c>
      <c r="F88" s="2147"/>
      <c r="G88" s="186" t="s">
        <v>1413</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1402</v>
      </c>
      <c r="C89" s="2360">
        <f>ROUND(C88*D89,0)</f>
        <v>0</v>
      </c>
      <c r="D89" s="2361">
        <f>'数据-取费表'!B48+'数据-取费表'!B49</f>
        <v>3.0499999999999999E-2</v>
      </c>
      <c r="E89" s="185" t="s">
        <v>1414</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1415</v>
      </c>
      <c r="C90" s="2366"/>
      <c r="D90" s="2361"/>
      <c r="E90" s="185" t="str">
        <f>IF(H88="-","土地取得成本中已包含该笔费用"," ")</f>
        <v xml:space="preserve"> </v>
      </c>
      <c r="F90" s="2147"/>
      <c r="G90" s="3368" t="s">
        <v>2128</v>
      </c>
      <c r="H90" s="3369"/>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0">
        <f>IF(H91="——",成本法!C33,I91)</f>
        <v>0</v>
      </c>
      <c r="D91" s="2361"/>
      <c r="E91" s="3286" t="s">
        <v>1418</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0">
        <f>ROUND((C87+C90+C91)*D92,0)</f>
        <v>0</v>
      </c>
      <c r="D92" s="2367"/>
      <c r="E92" s="3286" t="s">
        <v>1421</v>
      </c>
      <c r="F92" s="3287"/>
      <c r="G92" s="3287"/>
      <c r="H92" s="3296"/>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0">
        <f ca="1">ROUND(D45*D93/(1+'数据-取费表'!C42),0)</f>
        <v>20</v>
      </c>
      <c r="D93" s="2361">
        <f>'数据-取费表'!B43</f>
        <v>6.000000000000001E-3</v>
      </c>
      <c r="E93" s="3286" t="s">
        <v>1405</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6">
        <f>ROUND((C87+C90+C91)*D94,0)</f>
        <v>0</v>
      </c>
      <c r="D94" s="2361">
        <v>0.2</v>
      </c>
      <c r="E94" s="3297" t="s">
        <v>1425</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1406</v>
      </c>
      <c r="C95" s="2352">
        <f ca="1">ROUND(C85-C86,0)</f>
        <v>3311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1407</v>
      </c>
      <c r="C96" s="2362">
        <f ca="1">IF(C95&lt;=0,0,C95/C86)</f>
        <v>165.55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1408</v>
      </c>
      <c r="C97" s="2363">
        <f ca="1">ROUND(IF(C95&lt;=0,0,IF(C96&gt;=200%,C95*60%-C86*35%,IF(C96&gt;=100%,C95*50%-C86*15%,IF(C96&gt;=50%,C95*40%-C86*5%,IF(C96&lt;50%,C95*30%,0))))),0)</f>
        <v>1980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70" t="s">
        <v>1427</v>
      </c>
      <c r="B100" s="3271"/>
      <c r="C100" s="3271"/>
      <c r="D100" s="3288"/>
      <c r="E100" s="3271" t="s">
        <v>1428</v>
      </c>
      <c r="F100" s="3271"/>
      <c r="G100" s="3271"/>
      <c r="H100" s="3288"/>
      <c r="I100" s="121"/>
    </row>
    <row r="101" spans="1:35" ht="18.75" customHeight="1">
      <c r="A101" s="3349" t="s">
        <v>1429</v>
      </c>
      <c r="B101" s="3350"/>
      <c r="C101" s="2369" t="str">
        <f>C4</f>
        <v>成本法</v>
      </c>
      <c r="D101" s="2370" t="str">
        <f>D4</f>
        <v>收益法</v>
      </c>
      <c r="E101" s="3363" t="s">
        <v>1430</v>
      </c>
      <c r="F101" s="3320"/>
      <c r="G101" s="1687" t="s">
        <v>1431</v>
      </c>
      <c r="H101" s="2379">
        <f ca="1">H118</f>
        <v>3498</v>
      </c>
      <c r="I101" s="121"/>
    </row>
    <row r="102" spans="1:35" ht="18.75" customHeight="1">
      <c r="A102" s="3322" t="s">
        <v>1432</v>
      </c>
      <c r="B102" s="2368" t="s">
        <v>1431</v>
      </c>
      <c r="C102" s="2369">
        <f ca="1">IF(D32="楼面单价",ROUND(C19,0),C19)</f>
        <v>6239</v>
      </c>
      <c r="D102" s="2370">
        <f ca="1">IF(D32="楼面单价",ROUND(D19,0),D19)</f>
        <v>1670</v>
      </c>
      <c r="E102" s="3363"/>
      <c r="F102" s="3320"/>
      <c r="G102" s="1687" t="s">
        <v>1433</v>
      </c>
      <c r="H102" s="2339">
        <f ca="1">I118</f>
        <v>15503</v>
      </c>
      <c r="I102" s="121"/>
    </row>
    <row r="103" spans="1:35" ht="42.75" customHeight="1">
      <c r="A103" s="3322"/>
      <c r="B103" s="2368" t="s">
        <v>1433</v>
      </c>
      <c r="C103" s="2371">
        <f ca="1">C20</f>
        <v>27650</v>
      </c>
      <c r="D103" s="2372">
        <f ca="1">D20</f>
        <v>7401</v>
      </c>
      <c r="E103" s="3357" t="s">
        <v>1434</v>
      </c>
      <c r="F103" s="3358"/>
      <c r="G103" s="1688" t="s">
        <v>1435</v>
      </c>
      <c r="H103" s="2379">
        <f>IF(D36="正常操作",H104+H105+H106,H105+H106)</f>
        <v>0</v>
      </c>
      <c r="I103" s="121"/>
    </row>
    <row r="104" spans="1:35" ht="18.75" customHeight="1">
      <c r="A104" s="3322" t="s">
        <v>1436</v>
      </c>
      <c r="B104" s="2373" t="s">
        <v>1431</v>
      </c>
      <c r="C104" s="2374">
        <f ca="1">H118</f>
        <v>3498</v>
      </c>
      <c r="D104" s="2375"/>
      <c r="E104" s="1555" t="s">
        <v>1437</v>
      </c>
      <c r="F104" s="1548"/>
      <c r="G104" s="1688" t="s">
        <v>1435</v>
      </c>
      <c r="H104" s="2380">
        <f>IF(D36="同一抵押权人同一抵押物续贷",C36&amp;"（续贷，未扣减，详见特别提示）",C36)</f>
        <v>0</v>
      </c>
      <c r="I104" s="121"/>
    </row>
    <row r="105" spans="1:35" ht="18.75" customHeight="1" thickBot="1">
      <c r="A105" s="3323"/>
      <c r="B105" s="2376" t="s">
        <v>1433</v>
      </c>
      <c r="C105" s="2377">
        <f ca="1">I118</f>
        <v>15503</v>
      </c>
      <c r="D105" s="2378"/>
      <c r="E105" s="1555" t="s">
        <v>1438</v>
      </c>
      <c r="F105" s="1548"/>
      <c r="G105" s="1688" t="s">
        <v>1435</v>
      </c>
      <c r="H105" s="2381">
        <f>C37</f>
        <v>0</v>
      </c>
      <c r="I105" s="121"/>
    </row>
    <row r="106" spans="1:35" ht="18.75" customHeight="1">
      <c r="A106" s="646" t="s">
        <v>1439</v>
      </c>
      <c r="B106" s="646"/>
      <c r="C106" s="646"/>
      <c r="D106" s="646"/>
      <c r="E106" s="1689" t="s">
        <v>1440</v>
      </c>
      <c r="F106" s="1548"/>
      <c r="G106" s="1688" t="s">
        <v>1435</v>
      </c>
      <c r="H106" s="2381">
        <f>C38</f>
        <v>0</v>
      </c>
      <c r="I106" s="121"/>
    </row>
    <row r="107" spans="1:35" ht="18.75" customHeight="1">
      <c r="A107" s="121"/>
      <c r="B107" s="121"/>
      <c r="C107" s="121"/>
      <c r="D107" s="121"/>
      <c r="E107" s="3319" t="str">
        <f>IF(项目基本情况!E8="已注销","——","3.房地产抵押价值")</f>
        <v>3.房地产抵押价值</v>
      </c>
      <c r="F107" s="3320"/>
      <c r="G107" s="1687" t="s">
        <v>1431</v>
      </c>
      <c r="H107" s="2379">
        <f ca="1">IF(E107="——","——",H101-H103)</f>
        <v>3498</v>
      </c>
      <c r="I107" s="121"/>
    </row>
    <row r="108" spans="1:35" ht="18.75" customHeight="1">
      <c r="A108" s="121"/>
      <c r="B108" s="121"/>
      <c r="C108" s="121"/>
      <c r="D108" s="121"/>
      <c r="E108" s="3319"/>
      <c r="F108" s="3320"/>
      <c r="G108" s="1687" t="s">
        <v>1433</v>
      </c>
      <c r="H108" s="2339">
        <f ca="1">IF(H107=H101,H102,ROUND(H107*10000/'数据-汇总表'!E3,0))</f>
        <v>15503</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1431</v>
      </c>
      <c r="H109" s="2382" t="str">
        <f>IF(E109="——","——",H101-H105-H106)</f>
        <v>——</v>
      </c>
      <c r="I109" s="121"/>
    </row>
    <row r="110" spans="1:35" ht="18.75" customHeight="1">
      <c r="A110" s="121"/>
      <c r="B110" s="121"/>
      <c r="C110" s="121"/>
      <c r="D110" s="121"/>
      <c r="E110" s="3319"/>
      <c r="F110" s="3320"/>
      <c r="G110" s="1687" t="s">
        <v>1433</v>
      </c>
      <c r="H110" s="2339"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1431</v>
      </c>
      <c r="H111" s="2379" t="str">
        <f>IF(E111="——","——",N59)</f>
        <v>——</v>
      </c>
      <c r="I111" s="121"/>
    </row>
    <row r="112" spans="1:35" ht="18.75" customHeight="1" thickBot="1">
      <c r="A112" s="121"/>
      <c r="B112" s="121"/>
      <c r="C112" s="121"/>
      <c r="D112" s="121"/>
      <c r="E112" s="3352"/>
      <c r="F112" s="3353"/>
      <c r="G112" s="1690" t="s">
        <v>1433</v>
      </c>
      <c r="H112" s="2383" t="str">
        <f>IF(E111="——","——",N61)</f>
        <v>——</v>
      </c>
      <c r="I112" s="121"/>
    </row>
    <row r="113" spans="1:27" ht="18.75" customHeight="1">
      <c r="A113" s="121"/>
      <c r="B113" s="121"/>
      <c r="C113" s="121"/>
      <c r="D113" s="121"/>
      <c r="E113" s="3324" t="s">
        <v>1439</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1441</v>
      </c>
      <c r="B115" s="3335"/>
      <c r="C115" s="3335"/>
      <c r="D115" s="3335"/>
      <c r="E115" s="3335"/>
      <c r="F115" s="3335"/>
      <c r="G115" s="3335"/>
      <c r="H115" s="3335"/>
      <c r="I115" s="3336"/>
    </row>
    <row r="116" spans="1:27" ht="27" customHeight="1">
      <c r="A116" s="3290" t="s">
        <v>1442</v>
      </c>
      <c r="B116" s="3325" t="s">
        <v>1443</v>
      </c>
      <c r="C116" s="3325" t="s">
        <v>1444</v>
      </c>
      <c r="D116" s="3338" t="s">
        <v>1445</v>
      </c>
      <c r="E116" s="3339"/>
      <c r="F116" s="3333" t="s">
        <v>1446</v>
      </c>
      <c r="G116" s="3333"/>
      <c r="H116" s="3290" t="s">
        <v>1447</v>
      </c>
      <c r="I116" s="3290"/>
    </row>
    <row r="117" spans="1:27" ht="18.75" customHeight="1">
      <c r="A117" s="3290"/>
      <c r="B117" s="3326"/>
      <c r="C117" s="3326"/>
      <c r="D117" s="2149" t="s">
        <v>1448</v>
      </c>
      <c r="E117" s="2149" t="s">
        <v>1449</v>
      </c>
      <c r="F117" s="2149" t="s">
        <v>1448</v>
      </c>
      <c r="G117" s="2149" t="s">
        <v>1450</v>
      </c>
      <c r="H117" s="2149" t="s">
        <v>1448</v>
      </c>
      <c r="I117" s="2149" t="s">
        <v>1450</v>
      </c>
    </row>
    <row r="118" spans="1:27" ht="24.75" customHeight="1">
      <c r="A118" s="2384" t="str">
        <f>项目基本情况!S2</f>
        <v>北京市密云县新南路甲52号院1号楼等3幢房地产</v>
      </c>
      <c r="B118" s="2149">
        <f>M18</f>
        <v>2256.4</v>
      </c>
      <c r="C118" s="2149">
        <f>M19</f>
        <v>5851.68</v>
      </c>
      <c r="D118" s="2149">
        <f ca="1">ROUND(IF(D32="总价",C34,E118*B118/10000),0)</f>
        <v>2773</v>
      </c>
      <c r="E118" s="2149">
        <f ca="1">ROUND(IF(C33="自定义",IF(D32="楼面单价",C34,D118*10000/B118),I118-G118),0)</f>
        <v>12289</v>
      </c>
      <c r="F118" s="2149">
        <f ca="1">ROUND(IF(D32="总价",C35,G118*B118/10000),0)</f>
        <v>725</v>
      </c>
      <c r="G118" s="2149">
        <f ca="1">ROUND(IF(D32="楼面单价",C35,F118*10000/B118),0)</f>
        <v>3213</v>
      </c>
      <c r="H118" s="2149">
        <f ca="1">ROUND(IF(D32="总价",C32,I118*B118/10000),0)</f>
        <v>3498</v>
      </c>
      <c r="I118" s="2149">
        <f ca="1">ROUND(IF(D32="楼面单价",C32,H118*10000/B118),0)</f>
        <v>15503</v>
      </c>
    </row>
    <row r="119" spans="1:27" ht="18.75" customHeight="1">
      <c r="A119" s="3290" t="s">
        <v>1451</v>
      </c>
      <c r="B119" s="3290"/>
      <c r="C119" s="3290"/>
      <c r="D119" s="3330" t="str">
        <f ca="1">NUMBERSTRING(INT(D118*10000),2)&amp;"元整"</f>
        <v>贰仟柒佰柒拾叁万元整</v>
      </c>
      <c r="E119" s="3332"/>
      <c r="F119" s="3330" t="str">
        <f ca="1">NUMBERSTRING(INT(F118*10000),2)&amp;"元整"</f>
        <v>柒佰贰拾伍万元整</v>
      </c>
      <c r="G119" s="3332"/>
      <c r="H119" s="3330" t="str">
        <f ca="1">NUMBERSTRING(INT(H118*10000),2)&amp;"元整"</f>
        <v>叁仟肆佰玖拾捌万元整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1451</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3498</v>
      </c>
      <c r="E122" s="3355"/>
      <c r="F122" s="3355"/>
      <c r="G122" s="3355"/>
      <c r="H122" s="3355"/>
      <c r="I122" s="3356"/>
      <c r="AA122" s="684"/>
    </row>
    <row r="123" spans="1:27" ht="18.75" customHeight="1">
      <c r="A123" s="3290" t="s">
        <v>1451</v>
      </c>
      <c r="B123" s="3290"/>
      <c r="C123" s="3290"/>
      <c r="D123" s="3330" t="str">
        <f ca="1">NUMBERSTRING(INT(D122*10000),2)&amp;"元整"</f>
        <v>叁仟肆佰玖拾捌万元整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1451</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1451</v>
      </c>
      <c r="B127" s="3290"/>
      <c r="C127" s="3290"/>
      <c r="D127" s="3330" t="e">
        <f>NUMBERSTRING(INT(D126*10000),2)&amp;"元整"</f>
        <v>#VALUE!</v>
      </c>
      <c r="E127" s="3331"/>
      <c r="F127" s="3331"/>
      <c r="G127" s="3331"/>
      <c r="H127" s="3331"/>
      <c r="I127" s="3332"/>
      <c r="AA127" s="684"/>
    </row>
    <row r="128" spans="1:27" ht="21.75" customHeight="1">
      <c r="A128" s="3337" t="s">
        <v>1452</v>
      </c>
      <c r="B128" s="3337"/>
      <c r="C128" s="3337"/>
      <c r="D128" s="3337"/>
      <c r="E128" s="3337"/>
      <c r="F128" s="3337"/>
      <c r="G128" s="3337"/>
      <c r="H128" s="3337"/>
      <c r="I128" s="3337"/>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C7" sqref="C7"/>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1460</v>
      </c>
      <c r="B1" s="1374" t="s">
        <v>3486</v>
      </c>
      <c r="C1" s="190"/>
      <c r="D1" s="190"/>
      <c r="E1" s="190"/>
      <c r="F1" s="190"/>
      <c r="G1" s="1062">
        <f>MATCH(B1,'数据-取费表'!A6:A16,0)+5</f>
        <v>6</v>
      </c>
    </row>
    <row r="2" spans="1:9" s="192" customFormat="1" ht="18" customHeight="1">
      <c r="A2" s="193" t="s">
        <v>1461</v>
      </c>
      <c r="B2" s="194">
        <f ca="1">IF(D2="——",C52,C52-E2)</f>
        <v>6239</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27650</v>
      </c>
      <c r="C3" s="191" t="s">
        <v>1464</v>
      </c>
      <c r="D3" s="191"/>
      <c r="E3" s="191"/>
      <c r="F3" s="191"/>
      <c r="G3" s="191"/>
    </row>
    <row r="4" spans="1:9" s="200" customFormat="1" ht="16">
      <c r="A4" s="197" t="s">
        <v>1465</v>
      </c>
      <c r="B4" s="198"/>
      <c r="C4" s="198"/>
      <c r="D4" s="198"/>
      <c r="E4" s="198"/>
      <c r="F4" s="198"/>
      <c r="G4" s="199"/>
    </row>
    <row r="5" spans="1:9" s="206" customFormat="1" ht="13.5" customHeight="1">
      <c r="A5" s="247" t="s">
        <v>1466</v>
      </c>
      <c r="B5" s="202" t="s">
        <v>1467</v>
      </c>
      <c r="C5" s="203">
        <f ca="1">C6+C7+C8</f>
        <v>4505</v>
      </c>
      <c r="D5" s="203" t="s">
        <v>1468</v>
      </c>
      <c r="E5" s="204" t="s">
        <v>1469</v>
      </c>
      <c r="F5" s="204" t="s">
        <v>1470</v>
      </c>
      <c r="G5" s="205"/>
    </row>
    <row r="6" spans="1:9" s="206" customFormat="1" ht="13.5" customHeight="1">
      <c r="A6" s="732" t="s">
        <v>1471</v>
      </c>
      <c r="B6" s="207" t="s">
        <v>1472</v>
      </c>
      <c r="C6" s="208">
        <f>基准地价修正!B2</f>
        <v>4330</v>
      </c>
      <c r="D6" s="209"/>
      <c r="E6" s="210"/>
      <c r="F6" s="210"/>
      <c r="G6" s="211"/>
    </row>
    <row r="7" spans="1:9" s="206" customFormat="1" ht="13.5" customHeight="1">
      <c r="A7" s="732" t="s">
        <v>1473</v>
      </c>
      <c r="B7" s="207" t="s">
        <v>1474</v>
      </c>
      <c r="C7" s="212">
        <f>ROUND(C6*F7,0)</f>
        <v>132</v>
      </c>
      <c r="D7" s="212"/>
      <c r="E7" s="210"/>
      <c r="F7" s="213">
        <f>IF(项目基本情况!B8="出让",0,'数据-取费表'!B48+'数据-取费表'!B49)</f>
        <v>3.0499999999999999E-2</v>
      </c>
      <c r="G7" s="211"/>
    </row>
    <row r="8" spans="1:9" s="215" customFormat="1" ht="13">
      <c r="A8" s="732" t="s">
        <v>1475</v>
      </c>
      <c r="B8" s="207" t="s">
        <v>1476</v>
      </c>
      <c r="C8" s="212">
        <f ca="1">IF(G8="已包含在土地购买价格中","0",IF(B1="",'数据-取费表'!B29,IF(G9="全部缴纳",C9+C10,H9)))</f>
        <v>43</v>
      </c>
      <c r="D8" s="214"/>
      <c r="E8" s="212"/>
      <c r="F8" s="213"/>
      <c r="G8" s="1714" t="s">
        <v>3476</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150</v>
      </c>
      <c r="F9" s="213"/>
      <c r="G9" s="1715" t="s">
        <v>3489</v>
      </c>
      <c r="H9" s="1070"/>
      <c r="I9" s="1716" t="s">
        <v>1478</v>
      </c>
    </row>
    <row r="10" spans="1:9" s="206" customFormat="1" ht="13.5" customHeight="1">
      <c r="A10" s="733" t="s">
        <v>356</v>
      </c>
      <c r="B10" s="216" t="s">
        <v>1479</v>
      </c>
      <c r="C10" s="217">
        <f ca="1">ROUND(D10*E10/10000,0)</f>
        <v>43</v>
      </c>
      <c r="D10" s="795">
        <f ca="1">IF(B1="",'数据-汇总表'!E6,IF(INDIRECT("'数据-取费表'!c"&amp;$G$1)="住宅",INDIRECT("'数据-取费表'!s"&amp;$G$1),INDIRECT("'数据-取费表'!k"&amp;$G$1)+INDIRECT("'数据-取费表'!s"&amp;$G$1)))</f>
        <v>2256.4</v>
      </c>
      <c r="E10" s="217">
        <f>'数据-取费表'!B28</f>
        <v>190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2256.4</v>
      </c>
      <c r="E19" s="203">
        <f>'数据-取费表'!B31</f>
        <v>200</v>
      </c>
      <c r="F19" s="223"/>
      <c r="G19" s="1714" t="s">
        <v>3477</v>
      </c>
    </row>
    <row r="20" spans="1:7" s="206" customFormat="1" ht="13.5" customHeight="1">
      <c r="A20" s="247" t="s">
        <v>1492</v>
      </c>
      <c r="B20" s="202" t="s">
        <v>1493</v>
      </c>
      <c r="C20" s="224">
        <f ca="1">ROUND((C5+C19)*F20,0)</f>
        <v>90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136</v>
      </c>
      <c r="D22" s="227">
        <f ca="1">C26</f>
        <v>2.9999999999999997E-4</v>
      </c>
      <c r="E22" s="228" t="s">
        <v>1497</v>
      </c>
      <c r="F22" s="229">
        <f ca="1">'数据-取费表'!B40</f>
        <v>0.03</v>
      </c>
      <c r="G22" s="226" t="str">
        <f>IF('数据-取费表'!B22&lt;=1,"单利计息","复利计息")</f>
        <v>单利计息</v>
      </c>
    </row>
    <row r="23" spans="1:7" s="206" customFormat="1" ht="13.5" customHeight="1">
      <c r="A23" s="734" t="s">
        <v>1501</v>
      </c>
      <c r="B23" s="207" t="s">
        <v>1502</v>
      </c>
      <c r="C23" s="1042">
        <f ca="1">ROUND(IF('数据-取费表'!B22&lt;=1,C5*F22*'数据-取费表'!B23,C5*(POWER((1+F22),'数据-取费表'!B23)-1)),0)</f>
        <v>135</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6">
      <c r="A25" s="734" t="s">
        <v>1507</v>
      </c>
      <c r="B25" s="207" t="s">
        <v>1508</v>
      </c>
      <c r="C25" s="1042">
        <f ca="1">ROUND(IF('数据-取费表'!B22&lt;=1,C20*F22*'数据-取费表'!B23/2,C20*(POWER((1+F22),'数据-取费表'!B23/2)-1)),0)</f>
        <v>1</v>
      </c>
      <c r="D25" s="230"/>
      <c r="E25" s="233"/>
      <c r="F25" s="231"/>
      <c r="G25" s="234" t="s">
        <v>1509</v>
      </c>
    </row>
    <row r="26" spans="1:7" s="206" customFormat="1" ht="13">
      <c r="A26" s="734" t="s">
        <v>350</v>
      </c>
      <c r="B26" s="207" t="s">
        <v>1510</v>
      </c>
      <c r="C26" s="230">
        <f ca="1">ROUND(IF('数据-取费表'!B22&lt;=1,F21*F22*'数据-取费表'!B23/2,F21*(POWER((1+F22),'数据-取费表'!B23/2)-1)),4)</f>
        <v>2.9999999999999997E-4</v>
      </c>
      <c r="D26" s="230"/>
      <c r="E26" s="233"/>
      <c r="F26" s="231"/>
      <c r="G26" s="235"/>
    </row>
    <row r="27" spans="1:7" s="206" customFormat="1" ht="27">
      <c r="A27" s="247" t="s">
        <v>1511</v>
      </c>
      <c r="B27" s="236" t="s">
        <v>1512</v>
      </c>
      <c r="C27" s="237">
        <f ca="1">C28</f>
        <v>368</v>
      </c>
      <c r="D27" s="227">
        <f ca="1">C29</f>
        <v>1.6000000000000001E-3</v>
      </c>
      <c r="E27" s="228" t="s">
        <v>1513</v>
      </c>
      <c r="F27" s="238">
        <f ca="1">IF(B1="",'数据-取费表'!Q16,INDIRECT("'数据-取费表'!q"&amp;$G$1))</f>
        <v>0.08</v>
      </c>
      <c r="G27" s="239" t="s">
        <v>1514</v>
      </c>
    </row>
    <row r="28" spans="1:7" s="206" customFormat="1" ht="13.5" customHeight="1">
      <c r="A28" s="734" t="s">
        <v>346</v>
      </c>
      <c r="B28" s="240" t="s">
        <v>1515</v>
      </c>
      <c r="C28" s="241">
        <f ca="1">ROUND((C5+C19+C20)*F27*'数据-取费表'!B21/'数据-取费表'!B20,0)</f>
        <v>368</v>
      </c>
      <c r="D28" s="227"/>
      <c r="E28" s="228"/>
      <c r="F28" s="238"/>
      <c r="G28" s="239"/>
    </row>
    <row r="29" spans="1:7" s="206" customFormat="1" ht="13.5" customHeight="1">
      <c r="A29" s="734" t="s">
        <v>347</v>
      </c>
      <c r="B29" s="240" t="s">
        <v>1516</v>
      </c>
      <c r="C29" s="230">
        <f ca="1">ROUND(C21*F27*'数据-取费表'!B21/'数据-取费表'!B20,4)</f>
        <v>1.6000000000000001E-3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5514</v>
      </c>
      <c r="D31" s="222"/>
      <c r="E31" s="203"/>
      <c r="F31" s="242"/>
      <c r="G31" s="226" t="s">
        <v>1521</v>
      </c>
    </row>
    <row r="32" spans="1:7" s="200" customFormat="1" ht="16">
      <c r="A32" s="244" t="s">
        <v>1522</v>
      </c>
      <c r="B32" s="245"/>
      <c r="C32" s="245"/>
      <c r="D32" s="245"/>
      <c r="E32" s="245"/>
      <c r="F32" s="245"/>
      <c r="G32" s="246"/>
    </row>
    <row r="33" spans="1:7" s="206" customFormat="1" ht="13.5" customHeight="1">
      <c r="A33" s="247" t="s">
        <v>337</v>
      </c>
      <c r="B33" s="202" t="s">
        <v>1523</v>
      </c>
      <c r="C33" s="248">
        <f ca="1">SUM(C34:C38)</f>
        <v>770</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677</v>
      </c>
      <c r="D34" s="209"/>
      <c r="E34" s="212"/>
      <c r="F34" s="249">
        <f ca="1">IF('数据-取费表'!B24=0,1,IF(B1="",'数据-取费表'!N16,INDIRECT("'数据-取费表'!n"&amp;$G$1)))</f>
        <v>1</v>
      </c>
      <c r="G34" s="211" t="s">
        <v>1525</v>
      </c>
    </row>
    <row r="35" spans="1:7" ht="13.5" customHeight="1">
      <c r="A35" s="734" t="s">
        <v>351</v>
      </c>
      <c r="B35" s="207" t="s">
        <v>1526</v>
      </c>
      <c r="C35" s="212">
        <f ca="1">ROUND(C34*F35,0)</f>
        <v>34</v>
      </c>
      <c r="D35" s="212"/>
      <c r="E35" s="212"/>
      <c r="F35" s="251">
        <f>'数据-取费表'!B33</f>
        <v>0.05</v>
      </c>
      <c r="G35" s="211" t="s">
        <v>1527</v>
      </c>
    </row>
    <row r="36" spans="1:7" ht="26">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45</v>
      </c>
      <c r="D37" s="209">
        <f ca="1">D19</f>
        <v>2256.4</v>
      </c>
      <c r="E37" s="241">
        <f>'数据-取费表'!B35</f>
        <v>200</v>
      </c>
      <c r="F37" s="251"/>
      <c r="G37" s="253" t="s">
        <v>1531</v>
      </c>
    </row>
    <row r="38" spans="1:7" ht="13.5" customHeight="1">
      <c r="A38" s="734" t="s">
        <v>354</v>
      </c>
      <c r="B38" s="207" t="s">
        <v>1532</v>
      </c>
      <c r="C38" s="212">
        <f ca="1">ROUND(C34*F38,0)</f>
        <v>14</v>
      </c>
      <c r="D38" s="212"/>
      <c r="E38" s="212"/>
      <c r="F38" s="251">
        <f>'数据-取费表'!B36</f>
        <v>0.02</v>
      </c>
      <c r="G38" s="211" t="s">
        <v>1527</v>
      </c>
    </row>
    <row r="39" spans="1:7" s="206" customFormat="1" ht="13.5" customHeight="1">
      <c r="A39" s="247" t="s">
        <v>1533</v>
      </c>
      <c r="B39" s="202" t="s">
        <v>1534</v>
      </c>
      <c r="C39" s="224">
        <f ca="1">ROUND(C33*F20,0)</f>
        <v>15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12</v>
      </c>
      <c r="D41" s="227">
        <f ca="1">C44</f>
        <v>2.9999999999999997E-4</v>
      </c>
      <c r="E41" s="228" t="s">
        <v>1538</v>
      </c>
      <c r="F41" s="229">
        <f ca="1">F22</f>
        <v>0.03</v>
      </c>
      <c r="G41" s="226" t="str">
        <f>IF('数据-取费表'!B22&lt;=1,"单利计息","复利计息")</f>
        <v>单利计息</v>
      </c>
    </row>
    <row r="42" spans="1:7" ht="13.5" customHeight="1">
      <c r="A42" s="734" t="s">
        <v>346</v>
      </c>
      <c r="B42" s="207" t="s">
        <v>1542</v>
      </c>
      <c r="C42" s="230">
        <f ca="1">ROUND(IF('数据-取费表'!B22&lt;=1,C33*F22*'数据-取费表'!B21/2,C33*(POWER((1+F22),'数据-取费表'!B21/2)-1)),0)</f>
        <v>12</v>
      </c>
      <c r="D42" s="230"/>
      <c r="E42" s="230"/>
      <c r="F42" s="231"/>
      <c r="G42" s="3370" t="s">
        <v>1543</v>
      </c>
    </row>
    <row r="43" spans="1:7" ht="13.5" customHeight="1">
      <c r="A43" s="734" t="s">
        <v>347</v>
      </c>
      <c r="B43" s="207" t="s">
        <v>1544</v>
      </c>
      <c r="C43" s="230">
        <f ca="1">ROUND(IF('数据-取费表'!B22&lt;=1,C39*F22*'数据-取费表'!B21/2,C39*(POWER((1+F22),'数据-取费表'!B21/2)-1)),0)</f>
        <v>0</v>
      </c>
      <c r="D43" s="230"/>
      <c r="E43" s="230"/>
      <c r="F43" s="231"/>
      <c r="G43" s="3371"/>
    </row>
    <row r="44" spans="1:7" ht="13.5" customHeight="1">
      <c r="A44" s="734" t="s">
        <v>348</v>
      </c>
      <c r="B44" s="207" t="s">
        <v>1545</v>
      </c>
      <c r="C44" s="230">
        <f ca="1">ROUND(IF('数据-取费表'!B22&lt;=1,C40*F22*'数据-取费表'!B21/2,C40*(POWER((1+F22),'数据-取费表'!B21/2)-1)),4)</f>
        <v>2.9999999999999997E-4</v>
      </c>
      <c r="D44" s="230"/>
      <c r="E44" s="230"/>
      <c r="F44" s="231"/>
      <c r="G44" s="3372"/>
    </row>
    <row r="45" spans="1:7" s="206" customFormat="1" ht="13.5" customHeight="1">
      <c r="A45" s="247" t="s">
        <v>1546</v>
      </c>
      <c r="B45" s="236" t="s">
        <v>1512</v>
      </c>
      <c r="C45" s="237">
        <f ca="1">C46</f>
        <v>63</v>
      </c>
      <c r="D45" s="227">
        <f ca="1">C47</f>
        <v>1.6000000000000001E-3</v>
      </c>
      <c r="E45" s="228" t="s">
        <v>1538</v>
      </c>
      <c r="F45" s="238">
        <f ca="1">F27</f>
        <v>0.08</v>
      </c>
      <c r="G45" s="239" t="s">
        <v>1547</v>
      </c>
    </row>
    <row r="46" spans="1:7" s="206" customFormat="1" ht="13.5" customHeight="1">
      <c r="A46" s="734" t="s">
        <v>346</v>
      </c>
      <c r="B46" s="240" t="s">
        <v>1548</v>
      </c>
      <c r="C46" s="241">
        <f ca="1">ROUND((C33+C39)*F27,0)</f>
        <v>63</v>
      </c>
      <c r="D46" s="255"/>
      <c r="E46" s="228"/>
      <c r="F46" s="238"/>
      <c r="G46" s="239"/>
    </row>
    <row r="47" spans="1:7" s="206" customFormat="1" ht="13.5" customHeight="1">
      <c r="A47" s="734" t="s">
        <v>347</v>
      </c>
      <c r="B47" s="240" t="s">
        <v>1549</v>
      </c>
      <c r="C47" s="230">
        <f ca="1">ROUND(C40*F27,4)</f>
        <v>1.6000000000000001E-3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930</v>
      </c>
      <c r="D49" s="224"/>
      <c r="E49" s="224"/>
      <c r="F49" s="256"/>
      <c r="G49" s="226" t="s">
        <v>1553</v>
      </c>
    </row>
    <row r="50" spans="1:7" s="250" customFormat="1" ht="26">
      <c r="A50" s="247" t="s">
        <v>1554</v>
      </c>
      <c r="B50" s="202" t="s">
        <v>1555</v>
      </c>
      <c r="C50" s="224"/>
      <c r="D50" s="224"/>
      <c r="E50" s="224"/>
      <c r="F50" s="256">
        <f>IF('数据-取费表'!B24=0,'数据-取费表'!N16,1)</f>
        <v>0.78</v>
      </c>
      <c r="G50" s="239" t="s">
        <v>1556</v>
      </c>
    </row>
    <row r="51" spans="1:7" ht="16.5" customHeight="1">
      <c r="A51" s="247" t="s">
        <v>1557</v>
      </c>
      <c r="B51" s="202" t="s">
        <v>1558</v>
      </c>
      <c r="C51" s="224">
        <f ca="1">ROUND(C49*F50,0)</f>
        <v>725</v>
      </c>
      <c r="D51" s="224"/>
      <c r="E51" s="224"/>
      <c r="F51" s="256"/>
      <c r="G51" s="226" t="s">
        <v>1559</v>
      </c>
    </row>
    <row r="52" spans="1:7" s="200" customFormat="1" ht="16.5" thickBot="1">
      <c r="A52" s="257" t="s">
        <v>1560</v>
      </c>
      <c r="B52" s="258"/>
      <c r="C52" s="259">
        <f ca="1">C31+C51</f>
        <v>6239</v>
      </c>
      <c r="D52" s="258"/>
      <c r="E52" s="258"/>
      <c r="F52" s="258"/>
      <c r="G52" s="260"/>
    </row>
    <row r="55" spans="1:7" ht="15.5">
      <c r="B55" s="262" t="s">
        <v>1561</v>
      </c>
      <c r="C55" s="263"/>
    </row>
    <row r="56" spans="1:7" ht="13">
      <c r="B56" s="265" t="s">
        <v>801</v>
      </c>
      <c r="C56" s="267">
        <f ca="1">1-C57</f>
        <v>0.88400000000000001</v>
      </c>
    </row>
    <row r="57" spans="1:7" ht="13">
      <c r="B57" s="265" t="s">
        <v>802</v>
      </c>
      <c r="C57" s="266">
        <f ca="1">ROUND(C51/C52,3)</f>
        <v>0.11600000000000001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北京市密云县新南路甲52号院1号楼等3幢房地产抵押价值预评估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20" sqref="I20"/>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1460</v>
      </c>
      <c r="B1" s="1374" t="s">
        <v>3475</v>
      </c>
      <c r="C1" s="1717" t="s">
        <v>1562</v>
      </c>
      <c r="D1" s="190"/>
      <c r="E1" s="190"/>
      <c r="F1" s="190"/>
      <c r="G1" s="1062" t="e">
        <f>MATCH(B1,'数据-取费表'!A6:A16,0)+5</f>
        <v>#N/A</v>
      </c>
      <c r="H1" s="998" t="str">
        <f>IF(ISERROR(FIND("住宅",B1)),"非住宅","住宅")</f>
        <v>非住宅</v>
      </c>
    </row>
    <row r="2" spans="1:8" s="192" customFormat="1" ht="18" customHeight="1">
      <c r="A2" s="193" t="s">
        <v>1461</v>
      </c>
      <c r="B2" s="3120" t="e">
        <f ca="1">ROUND(IF(D2="——",C52/10000,C52/10000-E2),4)</f>
        <v>#N/A</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t="e">
        <f ca="1">ROUND(B2*10000/(IF(B1="",'数据-汇总表'!E3,INDIRECT("'数据-取费表'!k"&amp;$G$1))),0)</f>
        <v>#N/A</v>
      </c>
      <c r="C3" s="191" t="s">
        <v>1464</v>
      </c>
      <c r="D3" s="191"/>
      <c r="E3" s="191"/>
      <c r="F3" s="191"/>
      <c r="G3" s="191"/>
    </row>
    <row r="4" spans="1:8" s="200" customFormat="1" ht="16">
      <c r="A4" s="197" t="s">
        <v>1465</v>
      </c>
      <c r="B4" s="198"/>
      <c r="C4" s="198"/>
      <c r="D4" s="198"/>
      <c r="E4" s="198"/>
      <c r="F4" s="198"/>
      <c r="G4" s="199"/>
    </row>
    <row r="5" spans="1:8" s="206" customFormat="1" ht="13.5" customHeight="1">
      <c r="A5" s="247" t="s">
        <v>1466</v>
      </c>
      <c r="B5" s="202" t="s">
        <v>1467</v>
      </c>
      <c r="C5" s="203" t="e">
        <f ca="1">C6+C7+C8</f>
        <v>#N/A</v>
      </c>
      <c r="D5" s="203" t="s">
        <v>1468</v>
      </c>
      <c r="E5" s="204" t="s">
        <v>1469</v>
      </c>
      <c r="F5" s="204" t="s">
        <v>1470</v>
      </c>
      <c r="G5" s="205"/>
    </row>
    <row r="6" spans="1:8" s="206" customFormat="1" ht="13.5" customHeight="1">
      <c r="A6" s="732" t="s">
        <v>1471</v>
      </c>
      <c r="B6" s="207" t="s">
        <v>1472</v>
      </c>
      <c r="C6" s="208">
        <f>ROUND(基准地价修正!C33*基准地价修正!D33,0)</f>
        <v>43296580</v>
      </c>
      <c r="D6" s="209"/>
      <c r="E6" s="210"/>
      <c r="F6" s="210"/>
      <c r="G6" s="211"/>
    </row>
    <row r="7" spans="1:8" s="206" customFormat="1" ht="13.5" customHeight="1">
      <c r="A7" s="732" t="s">
        <v>1473</v>
      </c>
      <c r="B7" s="207" t="s">
        <v>1474</v>
      </c>
      <c r="C7" s="212">
        <f>ROUND(C6*F7,0)</f>
        <v>1320546</v>
      </c>
      <c r="D7" s="212"/>
      <c r="E7" s="210"/>
      <c r="F7" s="213">
        <f>IF(项目基本情况!B8="出让",0,'数据-取费表'!B48+'数据-取费表'!B49)</f>
        <v>3.0499999999999999E-2</v>
      </c>
      <c r="G7" s="211"/>
    </row>
    <row r="8" spans="1:8" s="215" customFormat="1" ht="13">
      <c r="A8" s="732" t="s">
        <v>1475</v>
      </c>
      <c r="B8" s="207" t="s">
        <v>1476</v>
      </c>
      <c r="C8" s="212" t="e">
        <f ca="1">IF(G8="已包含在土地购买价格中",0,C9+C10)</f>
        <v>#N/A</v>
      </c>
      <c r="D8" s="214"/>
      <c r="E8" s="212"/>
      <c r="F8" s="213"/>
      <c r="G8" s="1714" t="s">
        <v>3476</v>
      </c>
    </row>
    <row r="9" spans="1:8" s="206" customFormat="1" ht="13.5" customHeight="1">
      <c r="A9" s="733" t="s">
        <v>355</v>
      </c>
      <c r="B9" s="216" t="s">
        <v>1477</v>
      </c>
      <c r="C9" s="217" t="e">
        <f ca="1">ROUND(D9*E9,0)</f>
        <v>#N/A</v>
      </c>
      <c r="D9" s="795" t="e">
        <f ca="1">IF(B1="",'数据-汇总表'!E5,IF(INDIRECT("'数据-取费表'!c"&amp;$G$1)="住宅",INDIRECT("'数据-取费表'!k"&amp;$G$1),0))</f>
        <v>#N/A</v>
      </c>
      <c r="E9" s="217">
        <f>'数据-取费表'!B27</f>
        <v>150</v>
      </c>
      <c r="F9" s="213"/>
      <c r="G9" s="218"/>
    </row>
    <row r="10" spans="1:8" s="206" customFormat="1" ht="13.5" customHeight="1">
      <c r="A10" s="733" t="s">
        <v>356</v>
      </c>
      <c r="B10" s="216" t="s">
        <v>1479</v>
      </c>
      <c r="C10" s="217" t="e">
        <f ca="1">ROUND(D10*E10,0)</f>
        <v>#N/A</v>
      </c>
      <c r="D10" s="795"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t="e">
        <f ca="1">D9+D10</f>
        <v>#N/A</v>
      </c>
      <c r="E19" s="203">
        <f>'数据-取费表'!B31</f>
        <v>200</v>
      </c>
      <c r="F19" s="223"/>
      <c r="G19" s="1714" t="s">
        <v>3477</v>
      </c>
    </row>
    <row r="20" spans="1:7" s="206" customFormat="1" ht="13.5" customHeight="1">
      <c r="A20" s="247" t="s">
        <v>1573</v>
      </c>
      <c r="B20" s="202" t="s">
        <v>1574</v>
      </c>
      <c r="C20" s="224" t="e">
        <f ca="1">ROUND((C5+C19)*F20,0)</f>
        <v>#N/A</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t="e">
        <f ca="1">ROUND(SUM(C23:C25),0)</f>
        <v>#N/A</v>
      </c>
      <c r="D22" s="227">
        <f ca="1">C26</f>
        <v>2.9999999999999997E-4</v>
      </c>
      <c r="E22" s="228" t="s">
        <v>1578</v>
      </c>
      <c r="F22" s="229">
        <f ca="1">'数据-取费表'!B40</f>
        <v>0.03</v>
      </c>
      <c r="G22" s="226" t="str">
        <f>IF('数据-取费表'!B22&lt;=1,"单利计息","复利计息")</f>
        <v>单利计息</v>
      </c>
    </row>
    <row r="23" spans="1:7" s="206" customFormat="1" ht="13.5" customHeight="1">
      <c r="A23" s="734" t="s">
        <v>1471</v>
      </c>
      <c r="B23" s="207" t="s">
        <v>1582</v>
      </c>
      <c r="C23" s="230" t="e">
        <f ca="1">ROUND(IF('数据-取费表'!B22&lt;=1,C5*F22*'数据-取费表'!B22,C5*(POWER((1+F22),'数据-取费表'!B22)-1)),0)</f>
        <v>#N/A</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6">
      <c r="A25" s="734" t="s">
        <v>1475</v>
      </c>
      <c r="B25" s="207" t="s">
        <v>1586</v>
      </c>
      <c r="C25" s="230" t="e">
        <f ca="1">ROUND(IF('数据-取费表'!B22&lt;=1,C20*F22*'数据-取费表'!B22/2,C20*(POWER((1+F22),'数据-取费表'!B22/2)-1)),0)</f>
        <v>#N/A</v>
      </c>
      <c r="D25" s="230"/>
      <c r="E25" s="233"/>
      <c r="F25" s="231"/>
      <c r="G25" s="234" t="s">
        <v>1587</v>
      </c>
    </row>
    <row r="26" spans="1:7" s="206" customFormat="1" ht="13">
      <c r="A26" s="734" t="s">
        <v>350</v>
      </c>
      <c r="B26" s="207" t="s">
        <v>1510</v>
      </c>
      <c r="C26" s="230">
        <f ca="1">ROUND(IF('数据-取费表'!B22&lt;=1,F21*F22*'数据-取费表'!B22/2,F21*(POWER((1+F22),'数据-取费表'!B22/2)-1)),4)</f>
        <v>2.9999999999999997E-4</v>
      </c>
      <c r="D26" s="230"/>
      <c r="E26" s="233"/>
      <c r="F26" s="231"/>
      <c r="G26" s="235"/>
    </row>
    <row r="27" spans="1:7" s="206" customFormat="1" ht="27">
      <c r="A27" s="247" t="s">
        <v>1511</v>
      </c>
      <c r="B27" s="236" t="s">
        <v>1512</v>
      </c>
      <c r="C27" s="237" t="e">
        <f ca="1">C28</f>
        <v>#N/A</v>
      </c>
      <c r="D27" s="227" t="e">
        <f ca="1">C29</f>
        <v>#N/A</v>
      </c>
      <c r="E27" s="228" t="s">
        <v>1513</v>
      </c>
      <c r="F27" s="238" t="e">
        <f ca="1">IF(B1="",'数据-取费表'!Q16,INDIRECT("'数据-取费表'!q"&amp;$G$1))</f>
        <v>#N/A</v>
      </c>
      <c r="G27" s="239" t="s">
        <v>1514</v>
      </c>
    </row>
    <row r="28" spans="1:7" s="206" customFormat="1" ht="13.5" customHeight="1">
      <c r="A28" s="734" t="s">
        <v>346</v>
      </c>
      <c r="B28" s="240" t="s">
        <v>1515</v>
      </c>
      <c r="C28" s="241" t="e">
        <f ca="1">ROUND((C5+C19+C20)*F27,0)</f>
        <v>#N/A</v>
      </c>
      <c r="D28" s="227"/>
      <c r="E28" s="228"/>
      <c r="F28" s="238"/>
      <c r="G28" s="239"/>
    </row>
    <row r="29" spans="1:7" s="206" customFormat="1" ht="13.5" customHeight="1">
      <c r="A29" s="734" t="s">
        <v>347</v>
      </c>
      <c r="B29" s="240" t="s">
        <v>1516</v>
      </c>
      <c r="C29" s="230" t="e">
        <f ca="1">ROUND(C21*F27,4)</f>
        <v>#N/A</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t="e">
        <f ca="1">ROUND((C5+C19+C20+C22+C27)/(1-C21-D22-D27-C30),0)</f>
        <v>#N/A</v>
      </c>
      <c r="D31" s="222"/>
      <c r="E31" s="203"/>
      <c r="F31" s="242"/>
      <c r="G31" s="226" t="s">
        <v>1521</v>
      </c>
    </row>
    <row r="32" spans="1:7" s="200" customFormat="1" ht="16">
      <c r="A32" s="244" t="s">
        <v>1588</v>
      </c>
      <c r="B32" s="245"/>
      <c r="C32" s="245"/>
      <c r="D32" s="245"/>
      <c r="E32" s="245"/>
      <c r="F32" s="245"/>
      <c r="G32" s="246"/>
    </row>
    <row r="33" spans="1:7" s="206" customFormat="1" ht="13.5" customHeight="1">
      <c r="A33" s="247" t="s">
        <v>337</v>
      </c>
      <c r="B33" s="202" t="s">
        <v>1589</v>
      </c>
      <c r="C33" s="248" t="e">
        <f ca="1">SUM(C34:C38)</f>
        <v>#N/A</v>
      </c>
      <c r="D33" s="224"/>
      <c r="E33" s="204"/>
      <c r="F33" s="233"/>
      <c r="G33" s="226"/>
    </row>
    <row r="34" spans="1:7" s="250" customFormat="1" ht="13.5" customHeight="1">
      <c r="A34" s="734" t="s">
        <v>346</v>
      </c>
      <c r="B34" s="207" t="s">
        <v>1524</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1526</v>
      </c>
      <c r="C35" s="212" t="e">
        <f ca="1">ROUND(C34*F35,0)</f>
        <v>#N/A</v>
      </c>
      <c r="D35" s="212"/>
      <c r="E35" s="212"/>
      <c r="F35" s="251">
        <f>'数据-取费表'!B33</f>
        <v>0.05</v>
      </c>
      <c r="G35" s="211" t="s">
        <v>1527</v>
      </c>
    </row>
    <row r="36" spans="1:7" ht="26">
      <c r="A36" s="734" t="s">
        <v>352</v>
      </c>
      <c r="B36" s="207" t="s">
        <v>1528</v>
      </c>
      <c r="C36" s="212" t="e">
        <f ca="1">ROUND(IF(B1="",SUM('数据-取费表'!AP6:AP13)*F36,IF(INDIRECT("'数据-取费表'!c"&amp;$G$1)="住宅",INDIRECT("'数据-取费表'!k"&amp;$G$1)*INDIRECT("'数据-取费表'!l"&amp;$G$1)*F36,0)),0)</f>
        <v>#N/A</v>
      </c>
      <c r="D36" s="212"/>
      <c r="E36" s="212"/>
      <c r="F36" s="251">
        <f>'数据-取费表'!B34</f>
        <v>0</v>
      </c>
      <c r="G36" s="252" t="s">
        <v>1529</v>
      </c>
    </row>
    <row r="37" spans="1:7" s="250" customFormat="1" ht="13.5" customHeight="1">
      <c r="A37" s="734" t="s">
        <v>353</v>
      </c>
      <c r="B37" s="207" t="s">
        <v>1530</v>
      </c>
      <c r="C37" s="241" t="e">
        <f ca="1">ROUND(E37*D37,0)</f>
        <v>#N/A</v>
      </c>
      <c r="D37" s="209" t="e">
        <f ca="1">D19</f>
        <v>#N/A</v>
      </c>
      <c r="E37" s="241">
        <f>'数据-取费表'!B35</f>
        <v>200</v>
      </c>
      <c r="F37" s="251"/>
      <c r="G37" s="253"/>
    </row>
    <row r="38" spans="1:7" ht="13.5" customHeight="1">
      <c r="A38" s="734" t="s">
        <v>354</v>
      </c>
      <c r="B38" s="207" t="s">
        <v>1532</v>
      </c>
      <c r="C38" s="212" t="e">
        <f ca="1">ROUND(C34*F38,0)</f>
        <v>#N/A</v>
      </c>
      <c r="D38" s="212"/>
      <c r="E38" s="212"/>
      <c r="F38" s="251">
        <f>'数据-取费表'!B36</f>
        <v>0.02</v>
      </c>
      <c r="G38" s="211" t="s">
        <v>1527</v>
      </c>
    </row>
    <row r="39" spans="1:7" s="206" customFormat="1" ht="13.5" customHeight="1">
      <c r="A39" s="247" t="s">
        <v>1533</v>
      </c>
      <c r="B39" s="202" t="s">
        <v>1534</v>
      </c>
      <c r="C39" s="224" t="e">
        <f ca="1">ROUND(C33*F20,0)</f>
        <v>#N/A</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t="e">
        <f ca="1">ROUND(SUM(C42:C43),0)</f>
        <v>#N/A</v>
      </c>
      <c r="D41" s="227">
        <f ca="1">C44</f>
        <v>2.9999999999999997E-4</v>
      </c>
      <c r="E41" s="228" t="s">
        <v>1538</v>
      </c>
      <c r="F41" s="229">
        <f ca="1">F22</f>
        <v>0.03</v>
      </c>
      <c r="G41" s="226" t="str">
        <f>IF('数据-取费表'!B22&lt;=1,"单利计息","复利计息")</f>
        <v>单利计息</v>
      </c>
    </row>
    <row r="42" spans="1:7" ht="13.5" customHeight="1">
      <c r="A42" s="734" t="s">
        <v>346</v>
      </c>
      <c r="B42" s="207" t="s">
        <v>1542</v>
      </c>
      <c r="C42" s="230" t="e">
        <f ca="1">ROUND(IF('数据-取费表'!B22&lt;=1,C33*F22*'数据-取费表'!B20/2,C33*(POWER((1+F22),'数据-取费表'!B20/2)-1)),0)</f>
        <v>#N/A</v>
      </c>
      <c r="D42" s="230"/>
      <c r="E42" s="230"/>
      <c r="F42" s="231"/>
      <c r="G42" s="3370" t="s">
        <v>1590</v>
      </c>
    </row>
    <row r="43" spans="1:7" ht="13.5" customHeight="1">
      <c r="A43" s="734" t="s">
        <v>347</v>
      </c>
      <c r="B43" s="207" t="s">
        <v>1544</v>
      </c>
      <c r="C43" s="230" t="e">
        <f ca="1">ROUND(IF('数据-取费表'!B22&lt;=1,C39*F22*'数据-取费表'!B20/2,C39*(POWER((1+F22),'数据-取费表'!B20/2)-1)),0)</f>
        <v>#N/A</v>
      </c>
      <c r="D43" s="230"/>
      <c r="E43" s="230"/>
      <c r="F43" s="231"/>
      <c r="G43" s="3371"/>
    </row>
    <row r="44" spans="1:7" ht="13.5" customHeight="1">
      <c r="A44" s="734" t="s">
        <v>348</v>
      </c>
      <c r="B44" s="207" t="s">
        <v>1545</v>
      </c>
      <c r="C44" s="230">
        <f ca="1">ROUND(IF('数据-取费表'!B22&lt;=1,C40*F22*'数据-取费表'!B20/2,C40*(POWER((1+F22),'数据-取费表'!B20/2)-1)),4)</f>
        <v>2.9999999999999997E-4</v>
      </c>
      <c r="D44" s="230"/>
      <c r="E44" s="230"/>
      <c r="F44" s="231"/>
      <c r="G44" s="3372"/>
    </row>
    <row r="45" spans="1:7" s="206" customFormat="1" ht="13.5" customHeight="1">
      <c r="A45" s="247" t="s">
        <v>1546</v>
      </c>
      <c r="B45" s="236" t="s">
        <v>1512</v>
      </c>
      <c r="C45" s="237" t="e">
        <f ca="1">C46</f>
        <v>#N/A</v>
      </c>
      <c r="D45" s="227" t="e">
        <f ca="1">C47</f>
        <v>#N/A</v>
      </c>
      <c r="E45" s="228" t="s">
        <v>1538</v>
      </c>
      <c r="F45" s="238" t="e">
        <f ca="1">F27</f>
        <v>#N/A</v>
      </c>
      <c r="G45" s="239" t="s">
        <v>1547</v>
      </c>
    </row>
    <row r="46" spans="1:7" s="206" customFormat="1" ht="13.5" customHeight="1">
      <c r="A46" s="734" t="s">
        <v>346</v>
      </c>
      <c r="B46" s="240" t="s">
        <v>1548</v>
      </c>
      <c r="C46" s="241" t="e">
        <f ca="1">ROUND((C33+C39)*F27,0)</f>
        <v>#N/A</v>
      </c>
      <c r="D46" s="255"/>
      <c r="E46" s="228"/>
      <c r="F46" s="238"/>
      <c r="G46" s="239"/>
    </row>
    <row r="47" spans="1:7" s="206" customFormat="1" ht="13.5" customHeight="1">
      <c r="A47" s="734" t="s">
        <v>347</v>
      </c>
      <c r="B47" s="240" t="s">
        <v>1549</v>
      </c>
      <c r="C47" s="230" t="e">
        <f ca="1">ROUND(C40*F27,4)</f>
        <v>#N/A</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t="e">
        <f ca="1">ROUND((C33+C39+C41+C45)/(1-C40-D41-D45-C48),0)</f>
        <v>#N/A</v>
      </c>
      <c r="D49" s="224"/>
      <c r="E49" s="224"/>
      <c r="F49" s="256"/>
      <c r="G49" s="226" t="s">
        <v>1553</v>
      </c>
    </row>
    <row r="50" spans="1:7" s="250" customFormat="1" ht="13.5">
      <c r="A50" s="247" t="s">
        <v>1554</v>
      </c>
      <c r="B50" s="202" t="s">
        <v>1555</v>
      </c>
      <c r="C50" s="224"/>
      <c r="D50" s="224"/>
      <c r="E50" s="224"/>
      <c r="F50" s="256">
        <f>IF('数据-取费表'!B24=0,'数据-取费表'!N16,1)</f>
        <v>0.78</v>
      </c>
      <c r="G50" s="239"/>
    </row>
    <row r="51" spans="1:7" ht="16.5" customHeight="1">
      <c r="A51" s="247" t="s">
        <v>1557</v>
      </c>
      <c r="B51" s="202" t="s">
        <v>1592</v>
      </c>
      <c r="C51" s="224" t="e">
        <f ca="1">ROUND(C49*F50,0)</f>
        <v>#N/A</v>
      </c>
      <c r="D51" s="224"/>
      <c r="E51" s="224"/>
      <c r="F51" s="256"/>
      <c r="G51" s="226" t="s">
        <v>1559</v>
      </c>
    </row>
    <row r="52" spans="1:7" s="200" customFormat="1" ht="16.5" thickBot="1">
      <c r="A52" s="257" t="s">
        <v>1560</v>
      </c>
      <c r="B52" s="258"/>
      <c r="C52" s="259" t="e">
        <f ca="1">C31+C51</f>
        <v>#N/A</v>
      </c>
      <c r="D52" s="258"/>
      <c r="E52" s="258"/>
      <c r="F52" s="258"/>
      <c r="G52" s="260"/>
    </row>
    <row r="55" spans="1:7" ht="15.5">
      <c r="B55" s="262" t="s">
        <v>1561</v>
      </c>
      <c r="C55" s="263"/>
    </row>
    <row r="56" spans="1:7" ht="13">
      <c r="B56" s="265" t="s">
        <v>801</v>
      </c>
      <c r="C56" s="267" t="e">
        <f ca="1">1-C57</f>
        <v>#N/A</v>
      </c>
    </row>
    <row r="57" spans="1:7" ht="13">
      <c r="B57" s="265" t="s">
        <v>802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1593</v>
      </c>
      <c r="B1" s="121"/>
      <c r="C1" s="1110"/>
      <c r="D1" s="1109"/>
      <c r="E1" s="2565"/>
      <c r="F1" s="2565"/>
      <c r="G1" s="2446"/>
      <c r="H1" s="2565"/>
      <c r="I1" s="2565"/>
      <c r="J1" s="2565"/>
      <c r="K1" s="2566">
        <f>MATCH(C1,'数据-取费表'!A6:A16,0)+5</f>
        <v>7</v>
      </c>
    </row>
    <row r="2" spans="1:33" ht="18" customHeight="1">
      <c r="A2" s="193" t="s">
        <v>1461</v>
      </c>
      <c r="B2" s="196">
        <f ca="1">C32</f>
        <v>-47</v>
      </c>
      <c r="C2" s="268" t="s">
        <v>1594</v>
      </c>
      <c r="D2" s="268"/>
      <c r="E2" s="2565"/>
      <c r="F2" s="2565"/>
      <c r="G2" s="2565"/>
      <c r="H2" s="2565"/>
      <c r="I2" s="2565"/>
      <c r="J2" s="2565"/>
      <c r="K2" s="2565"/>
    </row>
    <row r="3" spans="1:33" ht="18" customHeight="1" thickBot="1">
      <c r="A3" s="195" t="s">
        <v>1463</v>
      </c>
      <c r="B3" s="196">
        <f ca="1">ROUND(B2*10000/IF(C1="",'数据-汇总表'!E3,INDIRECT("'数据-取费表'!K"&amp;$K$1)),0)</f>
        <v>-208</v>
      </c>
      <c r="C3" s="268" t="s">
        <v>1595</v>
      </c>
      <c r="D3" s="268"/>
      <c r="E3" s="2565"/>
      <c r="F3" s="2565"/>
      <c r="G3" s="2565"/>
      <c r="H3" s="2565"/>
      <c r="I3" s="2565"/>
      <c r="J3" s="2565"/>
      <c r="K3" s="2565"/>
    </row>
    <row r="4" spans="1:33" s="739" customFormat="1" ht="16.5" customHeight="1">
      <c r="A4" s="736" t="s">
        <v>1596</v>
      </c>
      <c r="B4" s="737"/>
      <c r="C4" s="775">
        <f>SUM(C8:K8)</f>
        <v>0</v>
      </c>
      <c r="D4" s="737"/>
      <c r="E4" s="737"/>
      <c r="F4" s="737"/>
      <c r="G4" s="737"/>
      <c r="H4" s="737"/>
      <c r="I4" s="737"/>
      <c r="J4" s="737"/>
      <c r="K4" s="738"/>
    </row>
    <row r="5" spans="1:33" s="743" customFormat="1" ht="1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2256.4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2256.4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43</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1626</v>
      </c>
      <c r="C20" s="21">
        <f ca="1">ROUND(D20*E20/10000,0)</f>
        <v>43</v>
      </c>
      <c r="D20" s="796">
        <f ca="1">IF(C1="",'数据-汇总表'!E6,IF(INDIRECT("'数据-取费表'!c"&amp;$K$1)="住宅",INDIRECT("'数据-取费表'!s"&amp;$K$1),INDIRECT("'数据-取费表'!k"&amp;$K$1)+INDIRECT("'数据-取费表'!s"&amp;$K$1)))</f>
        <v>2256.4</v>
      </c>
      <c r="E20" s="21">
        <f>'数据-取费表'!B28</f>
        <v>190</v>
      </c>
      <c r="F20" s="756"/>
      <c r="G20" s="12"/>
      <c r="H20" s="761"/>
      <c r="I20" s="761"/>
      <c r="J20" s="761"/>
      <c r="K20" s="762"/>
    </row>
    <row r="21" spans="1:33" s="755" customFormat="1" ht="13.5" customHeight="1">
      <c r="A21" s="744" t="s">
        <v>357</v>
      </c>
      <c r="B21" s="765" t="s">
        <v>1627</v>
      </c>
      <c r="C21" s="766">
        <f ca="1">C16+C17+C18</f>
        <v>43</v>
      </c>
      <c r="D21" s="767"/>
      <c r="E21" s="273"/>
      <c r="F21" s="273"/>
      <c r="G21" s="123" t="s">
        <v>1628</v>
      </c>
      <c r="H21" s="759"/>
      <c r="I21" s="759"/>
      <c r="J21" s="759"/>
      <c r="K21" s="760"/>
    </row>
    <row r="22" spans="1:33" s="755" customFormat="1" ht="13.5" customHeight="1">
      <c r="A22" s="744" t="s">
        <v>1600</v>
      </c>
      <c r="B22" s="765" t="s">
        <v>1629</v>
      </c>
      <c r="C22" s="766">
        <f ca="1">ROUND(C21*F22,0)</f>
        <v>1</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1640</v>
      </c>
      <c r="B28" s="1723" t="s">
        <v>1641</v>
      </c>
      <c r="C28" s="279">
        <f ca="1">C30</f>
        <v>4</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4</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-47</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1925</v>
      </c>
      <c r="B1" s="189"/>
      <c r="C1" s="193" t="s">
        <v>1926</v>
      </c>
      <c r="D1" s="333">
        <f>SUM(D33:D34,D37:D42)</f>
        <v>5851.68</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5">
      <c r="A2" s="193" t="s">
        <v>1933</v>
      </c>
      <c r="B2" s="196">
        <f>C30</f>
        <v>4330</v>
      </c>
      <c r="C2" s="1846" t="s">
        <v>1934</v>
      </c>
      <c r="D2" s="162" t="s">
        <v>1935</v>
      </c>
      <c r="E2" s="3118" t="s">
        <v>21</v>
      </c>
      <c r="F2" s="162" t="s">
        <v>1936</v>
      </c>
      <c r="G2" s="163" t="str">
        <f>IF(E2="商业",项目基本情况!B37,IF(E2="办公",项目基本情况!C37,IF(E2="住宅",项目基本情况!D37,IF(E2="工业",项目基本情况!E37,项目基本情况!F37))))</f>
        <v>八级</v>
      </c>
      <c r="H2" s="162" t="s">
        <v>1937</v>
      </c>
      <c r="I2" s="163" t="str">
        <f>IF(E2="商业",项目基本情况!B38,IF(E2="办公",项目基本情况!C38,IF(E2="住宅",项目基本情况!D38,IF(E2="工业",项目基本情况!E38,项目基本情况!F38))))</f>
        <v>Ⅷ-密1</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9273</v>
      </c>
      <c r="U2" s="1130"/>
      <c r="V2" s="3061">
        <f>ROUND(T2*U2/10000,0)</f>
        <v>0</v>
      </c>
      <c r="W2" s="1133"/>
      <c r="X2" s="1133"/>
      <c r="Y2" s="1133"/>
      <c r="Z2" s="1133"/>
      <c r="AA2" s="1133"/>
      <c r="AB2" s="1133"/>
      <c r="AC2" s="1134"/>
      <c r="AD2" s="1135"/>
      <c r="AE2" s="1135"/>
      <c r="AF2" s="1135"/>
      <c r="AG2" s="1135"/>
      <c r="AH2" s="1135"/>
      <c r="AI2" s="1135"/>
      <c r="AJ2" s="1136"/>
    </row>
    <row r="3" spans="1:36" ht="15.5">
      <c r="A3" s="195" t="s">
        <v>1939</v>
      </c>
      <c r="B3" s="196">
        <f>ROUND(B2*10000/D1,0)</f>
        <v>7400</v>
      </c>
      <c r="C3" s="1846" t="s">
        <v>1940</v>
      </c>
      <c r="D3" s="162" t="s">
        <v>1941</v>
      </c>
      <c r="E3" s="3116" t="s">
        <v>3411</v>
      </c>
      <c r="F3" s="1848" t="s">
        <v>3469</v>
      </c>
      <c r="G3" s="708">
        <f>IF(F3="宗地容积率",'数据-汇总表'!I4,IF(F3="估价对象容积率",'数据-汇总表'!I6,'数据-汇总表'!I7))</f>
        <v>1</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7147</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380"/>
      <c r="B4" s="3381"/>
      <c r="C4" s="3381"/>
      <c r="D4" s="3382"/>
      <c r="E4" s="3382"/>
      <c r="F4" s="3382"/>
      <c r="G4" s="3382"/>
      <c r="H4" s="3382"/>
      <c r="I4" s="3382"/>
      <c r="J4" s="3383"/>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5830</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1946</v>
      </c>
      <c r="C5" s="709">
        <f>ROUND(IF(E2="商业",C6*C7*C17+C20,(IF(E2="住宅",C6*C13*C17+C20,IF(E2="办公",C6*C12*C17+C20,C6+C20)))),0)</f>
        <v>6810</v>
      </c>
      <c r="D5" s="1252">
        <f>ROUND(C6*C17+C20,0)</f>
        <v>6810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4950</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1948</v>
      </c>
      <c r="B6" s="1860" t="s">
        <v>1949</v>
      </c>
      <c r="C6" s="710">
        <f>SUMIF(L1:L12,G2,M1:M12)</f>
        <v>6810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4510</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1954</v>
      </c>
      <c r="X7" s="1131" t="str">
        <f>G2</f>
        <v>八级</v>
      </c>
      <c r="Y7" s="1131" t="s">
        <v>1955</v>
      </c>
      <c r="Z7" s="1132">
        <f>G3</f>
        <v>1</v>
      </c>
      <c r="AA7" s="1133"/>
      <c r="AB7" s="1133"/>
      <c r="AC7" s="1134"/>
      <c r="AD7" s="1135"/>
      <c r="AE7" s="1135"/>
      <c r="AF7" s="1135"/>
      <c r="AG7" s="1135"/>
      <c r="AH7" s="1135"/>
      <c r="AI7" s="1135"/>
      <c r="AJ7" s="1136"/>
    </row>
    <row r="8" spans="1:36" ht="15.5">
      <c r="A8" s="3007"/>
      <c r="B8" s="162" t="s">
        <v>1956</v>
      </c>
      <c r="C8" s="1870"/>
      <c r="D8" s="712" t="s">
        <v>112</v>
      </c>
      <c r="E8" s="713" t="e">
        <f>ROUND(C11/E7,4)</f>
        <v>#DIV/0!</v>
      </c>
      <c r="F8" s="1871" t="s">
        <v>1957</v>
      </c>
      <c r="G8" s="1872"/>
      <c r="H8" s="1872"/>
      <c r="I8" s="1872"/>
      <c r="J8" s="1873"/>
      <c r="K8" s="1056"/>
      <c r="L8" s="1847" t="s">
        <v>1958</v>
      </c>
      <c r="M8" s="811">
        <f>SUMPRODUCT((区片价!B234:B276=I2)*(区片价!C3:G3=E2)*(区片价!C234:G276))</f>
        <v>6810</v>
      </c>
      <c r="N8" s="813">
        <f>SUMPRODUCT((因素修正幅度!B234:B276=I2)*(因素修正幅度!C3:G3=E2)*(因素修正幅度!C234:G276))</f>
        <v>0.1</v>
      </c>
      <c r="O8" s="1056"/>
      <c r="P8" s="1056"/>
      <c r="Q8" s="1056"/>
      <c r="R8" s="1129">
        <v>7</v>
      </c>
      <c r="S8" s="1130"/>
      <c r="T8" s="3061">
        <f t="shared" si="0"/>
        <v>0</v>
      </c>
      <c r="U8" s="1130"/>
      <c r="V8" s="3061">
        <f t="shared" si="1"/>
        <v>0</v>
      </c>
      <c r="W8" s="3377" t="s">
        <v>1959</v>
      </c>
      <c r="X8" s="3378"/>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5">
      <c r="A9" s="3007"/>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7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3237</v>
      </c>
      <c r="B12" s="3011" t="s">
        <v>3238</v>
      </c>
      <c r="C12" s="3012">
        <v>1</v>
      </c>
      <c r="D12" s="3013" t="s">
        <v>3239</v>
      </c>
      <c r="E12" s="3014" t="s">
        <v>3240</v>
      </c>
      <c r="F12" s="3015"/>
      <c r="G12" s="3016"/>
      <c r="H12" s="3016"/>
      <c r="I12" s="3016"/>
      <c r="J12" s="3017"/>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3241</v>
      </c>
      <c r="B13" s="1878" t="s">
        <v>1981</v>
      </c>
      <c r="C13" s="711">
        <f>ROUND(C16*D16*E16*F16*G16*H16*I16*J16,4)</f>
        <v>0</v>
      </c>
      <c r="D13" s="1879" t="s">
        <v>1982</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1984</v>
      </c>
      <c r="C14" s="1884" t="s">
        <v>1985</v>
      </c>
      <c r="D14" s="1261" t="s">
        <v>1986</v>
      </c>
      <c r="E14" s="27" t="s">
        <v>1987</v>
      </c>
      <c r="F14" s="3018" t="s">
        <v>3242</v>
      </c>
      <c r="G14" s="3018" t="s">
        <v>3242</v>
      </c>
      <c r="H14" s="3018" t="s">
        <v>3242</v>
      </c>
      <c r="I14" s="3018" t="s">
        <v>3242</v>
      </c>
      <c r="J14" s="3018" t="s">
        <v>3242</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3243</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1988</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3247</v>
      </c>
      <c r="E18" s="2355"/>
      <c r="F18" s="3028" t="s">
        <v>3250</v>
      </c>
      <c r="G18" s="3032">
        <f>ROUND(1-(1/(POWER(1+G24,E18))),4)</f>
        <v>0</v>
      </c>
      <c r="H18" s="3028" t="s">
        <v>3252</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3248</v>
      </c>
      <c r="E19" s="3041"/>
      <c r="F19" s="3042" t="s">
        <v>3251</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384" t="s">
        <v>3253</v>
      </c>
      <c r="B20" s="159" t="s">
        <v>1993</v>
      </c>
      <c r="C20" s="3029">
        <f>ROUND(IF(F21="与级别开发程度一致",0,(G21-E21)/C21),0)</f>
        <v>0</v>
      </c>
      <c r="D20" s="3044" t="s">
        <v>1997</v>
      </c>
      <c r="E20" s="3045"/>
      <c r="F20" s="3390" t="s">
        <v>1994</v>
      </c>
      <c r="G20" s="339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385"/>
      <c r="B21" s="2001" t="s">
        <v>1996</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85" t="s">
        <v>3470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1999</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2001</v>
      </c>
      <c r="E23" s="717">
        <v>44197</v>
      </c>
      <c r="F23" s="1896" t="s">
        <v>2002</v>
      </c>
      <c r="G23" s="718">
        <f>'数据-取费表'!B2</f>
        <v>45924</v>
      </c>
      <c r="H23" s="3046" t="s">
        <v>3471</v>
      </c>
      <c r="I23" s="3047" t="str">
        <f>IF(H23="季度增幅（自定义）",SUMIF(N25:N28,E2,O25:O28),"")</f>
        <v/>
      </c>
      <c r="J23" s="3139" t="s">
        <v>3472</v>
      </c>
      <c r="K23" s="1061"/>
      <c r="L23" s="1897" t="s">
        <v>2003</v>
      </c>
      <c r="M23" s="1241">
        <f>ROUND(SUMIF(地价!B2:G2,E2,地价!B16:G16),0)</f>
        <v>350</v>
      </c>
      <c r="N23" s="1898" t="s">
        <v>2004</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2005</v>
      </c>
      <c r="C24" s="720">
        <f>ROUND(POWER(1+G24,J24-I24)*(POWER(1+G24,I24)-1)/(POWER(1+G24,J24)-1),4)</f>
        <v>0.84019999999999995</v>
      </c>
      <c r="D24" s="1902" t="s">
        <v>2006</v>
      </c>
      <c r="E24" s="1248">
        <f>存贷款利率!E28/100</f>
        <v>4.3499999999999997E-2</v>
      </c>
      <c r="F24" s="1902" t="s">
        <v>1998</v>
      </c>
      <c r="G24" s="724">
        <f>SUMIF(M30:Q30,E2,M33:Q33)</f>
        <v>5.5E-2</v>
      </c>
      <c r="H24" s="1902" t="s">
        <v>2007</v>
      </c>
      <c r="I24" s="725">
        <f>SUMIF('数据-取费表'!C6:C15,E2,'数据-取费表'!F6:F15)/COUNTIF('数据-取费表'!C6:C15,E2)</f>
        <v>28.49</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3332</v>
      </c>
      <c r="C25" s="461">
        <f>IF(B25="容积率修正",IF(G3&lt;10,D26,J26),C27)</f>
        <v>1.2302</v>
      </c>
      <c r="D25" s="1909"/>
      <c r="E25" s="1909"/>
      <c r="F25" s="1909"/>
      <c r="G25" s="1909"/>
      <c r="H25" s="1909"/>
      <c r="I25" s="1909"/>
      <c r="J25" s="1910"/>
      <c r="K25" s="1061"/>
      <c r="L25" s="2550"/>
      <c r="M25" s="2550"/>
      <c r="N25" s="1911" t="s">
        <v>2012</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2013</v>
      </c>
      <c r="B26" s="1912" t="s">
        <v>2014</v>
      </c>
      <c r="C26" s="1912" t="s">
        <v>3254</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3255</v>
      </c>
      <c r="J26" s="374" t="str">
        <f>IF(G3&gt;=10,D115,"——")</f>
        <v>——</v>
      </c>
      <c r="K26" s="1061"/>
      <c r="L26" s="2550"/>
      <c r="M26" s="2550"/>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2019</v>
      </c>
      <c r="C28" s="716">
        <f>SUMIF(A47:A101,E2,B47:B101)</f>
        <v>1.0545</v>
      </c>
      <c r="D28" s="1894"/>
      <c r="E28" s="1919"/>
      <c r="F28" s="1919"/>
      <c r="G28" s="1919"/>
      <c r="H28" s="1919"/>
      <c r="I28" s="1919"/>
      <c r="J28" s="1920"/>
      <c r="K28" s="1061"/>
      <c r="L28" s="2550"/>
      <c r="M28" s="2550"/>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2021</v>
      </c>
      <c r="C29" s="721"/>
      <c r="D29" s="1868"/>
      <c r="E29" s="1868"/>
      <c r="F29" s="1923"/>
      <c r="G29" s="1868"/>
      <c r="H29" s="1868"/>
      <c r="I29" s="1868"/>
      <c r="J29" s="1869"/>
      <c r="K29" s="1056"/>
      <c r="L29" s="1844"/>
      <c r="M29" s="1844"/>
      <c r="N29" s="2547" t="s">
        <v>2022</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2023</v>
      </c>
      <c r="C30" s="2144">
        <f>IF(B25="容积率修正",E33+SUM(E37:E42),SUM(V2:V16)+SUM(E37:E42))</f>
        <v>4330</v>
      </c>
      <c r="D30" s="1925"/>
      <c r="E30" s="1842"/>
      <c r="F30" s="1926"/>
      <c r="G30" s="1842"/>
      <c r="H30" s="1842"/>
      <c r="I30" s="1842"/>
      <c r="J30" s="1927"/>
      <c r="K30" s="1056"/>
      <c r="L30" s="3053" t="s">
        <v>1935</v>
      </c>
      <c r="M30" s="3054" t="s">
        <v>1989</v>
      </c>
      <c r="N30" s="3054" t="s">
        <v>1990</v>
      </c>
      <c r="O30" s="3054" t="s">
        <v>1991</v>
      </c>
      <c r="P30" s="3054" t="s">
        <v>1992</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2024</v>
      </c>
      <c r="C31" s="722">
        <f>E34+SUM(I37:I42)</f>
        <v>0</v>
      </c>
      <c r="D31" s="1929"/>
      <c r="E31" s="1930"/>
      <c r="F31" s="1931"/>
      <c r="G31" s="1930"/>
      <c r="H31" s="1930"/>
      <c r="I31" s="1930"/>
      <c r="J31" s="1932"/>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2025</v>
      </c>
      <c r="C32" s="1935" t="s">
        <v>2026</v>
      </c>
      <c r="D32" s="1935" t="s">
        <v>2027</v>
      </c>
      <c r="E32" s="1936" t="s">
        <v>2028</v>
      </c>
      <c r="F32" s="1937"/>
      <c r="G32" s="1881"/>
      <c r="H32" s="1881"/>
      <c r="I32" s="1881"/>
      <c r="J32" s="1882"/>
      <c r="K32" s="1056"/>
      <c r="L32" s="3056" t="s">
        <v>1998</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2029</v>
      </c>
      <c r="C33" s="167">
        <f>ROUND(C5*C22*C23*C24*C25*C28,0)</f>
        <v>7399</v>
      </c>
      <c r="D33" s="1940">
        <f>'数据-汇总表'!D19</f>
        <v>5851.68</v>
      </c>
      <c r="E33" s="727">
        <f>ROUND(C33*D33/10000,0)</f>
        <v>4330</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2030</v>
      </c>
      <c r="C34" s="179">
        <f>ROUND(IF(E2="工业",C33*M42,IF(B25="楼层修正",SUM(V2:V16)*M41*10000/D34,C33*M41)),0)</f>
        <v>1850</v>
      </c>
      <c r="D34" s="1945"/>
      <c r="E34" s="727">
        <f>ROUND(IF(B25="楼层修正",SUM(V2:V16)*M40,C34*D34/10000),0)</f>
        <v>0</v>
      </c>
      <c r="F34" s="1946" t="s">
        <v>2031</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2032</v>
      </c>
      <c r="C35" s="3049" t="s">
        <v>3258</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2026</v>
      </c>
      <c r="D36" s="433" t="s">
        <v>2027</v>
      </c>
      <c r="E36" s="433" t="s">
        <v>2028</v>
      </c>
      <c r="F36" s="333" t="s">
        <v>2034</v>
      </c>
      <c r="G36" s="1954" t="s">
        <v>2026</v>
      </c>
      <c r="H36" s="1954" t="s">
        <v>2027</v>
      </c>
      <c r="I36" s="1954" t="s">
        <v>2028</v>
      </c>
      <c r="J36" s="235"/>
      <c r="K36" s="1964" t="s">
        <v>3262</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88"/>
      <c r="B37" s="1955" t="s">
        <v>2035</v>
      </c>
      <c r="C37" s="167">
        <f>ROUND(D5*C22*C23*C24*C28*F37,0)</f>
        <v>3007</v>
      </c>
      <c r="D37" s="1940"/>
      <c r="E37" s="163">
        <f>ROUND(C37*D37/10000,0)</f>
        <v>0</v>
      </c>
      <c r="F37" s="163">
        <f>SUMIF(修正!A59:A70,G2,修正!B59:B70)</f>
        <v>0.5</v>
      </c>
      <c r="G37" s="163">
        <f>ROUND(IF(E2="工业",C37*$M$42,C37*$M$41),0)</f>
        <v>752</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89"/>
      <c r="B38" s="1884" t="s">
        <v>2036</v>
      </c>
      <c r="C38" s="167">
        <f>ROUND(D5*C22*C23*C24*C28*F38,0)</f>
        <v>1203</v>
      </c>
      <c r="D38" s="1940"/>
      <c r="E38" s="163">
        <f t="shared" ref="E38:E42" si="4">ROUND(C38*D38/10000,0)</f>
        <v>0</v>
      </c>
      <c r="F38" s="163">
        <f>SUMIF(修正!A59:A70,G2,修正!C59:C70)</f>
        <v>0.2</v>
      </c>
      <c r="G38" s="163">
        <f>ROUND(IF(E2="工业",C38*$M$42,C38*$M$41),0)</f>
        <v>301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9"/>
      <c r="B39" s="1884" t="s">
        <v>3256</v>
      </c>
      <c r="C39" s="167">
        <f>ROUND(D5*C22*C23*C24*C28*F39,0)</f>
        <v>1203</v>
      </c>
      <c r="D39" s="1940"/>
      <c r="E39" s="163">
        <f t="shared" si="4"/>
        <v>0</v>
      </c>
      <c r="F39" s="163">
        <f>SUMIF(修正!A59:A70,G2,修正!D59:D70)</f>
        <v>0.2</v>
      </c>
      <c r="G39" s="163">
        <f>ROUND(IF(E2="工业",C39*$M$42,C39*$M$41),0)</f>
        <v>301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2037</v>
      </c>
      <c r="C40" s="163">
        <f>ROUND(D5*C22*C23*C24*C28*F40,0)</f>
        <v>1203</v>
      </c>
      <c r="D40" s="1940"/>
      <c r="E40" s="163">
        <f t="shared" si="4"/>
        <v>0</v>
      </c>
      <c r="F40" s="167">
        <f>SUMIF(修正!A59:A70,G2,修正!E59:E70)</f>
        <v>0.2</v>
      </c>
      <c r="G40" s="163">
        <f>ROUND(IF(E2="工业",C40*$M$42,C40*$M$41),0)</f>
        <v>301</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ht="13">
      <c r="A41" s="1956"/>
      <c r="B41" s="1884" t="s">
        <v>2039</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2121</v>
      </c>
      <c r="C44" s="333">
        <f>ROUND(POWER(1+E44,H44-G44)*(POWER(1+E44,G44)-1)/(POWER(1+E44,H44)-1),4)</f>
        <v>0</v>
      </c>
      <c r="D44" s="163" t="s">
        <v>1998</v>
      </c>
      <c r="E44" s="1991">
        <f>G24</f>
        <v>5.5E-2</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7.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3266</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2053</v>
      </c>
      <c r="B53" s="1974" t="s">
        <v>2054</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2055</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2056</v>
      </c>
      <c r="B55" s="1975" t="s">
        <v>2057</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2058</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2059</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2061</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7.5">
      <c r="A61" s="1970" t="s">
        <v>2063</v>
      </c>
      <c r="B61" s="1973" t="str">
        <f>估价对象房地状况!C17</f>
        <v>估价对象位于XX商圈，周边办公楼项目较多，入驻率高，办公集聚程度较好</v>
      </c>
      <c r="C61" s="1887" t="s">
        <v>3473</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2052</v>
      </c>
      <c r="B62" s="1262" t="str">
        <f>估价对象房地状况!C18</f>
        <v>估价对象周边道路状况、公共交通通达情况、停车便捷程度，综合评价交通便捷度较好</v>
      </c>
      <c r="C62" s="1887" t="s">
        <v>3473</v>
      </c>
      <c r="D62" s="1002">
        <f t="shared" si="12"/>
        <v>1.2999999999999999E-2</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8" t="s">
        <v>3266</v>
      </c>
      <c r="B63" s="1262">
        <f>估价对象房地状况!C19</f>
        <v>0</v>
      </c>
      <c r="C63" s="1887" t="s">
        <v>3473</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2053</v>
      </c>
      <c r="B64" s="1974" t="s">
        <v>2054</v>
      </c>
      <c r="C64" s="1887" t="s">
        <v>3473</v>
      </c>
      <c r="D64" s="1002">
        <f t="shared" si="12"/>
        <v>2.5000000000000001E-3</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2055</v>
      </c>
      <c r="B65" s="1262">
        <f>估价对象房地状况!C24</f>
        <v>0</v>
      </c>
      <c r="C65" s="1887" t="s">
        <v>3473</v>
      </c>
      <c r="D65" s="1002">
        <f t="shared" si="12"/>
        <v>2.5000000000000001E-3</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2056</v>
      </c>
      <c r="B66" s="1975" t="s">
        <v>2057</v>
      </c>
      <c r="C66" s="1887" t="s">
        <v>3473</v>
      </c>
      <c r="D66" s="1002">
        <f t="shared" si="12"/>
        <v>3.0000000000000001E-3</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2058</v>
      </c>
      <c r="B67" s="1240" t="str">
        <f>估价对象房地状况!C21</f>
        <v>估价对象所在区域公共配套设施齐备情况</v>
      </c>
      <c r="C67" s="1887" t="s">
        <v>3473</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2059</v>
      </c>
      <c r="B68" s="1240" t="str">
        <f>估价对象房地状况!C22</f>
        <v>估价对象所在区域基础设施水平</v>
      </c>
      <c r="C68" s="1887" t="s">
        <v>3474</v>
      </c>
      <c r="D68" s="1002">
        <f t="shared" si="12"/>
        <v>8.9999999999999993E-3</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2060</v>
      </c>
      <c r="B69" s="1979" t="str">
        <f>估价对象房地状况!C20</f>
        <v>区域自然环境：；人文环境；综合评价环境状况一般</v>
      </c>
      <c r="C69" s="1887" t="s">
        <v>3473</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0">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2066</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2058</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2059</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2056</v>
      </c>
      <c r="B78" s="1975" t="s">
        <v>2057</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2060</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2067</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2068</v>
      </c>
      <c r="B81" s="1968">
        <f>1+E83</f>
        <v>1</v>
      </c>
      <c r="C81" s="699"/>
      <c r="D81" s="699"/>
      <c r="E81" s="700"/>
      <c r="F81" s="1969"/>
      <c r="G81" s="3"/>
      <c r="H81" s="3"/>
      <c r="I81" s="3"/>
      <c r="J81" s="4"/>
      <c r="K81" s="4"/>
      <c r="L81" s="4"/>
      <c r="M81" s="4"/>
      <c r="N81" s="4"/>
      <c r="Z81" s="1845"/>
      <c r="AA81" s="1895"/>
      <c r="AG81" s="1058"/>
      <c r="AK81" s="1895"/>
    </row>
    <row r="82" spans="1:37" ht="26">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7.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2066</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2058</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2059</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2056</v>
      </c>
      <c r="B89" s="1975" t="s">
        <v>2070</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2611</v>
      </c>
      <c r="B91" s="3077">
        <f>1+E93</f>
        <v>1</v>
      </c>
      <c r="C91" s="3070"/>
      <c r="D91" s="3071"/>
      <c r="E91" s="1675"/>
      <c r="F91" s="1675"/>
      <c r="G91" s="3072"/>
      <c r="H91" s="3073"/>
      <c r="I91" s="3074"/>
      <c r="J91" s="3075"/>
      <c r="K91" s="3075"/>
      <c r="L91" s="3075"/>
      <c r="M91" s="3075"/>
      <c r="N91" s="3075"/>
    </row>
    <row r="92" spans="1:37" ht="26">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6">
      <c r="A93" s="3068" t="s">
        <v>3269</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3266</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3271</v>
      </c>
      <c r="B96" s="3084" t="s">
        <v>3282</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3272</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3273</v>
      </c>
      <c r="B98" s="3085" t="s">
        <v>3283</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3274</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3275</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3276</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386" t="s">
        <v>3291</v>
      </c>
      <c r="B103" s="3386"/>
      <c r="C103" s="3386"/>
      <c r="D103" s="3386"/>
      <c r="E103" s="3386"/>
      <c r="F103" s="3386"/>
      <c r="G103" s="3386"/>
      <c r="H103" s="3386"/>
      <c r="I103" s="3386"/>
      <c r="J103" s="3386"/>
      <c r="K103" s="1667"/>
      <c r="L103" s="1667"/>
      <c r="M103" s="1667"/>
      <c r="N103" s="1667"/>
    </row>
    <row r="104" spans="1:14" ht="13">
      <c r="A104" s="3387" t="s">
        <v>3292</v>
      </c>
      <c r="B104" s="3387" t="s">
        <v>3293</v>
      </c>
      <c r="C104" s="3088" t="s">
        <v>3294</v>
      </c>
      <c r="D104" s="3089"/>
      <c r="E104" s="3089"/>
      <c r="F104" s="3089"/>
      <c r="G104" s="3089"/>
      <c r="H104" s="3089"/>
      <c r="I104" s="3089"/>
      <c r="J104" s="3090"/>
      <c r="K104" s="3091"/>
      <c r="L104" s="3091"/>
      <c r="M104" s="3091"/>
      <c r="N104" s="3091"/>
    </row>
    <row r="105" spans="1:14" ht="13">
      <c r="A105" s="3387"/>
      <c r="B105" s="338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7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37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376" t="s">
        <v>3308</v>
      </c>
      <c r="B113" s="3376"/>
      <c r="C113" s="3376"/>
      <c r="D113" s="3376"/>
      <c r="E113" s="3376"/>
      <c r="F113" s="3376"/>
      <c r="G113" s="3376"/>
      <c r="H113" s="3376"/>
      <c r="I113" s="3376"/>
      <c r="J113" s="33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3309</v>
      </c>
      <c r="B116" s="3112">
        <f>G3</f>
        <v>1</v>
      </c>
      <c r="C116" s="3097" t="s">
        <v>3310</v>
      </c>
      <c r="D116" s="3098">
        <f>SUMPRODUCT((A118:A122=F116)*(B117:M117=H116)*B118:M122)</f>
        <v>0.81979999999999997</v>
      </c>
      <c r="E116" s="162" t="s">
        <v>3311</v>
      </c>
      <c r="F116" s="3099" t="str">
        <f>E2</f>
        <v>办公</v>
      </c>
      <c r="G116" s="162" t="s">
        <v>3312</v>
      </c>
      <c r="H116" s="3099" t="str">
        <f>G2</f>
        <v>八级</v>
      </c>
      <c r="I116" s="162"/>
      <c r="J116" s="3100"/>
      <c r="K116" s="3100"/>
      <c r="L116" s="3100"/>
      <c r="M116" s="3100"/>
      <c r="N116" s="3095"/>
    </row>
    <row r="117" spans="1:14" ht="13">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ht="13">
      <c r="A118" s="3055" t="s">
        <v>3325</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ht="13">
      <c r="A119" s="3055" t="s">
        <v>3326</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ht="13">
      <c r="A120" s="3055" t="s">
        <v>3327</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3328</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ht="13">
      <c r="A122" s="3111" t="s">
        <v>2611</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6"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t="s">
        <v>3486</v>
      </c>
      <c r="D1" s="1271" t="s">
        <v>43</v>
      </c>
      <c r="E1" s="1272" t="s">
        <v>677</v>
      </c>
      <c r="F1" s="999">
        <f ca="1">J53</f>
        <v>28.49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f ca="1">C40+J29+L46</f>
        <v>1670</v>
      </c>
      <c r="C2" s="1289" t="s">
        <v>804</v>
      </c>
      <c r="D2" s="1289"/>
      <c r="E2" s="1295"/>
      <c r="F2" s="1296"/>
      <c r="G2" s="2476"/>
      <c r="H2" s="2466"/>
      <c r="I2" s="2466"/>
      <c r="J2" s="2466"/>
      <c r="K2" s="2467"/>
      <c r="L2" s="2466"/>
      <c r="M2" s="2466"/>
    </row>
    <row r="3" spans="1:37" ht="18" customHeight="1" thickBot="1">
      <c r="A3" s="1297" t="s">
        <v>805</v>
      </c>
      <c r="B3" s="1298">
        <f ca="1">IF(ISERROR(B2*10000/F43),0,ROUND(B2*10000/F43,0))</f>
        <v>7401</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119</v>
      </c>
      <c r="D5" s="1273" t="s">
        <v>692</v>
      </c>
      <c r="E5" s="1008"/>
      <c r="F5" s="1009"/>
      <c r="G5" s="1292"/>
      <c r="H5" s="291">
        <v>1</v>
      </c>
      <c r="I5" s="292" t="s">
        <v>691</v>
      </c>
      <c r="J5" s="1007">
        <f ca="1">J6+J10+J12</f>
        <v>0</v>
      </c>
      <c r="K5" s="1273" t="s">
        <v>692</v>
      </c>
      <c r="L5" s="1008"/>
      <c r="M5" s="1009"/>
    </row>
    <row r="6" spans="1:37" ht="18" customHeight="1">
      <c r="A6" s="1006" t="s">
        <v>398</v>
      </c>
      <c r="B6" s="3394" t="s">
        <v>693</v>
      </c>
      <c r="C6" s="1011">
        <f ca="1">ROUND(F6*F8*F7*(1-F9)/10000,0)</f>
        <v>119</v>
      </c>
      <c r="D6" s="147" t="s">
        <v>2108</v>
      </c>
      <c r="E6" s="294" t="s">
        <v>695</v>
      </c>
      <c r="F6" s="295">
        <f ca="1">INDIRECT("'数据-取费表'!u"&amp;$G$1)</f>
        <v>1.6</v>
      </c>
      <c r="G6" s="1292"/>
      <c r="H6" s="1006" t="s">
        <v>398</v>
      </c>
      <c r="I6" s="3394" t="s">
        <v>693</v>
      </c>
      <c r="J6" s="293">
        <f ca="1">ROUND(M6*M8*M7*(1-M9)/10000,0)</f>
        <v>0</v>
      </c>
      <c r="K6" s="147" t="s">
        <v>2107</v>
      </c>
      <c r="L6" s="294" t="s">
        <v>695</v>
      </c>
      <c r="M6" s="295">
        <f ca="1">INDIRECT("'数据-取费表'!z"&amp;$G$1)</f>
        <v>0</v>
      </c>
    </row>
    <row r="7" spans="1:37" ht="18" customHeight="1">
      <c r="A7" s="1010"/>
      <c r="B7" s="3395"/>
      <c r="C7" s="1012"/>
      <c r="D7" s="299"/>
      <c r="E7" s="1013" t="s">
        <v>696</v>
      </c>
      <c r="F7" s="295">
        <f ca="1">IF(INDIRECT("'数据-取费表'!ah"&amp;$G$1)="",INDIRECT("'数据-取费表'!k"&amp;$G$1),INDIRECT("'数据-取费表'!ah"&amp;$G$1))</f>
        <v>2256.4</v>
      </c>
      <c r="G7" s="1292"/>
      <c r="H7" s="296"/>
      <c r="I7" s="3395"/>
      <c r="J7" s="298"/>
      <c r="K7" s="299"/>
      <c r="L7" s="294" t="s">
        <v>696</v>
      </c>
      <c r="M7" s="295">
        <f ca="1">F7</f>
        <v>2256.4</v>
      </c>
    </row>
    <row r="8" spans="1:37" ht="18" customHeight="1">
      <c r="A8" s="296"/>
      <c r="B8" s="3395"/>
      <c r="C8" s="298"/>
      <c r="D8" s="299"/>
      <c r="E8" s="294" t="s">
        <v>697</v>
      </c>
      <c r="F8" s="295">
        <f ca="1">INDIRECT("'数据-取费表'!ai"&amp;$G$1)</f>
        <v>365</v>
      </c>
      <c r="G8" s="1292"/>
      <c r="H8" s="296"/>
      <c r="I8" s="3395"/>
      <c r="J8" s="298"/>
      <c r="K8" s="299"/>
      <c r="L8" s="294" t="s">
        <v>697</v>
      </c>
      <c r="M8" s="295">
        <f ca="1">INDIRECT("'数据-取费表'!ai"&amp;$G$1)</f>
        <v>365</v>
      </c>
    </row>
    <row r="9" spans="1:37" ht="18" customHeight="1">
      <c r="A9" s="296"/>
      <c r="B9" s="3396"/>
      <c r="C9" s="298"/>
      <c r="D9" s="299"/>
      <c r="E9" s="294" t="s">
        <v>698</v>
      </c>
      <c r="F9" s="304">
        <f ca="1">INDIRECT("'数据-取费表'!w"&amp;$G$1)</f>
        <v>0.1</v>
      </c>
      <c r="G9" s="1292"/>
      <c r="H9" s="296"/>
      <c r="I9" s="3396"/>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2116</v>
      </c>
      <c r="E10" s="305" t="s">
        <v>700</v>
      </c>
      <c r="F10" s="1053" t="s">
        <v>3478</v>
      </c>
      <c r="G10" s="1292"/>
      <c r="H10" s="1006" t="s">
        <v>402</v>
      </c>
      <c r="I10" s="1274" t="s">
        <v>699</v>
      </c>
      <c r="J10" s="293">
        <f ca="1">ROUND(IF(M10="押一",J6/12*M11,IF(M10="押二",J6/12*2*M11,IF(M10="押三",J6/12*3*M11,J11*M11))),0)</f>
        <v>0</v>
      </c>
      <c r="K10" s="150" t="s">
        <v>2115</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725</v>
      </c>
      <c r="D13" s="1018" t="s">
        <v>704</v>
      </c>
      <c r="E13" s="1018" t="s">
        <v>705</v>
      </c>
      <c r="F13" s="1019">
        <f ca="1">INDIRECT("'数据-取费表'!y"&amp;$G$1)</f>
        <v>0.78</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677</v>
      </c>
      <c r="D14" s="1257" t="s">
        <v>707</v>
      </c>
      <c r="E14" s="1255"/>
      <c r="F14" s="311"/>
      <c r="G14" s="1292"/>
      <c r="H14" s="928" t="s">
        <v>398</v>
      </c>
      <c r="I14" s="294" t="s">
        <v>708</v>
      </c>
      <c r="J14" s="21">
        <f ca="1">C29</f>
        <v>930</v>
      </c>
      <c r="K14" s="12"/>
      <c r="L14" s="759"/>
      <c r="M14" s="760"/>
    </row>
    <row r="15" spans="1:37" s="1304" customFormat="1" ht="18" customHeight="1" thickBot="1">
      <c r="A15" s="928" t="s">
        <v>399</v>
      </c>
      <c r="B15" s="294" t="s">
        <v>709</v>
      </c>
      <c r="C15" s="21">
        <f ca="1">ROUND(C14*F15,0)</f>
        <v>34</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6</v>
      </c>
      <c r="K16" s="1024" t="s">
        <v>714</v>
      </c>
      <c r="L16" s="1025"/>
      <c r="M16" s="1009"/>
    </row>
    <row r="17" spans="1:37" s="1304" customFormat="1" ht="18" customHeight="1">
      <c r="A17" s="928" t="s">
        <v>680</v>
      </c>
      <c r="B17" s="294" t="s">
        <v>715</v>
      </c>
      <c r="C17" s="21">
        <f ca="1">ROUND(F17*(F43+INDIRECT("'数据-取费表'!S"&amp;$G$1))/10000,0)</f>
        <v>45</v>
      </c>
      <c r="D17" s="294" t="s">
        <v>716</v>
      </c>
      <c r="E17" s="294" t="s">
        <v>717</v>
      </c>
      <c r="F17" s="23">
        <f>'数据-取费表'!B35</f>
        <v>200</v>
      </c>
      <c r="G17" s="1303"/>
      <c r="H17" s="928" t="s">
        <v>398</v>
      </c>
      <c r="I17" s="294" t="s">
        <v>718</v>
      </c>
      <c r="J17" s="2139">
        <f ca="1">ROUND(IF(AND(项目基本情况!B11="自然人",项目基本情况!B10="北京市"),J6*M17/(1+'数据-取费表'!C42),J18+J19+J20),2)</f>
        <v>0.88</v>
      </c>
      <c r="K17" s="1257" t="s">
        <v>719</v>
      </c>
      <c r="L17" s="1256" t="s">
        <v>720</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14</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770</v>
      </c>
      <c r="D19" s="123" t="s">
        <v>725</v>
      </c>
      <c r="E19" s="1269"/>
      <c r="F19" s="23"/>
      <c r="G19" s="1292"/>
      <c r="H19" s="928" t="s">
        <v>399</v>
      </c>
      <c r="I19" s="294" t="s">
        <v>726</v>
      </c>
      <c r="J19" s="21">
        <f ca="1">IF(K19="按租金收入计税",ROUND(J6*M19/(1+'数据-取费表'!C42),2),ROUND(C29*M19*0.7,2))</f>
        <v>0</v>
      </c>
      <c r="K19" s="1278" t="s">
        <v>3333</v>
      </c>
      <c r="L19" s="294" t="s">
        <v>711</v>
      </c>
      <c r="M19" s="314">
        <f>IF(K19="按租金收入计税",'数据-取费表'!B51,'数据-取费表'!B50)</f>
        <v>0.12</v>
      </c>
    </row>
    <row r="20" spans="1:37" s="1304" customFormat="1" ht="18" customHeight="1">
      <c r="A20" s="928" t="s">
        <v>402</v>
      </c>
      <c r="B20" s="294" t="s">
        <v>727</v>
      </c>
      <c r="C20" s="21">
        <f ca="1">ROUND(C19*F20,0)</f>
        <v>15</v>
      </c>
      <c r="D20" s="315" t="s">
        <v>728</v>
      </c>
      <c r="E20" s="294" t="s">
        <v>711</v>
      </c>
      <c r="F20" s="314">
        <f>'数据-取费表'!B37</f>
        <v>0.02</v>
      </c>
      <c r="G20" s="1303"/>
      <c r="H20" s="928" t="s">
        <v>679</v>
      </c>
      <c r="I20" s="147" t="s">
        <v>729</v>
      </c>
      <c r="J20" s="22">
        <f ca="1">ROUND(M20*M21/10000,2)</f>
        <v>0.88</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5851.68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f ca="1">ROUND(J14*M22,2)</f>
        <v>4.6500000000000004</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12</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f ca="1">ROUND(J13*M23,2)</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0.03</v>
      </c>
      <c r="G24" s="1303"/>
      <c r="H24" s="1026" t="s">
        <v>683</v>
      </c>
      <c r="I24" s="1027" t="s">
        <v>727</v>
      </c>
      <c r="J24" s="1028">
        <f ca="1">ROUND(J5*M24,2)</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-6</v>
      </c>
      <c r="K25" s="1032" t="s">
        <v>752</v>
      </c>
      <c r="L25" s="1033"/>
      <c r="M25" s="1034"/>
    </row>
    <row r="26" spans="1:37" ht="13">
      <c r="A26" s="928" t="s">
        <v>397</v>
      </c>
      <c r="B26" s="294" t="s">
        <v>753</v>
      </c>
      <c r="C26" s="21">
        <f ca="1">ROUND((C19+C20)*F26,0)</f>
        <v>63</v>
      </c>
      <c r="D26" s="315" t="s">
        <v>754</v>
      </c>
      <c r="E26" s="305" t="s">
        <v>755</v>
      </c>
      <c r="F26" s="304">
        <f ca="1">INDIRECT("'数据-取费表'!q"&amp;$G$1)</f>
        <v>0.08</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1.6000000000000001E-3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930</v>
      </c>
      <c r="D29" s="1029"/>
      <c r="E29" s="1027"/>
      <c r="F29" s="1030"/>
      <c r="G29" s="1303"/>
      <c r="H29" s="325" t="s">
        <v>396</v>
      </c>
      <c r="I29" s="326" t="s">
        <v>767</v>
      </c>
      <c r="J29" s="327">
        <f ca="1">ROUND(J26/(1+F40)^F41,0)</f>
        <v>0</v>
      </c>
      <c r="K29" s="328" t="s">
        <v>768</v>
      </c>
      <c r="L29" s="329"/>
      <c r="M29" s="330">
        <f ca="1">INDIRECT("'数据-取费表'!k"&amp;$G$1)</f>
        <v>2256.4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v>
      </c>
      <c r="D30" s="1024" t="s">
        <v>714</v>
      </c>
      <c r="E30" s="1025"/>
      <c r="F30" s="1009"/>
      <c r="G30" s="1292"/>
      <c r="H30" s="2468"/>
      <c r="I30" s="1305"/>
      <c r="J30" s="1306"/>
      <c r="K30" s="121"/>
      <c r="L30" s="2469"/>
      <c r="M30" s="2470"/>
    </row>
    <row r="31" spans="1:37" ht="18" customHeight="1">
      <c r="A31" s="928" t="s">
        <v>398</v>
      </c>
      <c r="B31" s="294" t="s">
        <v>718</v>
      </c>
      <c r="C31" s="2139">
        <f ca="1">ROUND(IF(AND(项目基本情况!B11="自然人",项目基本情况!B10="北京市"),C6*F31/(1+'数据-取费表'!C42),C32+C33+C34),2)</f>
        <v>20.83</v>
      </c>
      <c r="D31" s="1257" t="s">
        <v>719</v>
      </c>
      <c r="E31" s="1256" t="s">
        <v>769</v>
      </c>
      <c r="F31" s="2138"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722</v>
      </c>
      <c r="C32" s="21">
        <f ca="1">IF(项目基本情况!B11="自然人","——",ROUND(C6*F32/(1+'数据-取费表'!C42),2))</f>
        <v>6.35</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IF(项目基本情况!B11="自然人","——",IF(D33="按租金收入计税",ROUND(C6*F33/(1+'数据-取费表'!C42),2),IF(D33="按房产原值计税",ROUND(C29*F33*0.7,2),INDIRECT("'数据-取费表'!Aj"&amp;$G$1))))</f>
        <v>13.6</v>
      </c>
      <c r="D33" s="1278" t="s">
        <v>3333</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IF(项目基本情况!B11="自然人","——",ROUND(F34*F35/10000,2))</f>
        <v>0.88</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5851.68</v>
      </c>
      <c r="G35" s="1292"/>
      <c r="H35" s="2468"/>
      <c r="I35" s="1305"/>
      <c r="J35" s="1306"/>
      <c r="K35" s="2472"/>
      <c r="L35" s="2471"/>
      <c r="M35" s="2471"/>
    </row>
    <row r="36" spans="1:18" ht="18" customHeight="1">
      <c r="A36" s="1039" t="s">
        <v>402</v>
      </c>
      <c r="B36" s="294" t="s">
        <v>737</v>
      </c>
      <c r="C36" s="21">
        <f ca="1">ROUND(C29*F36,2)</f>
        <v>4.6500000000000004</v>
      </c>
      <c r="D36" s="1256" t="s">
        <v>770</v>
      </c>
      <c r="E36" s="294" t="s">
        <v>711</v>
      </c>
      <c r="F36" s="320">
        <f ca="1">INDIRECT("'数据-取费表'!Ak"&amp;$G$1)</f>
        <v>5.0000000000000001E-3</v>
      </c>
      <c r="G36" s="1292"/>
      <c r="H36" s="2471"/>
      <c r="I36" s="1305"/>
      <c r="J36" s="1306"/>
      <c r="K36" s="2329"/>
      <c r="L36" s="2471"/>
      <c r="M36" s="2471"/>
    </row>
    <row r="37" spans="1:18" ht="18" customHeight="1">
      <c r="A37" s="928" t="s">
        <v>437</v>
      </c>
      <c r="B37" s="294" t="s">
        <v>741</v>
      </c>
      <c r="C37" s="21">
        <f ca="1">ROUND(C13*F37,2)</f>
        <v>0.73</v>
      </c>
      <c r="D37" s="1256" t="s">
        <v>742</v>
      </c>
      <c r="E37" s="294" t="s">
        <v>743</v>
      </c>
      <c r="F37" s="321">
        <f ca="1">INDIRECT("'数据-取费表'!Al"&amp;$G$1)</f>
        <v>1E-3</v>
      </c>
      <c r="G37" s="1292"/>
      <c r="H37" s="2471"/>
      <c r="I37" s="1305"/>
      <c r="J37" s="1306"/>
      <c r="K37" s="2329"/>
      <c r="L37" s="2471"/>
      <c r="M37" s="2471"/>
    </row>
    <row r="38" spans="1:18" ht="18" customHeight="1" thickBot="1">
      <c r="A38" s="1026" t="s">
        <v>683</v>
      </c>
      <c r="B38" s="1027" t="s">
        <v>727</v>
      </c>
      <c r="C38" s="1028">
        <f ca="1">ROUND(C5*F38,2)</f>
        <v>1.19</v>
      </c>
      <c r="D38" s="1029" t="s">
        <v>747</v>
      </c>
      <c r="E38" s="1027" t="s">
        <v>743</v>
      </c>
      <c r="F38" s="1023">
        <f ca="1">INDIRECT("'数据-取费表'!Am"&amp;$G$1)</f>
        <v>0.01</v>
      </c>
      <c r="G38" s="1292"/>
      <c r="H38" s="2471"/>
      <c r="I38" s="1305"/>
      <c r="J38" s="1306"/>
      <c r="K38" s="2469"/>
      <c r="L38" s="2471"/>
      <c r="M38" s="2471"/>
    </row>
    <row r="39" spans="1:18" ht="24.65" customHeight="1" thickTop="1">
      <c r="A39" s="1016" t="s">
        <v>394</v>
      </c>
      <c r="B39" s="1031" t="s">
        <v>771</v>
      </c>
      <c r="C39" s="302">
        <f ca="1">C5-C30</f>
        <v>92</v>
      </c>
      <c r="D39" s="1032" t="s">
        <v>772</v>
      </c>
      <c r="E39" s="1033"/>
      <c r="F39" s="1034"/>
      <c r="G39" s="1292"/>
      <c r="H39" s="2471">
        <f ca="1">C39/C5</f>
        <v>0.77310924369747902</v>
      </c>
      <c r="I39" s="1305"/>
      <c r="J39" s="1306"/>
      <c r="K39" s="2469"/>
      <c r="L39" s="2471"/>
      <c r="M39" s="2471"/>
    </row>
    <row r="40" spans="1:18" ht="18" customHeight="1">
      <c r="A40" s="291" t="s">
        <v>395</v>
      </c>
      <c r="B40" s="292" t="s">
        <v>773</v>
      </c>
      <c r="C40" s="293">
        <f ca="1">ROUND(C39*(1-((1+F42)/(1+F40))^F41)/(F40-F42),0)</f>
        <v>1623</v>
      </c>
      <c r="D40" s="316" t="s">
        <v>757</v>
      </c>
      <c r="E40" s="294" t="s">
        <v>758</v>
      </c>
      <c r="F40" s="304">
        <f ca="1">INDIRECT("'数据-取费表'!I"&amp;$G$1)</f>
        <v>5.5E-2</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28.49</v>
      </c>
      <c r="G41" s="1292"/>
      <c r="H41" s="121"/>
      <c r="I41" s="1305"/>
      <c r="J41" s="1306"/>
      <c r="K41" s="2329"/>
      <c r="L41" s="121"/>
      <c r="M41" s="121"/>
    </row>
    <row r="42" spans="1:18" ht="18" customHeight="1">
      <c r="A42" s="300"/>
      <c r="B42" s="301"/>
      <c r="C42" s="302"/>
      <c r="D42" s="319"/>
      <c r="E42" s="294" t="s">
        <v>765</v>
      </c>
      <c r="F42" s="304">
        <f ca="1">INDIRECT("'数据-取费表'!v"&amp;$G$1)</f>
        <v>0.02</v>
      </c>
      <c r="G42" s="1292"/>
      <c r="H42" s="121"/>
      <c r="I42" s="1305"/>
      <c r="J42" s="1306"/>
      <c r="K42" s="2329"/>
      <c r="L42" s="121"/>
      <c r="M42" s="121"/>
    </row>
    <row r="43" spans="1:18" ht="18" customHeight="1" thickBot="1">
      <c r="A43" s="325" t="s">
        <v>396</v>
      </c>
      <c r="B43" s="326" t="s">
        <v>775</v>
      </c>
      <c r="C43" s="327">
        <f ca="1">ROUND(C40*10000/F43,0)</f>
        <v>7193</v>
      </c>
      <c r="D43" s="328" t="s">
        <v>776</v>
      </c>
      <c r="E43" s="329" t="s">
        <v>777</v>
      </c>
      <c r="F43" s="330">
        <f ca="1">INDIRECT("'数据-取费表'!k"&amp;$G$1)</f>
        <v>2256.4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807</v>
      </c>
      <c r="P45" s="1366"/>
      <c r="Q45" s="1366"/>
      <c r="R45" s="1366"/>
    </row>
    <row r="46" spans="1:18" s="1292" customFormat="1" ht="14" thickBot="1">
      <c r="A46" s="1311" t="s">
        <v>808</v>
      </c>
      <c r="C46" s="1312">
        <f ca="1">C68-C40</f>
        <v>-1708</v>
      </c>
      <c r="D46" s="1313" t="str">
        <f>C2</f>
        <v>万元</v>
      </c>
      <c r="E46" s="1307"/>
      <c r="F46" s="1307"/>
      <c r="I46" s="1314" t="s">
        <v>809</v>
      </c>
      <c r="J46" s="1315"/>
      <c r="K46" s="1316"/>
      <c r="L46" s="1317">
        <f ca="1">IF(M47="住宅",0,IF(L48&gt;J51,L60,J60))</f>
        <v>47</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t="s">
        <v>3479</v>
      </c>
      <c r="K47" s="1323" t="s">
        <v>815</v>
      </c>
      <c r="L47" s="1324">
        <f ca="1">INDIRECT("'数据-取费表'!d"&amp;$G$1)</f>
        <v>0</v>
      </c>
      <c r="M47" s="1288" t="str">
        <f>IF(ISNUMBER(FIND("住宅",C1)),"住宅","非住宅")</f>
        <v>非住宅</v>
      </c>
      <c r="O47" s="1325" t="s">
        <v>403</v>
      </c>
      <c r="P47" s="1326" t="s">
        <v>816</v>
      </c>
      <c r="Q47" s="1327">
        <f ca="1">C40+J29</f>
        <v>1623</v>
      </c>
      <c r="R47" s="1327" t="s">
        <v>817</v>
      </c>
    </row>
    <row r="48" spans="1:18" s="1292" customFormat="1" ht="43.5" thickBot="1">
      <c r="A48" s="1047" t="s">
        <v>438</v>
      </c>
      <c r="B48" s="292" t="s">
        <v>691</v>
      </c>
      <c r="C48" s="1268">
        <f ca="1">C49+C53+C55</f>
        <v>0</v>
      </c>
      <c r="D48" s="1049"/>
      <c r="E48" s="1050"/>
      <c r="F48" s="908"/>
      <c r="G48" s="681"/>
      <c r="H48" s="682"/>
      <c r="I48" s="1328" t="s">
        <v>818</v>
      </c>
      <c r="J48" s="1329" t="s">
        <v>3480</v>
      </c>
      <c r="K48" s="1330" t="s">
        <v>819</v>
      </c>
      <c r="L48" s="1331">
        <f ca="1">INDIRECT("'数据-取费表'!f"&amp;$G$1)</f>
        <v>28.49</v>
      </c>
      <c r="O48" s="1325" t="s">
        <v>404</v>
      </c>
      <c r="P48" s="1326" t="s">
        <v>820</v>
      </c>
      <c r="Q48" s="1327">
        <f ca="1">J60</f>
        <v>47</v>
      </c>
      <c r="R48" s="1327" t="s">
        <v>821</v>
      </c>
    </row>
    <row r="49" spans="1:18" s="1292" customFormat="1" ht="13.5" thickBot="1">
      <c r="A49" s="921" t="s">
        <v>439</v>
      </c>
      <c r="B49" s="1279" t="s">
        <v>778</v>
      </c>
      <c r="C49" s="1051">
        <f ca="1">ROUND(F49*F51*F50*(1-F52)/10000,0)</f>
        <v>0</v>
      </c>
      <c r="D49" s="992" t="s">
        <v>2109</v>
      </c>
      <c r="E49" s="1280" t="s">
        <v>779</v>
      </c>
      <c r="F49" s="997"/>
      <c r="H49" s="682"/>
      <c r="I49" s="1328" t="s">
        <v>822</v>
      </c>
      <c r="J49" s="1332">
        <f>'数据-取费表'!N21</f>
        <v>2014</v>
      </c>
      <c r="K49" s="1330" t="s">
        <v>823</v>
      </c>
      <c r="L49" s="1333"/>
      <c r="O49" s="1334" t="s">
        <v>405</v>
      </c>
      <c r="P49" s="1326" t="s">
        <v>824</v>
      </c>
      <c r="Q49" s="1327">
        <f ca="1">C29</f>
        <v>930</v>
      </c>
      <c r="R49" s="1327" t="s">
        <v>817</v>
      </c>
    </row>
    <row r="50" spans="1:18" s="1292" customFormat="1" ht="13.5" thickBot="1">
      <c r="A50" s="922"/>
      <c r="B50" s="925"/>
      <c r="C50" s="1055"/>
      <c r="D50" s="899"/>
      <c r="E50" s="993" t="s">
        <v>696</v>
      </c>
      <c r="F50" s="994">
        <f ca="1">F7</f>
        <v>2256.4</v>
      </c>
      <c r="H50" s="682"/>
      <c r="I50" s="1328" t="s">
        <v>825</v>
      </c>
      <c r="J50" s="1335">
        <f>SUMPRODUCT((I63:I65=J47)*(J62:L62=J48)*(J63:L65))</f>
        <v>50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39</v>
      </c>
      <c r="K51" s="1339" t="s">
        <v>829</v>
      </c>
      <c r="L51" s="1340">
        <f ca="1">ROUND(-PV(INDIRECT("'数据-取费表'!h"&amp;$G$1),J51,(C39-C13*C76),0),0)</f>
        <v>702</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28.49</v>
      </c>
      <c r="R52" s="1327" t="s">
        <v>834</v>
      </c>
    </row>
    <row r="53" spans="1:18" s="1292" customFormat="1" ht="26.5" thickBot="1">
      <c r="A53" s="1079" t="s">
        <v>440</v>
      </c>
      <c r="B53" s="1281" t="s">
        <v>699</v>
      </c>
      <c r="C53" s="308">
        <f ca="1">ROUND(IF(F53="押一",C49/12*F11,IF(F53="押二",C49/12*2*F11,IF(F53="押三",C49/12*3*F11,C54*F11))),0)</f>
        <v>0</v>
      </c>
      <c r="D53" s="150" t="s">
        <v>2115</v>
      </c>
      <c r="E53" s="305" t="s">
        <v>700</v>
      </c>
      <c r="F53" s="1053"/>
      <c r="I53" s="1344" t="s">
        <v>835</v>
      </c>
      <c r="J53" s="2005">
        <f ca="1">IF(M47="住宅",IF(D1="——",MAX(J51,L48),MAX(J51,L48-'数据-取费表'!B24)),IF(D1="——",MIN(J51,L48),MIN(J51,L48-'数据-取费表'!B24)))</f>
        <v>28.49</v>
      </c>
      <c r="K53" s="3392" t="s">
        <v>836</v>
      </c>
      <c r="L53" s="3393"/>
      <c r="O53" s="1325" t="s">
        <v>409</v>
      </c>
      <c r="P53" s="1326" t="s">
        <v>837</v>
      </c>
      <c r="Q53" s="1327">
        <f ca="1">Q47+Q48</f>
        <v>1670</v>
      </c>
      <c r="R53" s="1327" t="s">
        <v>410</v>
      </c>
    </row>
    <row r="54" spans="1:18" s="1292" customFormat="1" ht="26.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0.22600000000000001</v>
      </c>
      <c r="K55" s="1350" t="s">
        <v>840</v>
      </c>
      <c r="L55" s="1351"/>
      <c r="O55" s="1318" t="s">
        <v>810</v>
      </c>
      <c r="P55" s="1319" t="s">
        <v>811</v>
      </c>
      <c r="Q55" s="1320" t="s">
        <v>812</v>
      </c>
      <c r="R55" s="1320" t="s">
        <v>813</v>
      </c>
    </row>
    <row r="56" spans="1:18" s="1292" customFormat="1" ht="40" thickTop="1" thickBot="1">
      <c r="A56" s="903">
        <v>2</v>
      </c>
      <c r="B56" s="904" t="s">
        <v>703</v>
      </c>
      <c r="C56" s="224">
        <f ca="1">C13</f>
        <v>725</v>
      </c>
      <c r="D56" s="1352"/>
      <c r="E56" s="1353"/>
      <c r="F56" s="1345"/>
      <c r="I56" s="1354" t="s">
        <v>841</v>
      </c>
      <c r="J56" s="1355" t="s">
        <v>3481</v>
      </c>
      <c r="K56" s="1328" t="s">
        <v>842</v>
      </c>
      <c r="L56" s="1331" t="str">
        <f ca="1">IF(L48&lt;J51,"——",L48-J53)</f>
        <v>——</v>
      </c>
      <c r="O56" s="1325" t="s">
        <v>403</v>
      </c>
      <c r="P56" s="1326" t="s">
        <v>816</v>
      </c>
      <c r="Q56" s="1327">
        <f ca="1">C40+J29</f>
        <v>1623</v>
      </c>
      <c r="R56" s="1327" t="s">
        <v>817</v>
      </c>
    </row>
    <row r="57" spans="1:18" s="1292" customFormat="1" ht="26.5" thickBot="1">
      <c r="A57" s="1356"/>
      <c r="B57" s="896" t="s">
        <v>766</v>
      </c>
      <c r="C57" s="230">
        <f ca="1">C29</f>
        <v>930</v>
      </c>
      <c r="D57" s="1357"/>
      <c r="E57" s="1358"/>
      <c r="F57" s="1359"/>
      <c r="I57" s="1360" t="s">
        <v>843</v>
      </c>
      <c r="J57" s="1361">
        <f ca="1">IF(OR(M47="住宅",J51&lt;L48,J56="是"),"——",J51-L48)</f>
        <v>10.510000000000002</v>
      </c>
      <c r="K57" s="1328" t="s">
        <v>844</v>
      </c>
      <c r="L57" s="1331" t="str">
        <f ca="1">IF(L48&lt;J51,"——",IF(L55="比较法",L49,IF(L55="基准地价",L50,L51)))</f>
        <v>——</v>
      </c>
      <c r="O57" s="1325" t="s">
        <v>404</v>
      </c>
      <c r="P57" s="1326" t="s">
        <v>845</v>
      </c>
      <c r="Q57" s="1327">
        <f ca="1">L60</f>
        <v>0</v>
      </c>
      <c r="R57" s="1327" t="s">
        <v>846</v>
      </c>
    </row>
    <row r="58" spans="1:18" s="1292" customFormat="1" ht="26.5" thickBot="1">
      <c r="A58" s="307" t="s">
        <v>393</v>
      </c>
      <c r="B58" s="904" t="s">
        <v>713</v>
      </c>
      <c r="C58" s="308">
        <f ca="1">ROUND(C59+C64+C65+C66,0)</f>
        <v>6</v>
      </c>
      <c r="D58" s="906" t="s">
        <v>714</v>
      </c>
      <c r="E58" s="907"/>
      <c r="F58" s="908"/>
      <c r="I58" s="1360" t="s">
        <v>847</v>
      </c>
      <c r="J58" s="1362">
        <f ca="1">IF(J55&lt;0.4,0.4,J55)</f>
        <v>0.4</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39">
        <f ca="1">ROUND(IF(AND(项目基本情况!B11="自然人",项目基本情况!B10="北京市"),C49*F59/(1+'数据-取费表'!C42),C60+C61+C62),0)</f>
        <v>1</v>
      </c>
      <c r="D59" s="909" t="s">
        <v>719</v>
      </c>
      <c r="E59" s="910" t="s">
        <v>720</v>
      </c>
      <c r="F59" s="2138" t="str">
        <f>IF(项目基本情况!B11="企业","——",IF('数据-取费表'!B10="住宅",IF(F49*F50*F51/12/(1+'数据-取费表'!F30)&gt;100000,4%,2.5%),IF(F49*F50*F51/12/(1+'数据-取费表'!F30)&gt;100000,12%,7%)))</f>
        <v>——</v>
      </c>
      <c r="I59" s="1360" t="s">
        <v>850</v>
      </c>
      <c r="J59" s="1361">
        <f ca="1">IF(OR(M47="住宅",J51&lt;L48,J56="是"),"——",ROUND(C29*J58,0))</f>
        <v>372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f ca="1">IF(OR(M47="住宅",J51&lt;L48,J56="是"),"0",ROUND(J59/(1+J52)^J53,0))</f>
        <v>47</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3333</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0.88</v>
      </c>
      <c r="D62" s="911" t="s">
        <v>785</v>
      </c>
      <c r="E62" s="896" t="s">
        <v>786</v>
      </c>
      <c r="F62" s="317">
        <f t="shared" si="0"/>
        <v>1.5</v>
      </c>
      <c r="I62" s="1367" t="s">
        <v>857</v>
      </c>
      <c r="J62" s="610" t="s">
        <v>858</v>
      </c>
      <c r="K62" s="610" t="s">
        <v>859</v>
      </c>
      <c r="L62" s="610" t="s">
        <v>860</v>
      </c>
      <c r="M62" s="1368" t="s">
        <v>861</v>
      </c>
      <c r="O62" s="1325" t="s">
        <v>409</v>
      </c>
      <c r="P62" s="1326" t="s">
        <v>862</v>
      </c>
      <c r="Q62" s="1327">
        <f ca="1">Q56+Q57</f>
        <v>1623</v>
      </c>
      <c r="R62" s="1327" t="s">
        <v>410</v>
      </c>
    </row>
    <row r="63" spans="1:18" s="1292" customFormat="1" ht="13.5" thickBot="1">
      <c r="A63" s="318"/>
      <c r="B63" s="902"/>
      <c r="C63" s="26"/>
      <c r="D63" s="912"/>
      <c r="E63" s="896" t="s">
        <v>787</v>
      </c>
      <c r="F63" s="295">
        <f t="shared" ca="1" si="0"/>
        <v>5851.68</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4.6500000000000004</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0.73</v>
      </c>
      <c r="D65" s="910" t="s">
        <v>742</v>
      </c>
      <c r="E65" s="896" t="s">
        <v>743</v>
      </c>
      <c r="F65" s="321">
        <f t="shared" ca="1" si="0"/>
        <v>1E-3</v>
      </c>
      <c r="I65" s="1367" t="s">
        <v>866</v>
      </c>
      <c r="J65" s="610">
        <v>40</v>
      </c>
      <c r="K65" s="610">
        <v>30</v>
      </c>
      <c r="L65" s="610">
        <v>50</v>
      </c>
      <c r="M65" s="1369">
        <v>0.02</v>
      </c>
      <c r="O65" s="1325" t="s">
        <v>403</v>
      </c>
      <c r="P65" s="1326" t="s">
        <v>867</v>
      </c>
      <c r="Q65" s="1327">
        <f ca="1">C40+J29</f>
        <v>1623</v>
      </c>
      <c r="R65" s="1327" t="s">
        <v>817</v>
      </c>
    </row>
    <row r="66" spans="1:18" s="1292" customFormat="1" ht="16" thickBot="1">
      <c r="A66" s="928" t="s">
        <v>792</v>
      </c>
      <c r="B66" s="896" t="s">
        <v>727</v>
      </c>
      <c r="C66" s="21">
        <f ca="1">ROUND(C48*F66,2)</f>
        <v>0</v>
      </c>
      <c r="D66" s="910" t="s">
        <v>793</v>
      </c>
      <c r="E66" s="896" t="s">
        <v>711</v>
      </c>
      <c r="F66" s="304">
        <f t="shared" ca="1" si="0"/>
        <v>0.01</v>
      </c>
      <c r="O66" s="1325" t="s">
        <v>404</v>
      </c>
      <c r="P66" s="1326" t="s">
        <v>845</v>
      </c>
      <c r="Q66" s="1327">
        <f ca="1">L60</f>
        <v>0</v>
      </c>
      <c r="R66" s="1327" t="s">
        <v>868</v>
      </c>
    </row>
    <row r="67" spans="1:18" s="1292" customFormat="1" ht="26.5" thickBot="1">
      <c r="A67" s="903" t="s">
        <v>394</v>
      </c>
      <c r="B67" s="913" t="s">
        <v>751</v>
      </c>
      <c r="C67" s="308">
        <f ca="1">C48-C58</f>
        <v>-6</v>
      </c>
      <c r="D67" s="909" t="s">
        <v>752</v>
      </c>
      <c r="E67" s="914"/>
      <c r="F67" s="915"/>
      <c r="O67" s="1334" t="s">
        <v>405</v>
      </c>
      <c r="P67" s="1326" t="s">
        <v>849</v>
      </c>
      <c r="Q67" s="1370">
        <f ca="1">L51</f>
        <v>702</v>
      </c>
      <c r="R67" s="1327" t="s">
        <v>869</v>
      </c>
    </row>
    <row r="68" spans="1:18" s="1292" customFormat="1" ht="16" thickBot="1">
      <c r="A68" s="893" t="s">
        <v>395</v>
      </c>
      <c r="B68" s="894" t="s">
        <v>773</v>
      </c>
      <c r="C68" s="293">
        <f ca="1">ROUND(C67*(1-((1+F70)/(1+F68))^F69)/(F68-F70),0)</f>
        <v>-85</v>
      </c>
      <c r="D68" s="911" t="s">
        <v>757</v>
      </c>
      <c r="E68" s="896" t="s">
        <v>758</v>
      </c>
      <c r="F68" s="304">
        <f ca="1">F40</f>
        <v>5.5E-2</v>
      </c>
      <c r="O68" s="1334" t="s">
        <v>406</v>
      </c>
      <c r="P68" s="1371" t="s">
        <v>870</v>
      </c>
      <c r="Q68" s="1327">
        <f ca="1">ROUND(Q69-Q70*Q71,0)</f>
        <v>41</v>
      </c>
      <c r="R68" s="1327" t="s">
        <v>414</v>
      </c>
    </row>
    <row r="69" spans="1:18" s="1292" customFormat="1" ht="13.5" thickBot="1">
      <c r="A69" s="897"/>
      <c r="B69" s="898"/>
      <c r="C69" s="298"/>
      <c r="D69" s="916" t="s">
        <v>761</v>
      </c>
      <c r="E69" s="896" t="s">
        <v>762</v>
      </c>
      <c r="F69" s="324">
        <f ca="1">F41</f>
        <v>28.49</v>
      </c>
      <c r="O69" s="1334" t="s">
        <v>411</v>
      </c>
      <c r="P69" s="1371" t="s">
        <v>871</v>
      </c>
      <c r="Q69" s="1327">
        <f ca="1">C39</f>
        <v>92</v>
      </c>
      <c r="R69" s="1327" t="s">
        <v>817</v>
      </c>
    </row>
    <row r="70" spans="1:18" s="1292" customFormat="1" ht="13.5" thickBot="1">
      <c r="A70" s="900"/>
      <c r="B70" s="901"/>
      <c r="C70" s="302"/>
      <c r="D70" s="912"/>
      <c r="E70" s="896" t="s">
        <v>765</v>
      </c>
      <c r="F70" s="991"/>
      <c r="O70" s="1334" t="s">
        <v>412</v>
      </c>
      <c r="P70" s="1371" t="s">
        <v>872</v>
      </c>
      <c r="Q70" s="1327">
        <f ca="1">C13</f>
        <v>725</v>
      </c>
      <c r="R70" s="1327" t="s">
        <v>817</v>
      </c>
    </row>
    <row r="71" spans="1:18" s="1292" customFormat="1" ht="13.5" thickBot="1">
      <c r="A71" s="917" t="s">
        <v>396</v>
      </c>
      <c r="B71" s="918" t="s">
        <v>775</v>
      </c>
      <c r="C71" s="327">
        <f ca="1">ROUND(C68*10000/F71,0)</f>
        <v>-377</v>
      </c>
      <c r="D71" s="919" t="s">
        <v>776</v>
      </c>
      <c r="E71" s="920" t="s">
        <v>777</v>
      </c>
      <c r="F71" s="330">
        <f ca="1">F43</f>
        <v>2256.4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51</v>
      </c>
      <c r="D75" s="1292"/>
      <c r="E75" s="1292"/>
      <c r="F75" s="1292"/>
      <c r="K75" s="1309"/>
      <c r="L75" s="1292"/>
      <c r="O75" s="1325" t="s">
        <v>409</v>
      </c>
      <c r="P75" s="1326" t="s">
        <v>837</v>
      </c>
      <c r="Q75" s="1327">
        <f ca="1">Q65+Q66</f>
        <v>1623</v>
      </c>
      <c r="R75" s="1327" t="s">
        <v>410</v>
      </c>
    </row>
    <row r="76" spans="1:18" ht="13">
      <c r="B76" s="333" t="s">
        <v>795</v>
      </c>
      <c r="C76" s="334">
        <f ca="1">INDIRECT("'数据-取费表'!j"&amp;$G$1)</f>
        <v>7.0000000000000007E-2</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f ca="1">1-C80</f>
        <v>0.44599999999999995</v>
      </c>
    </row>
    <row r="80" spans="1:18" ht="13">
      <c r="B80" s="331" t="s">
        <v>799</v>
      </c>
      <c r="C80" s="266">
        <f ca="1">ROUND(C75/C39,3)</f>
        <v>0.55400000000000005</v>
      </c>
    </row>
    <row r="81" spans="2:3" ht="13.5">
      <c r="B81" s="262" t="s">
        <v>800</v>
      </c>
      <c r="C81" s="230"/>
    </row>
    <row r="82" spans="2:3" ht="13">
      <c r="B82" s="265" t="s">
        <v>801</v>
      </c>
      <c r="C82" s="267">
        <f ca="1">1-C83</f>
        <v>0.55299999999999994</v>
      </c>
    </row>
    <row r="83" spans="2:3" ht="13">
      <c r="B83" s="265" t="s">
        <v>802</v>
      </c>
      <c r="C83" s="266">
        <f ca="1">ROUND(C13/C40,3)</f>
        <v>0.44700000000000001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20" sqref="I2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t="s">
        <v>3475</v>
      </c>
      <c r="D1" s="1271" t="s">
        <v>43</v>
      </c>
      <c r="E1" s="1272" t="s">
        <v>677</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1" t="e">
        <f ca="1">ROUND(D2/10000,4)</f>
        <v>#N/A</v>
      </c>
      <c r="C2" s="1289" t="s">
        <v>878</v>
      </c>
      <c r="D2" s="1375" t="e">
        <f ca="1">C40+J29+L46</f>
        <v>#N/A</v>
      </c>
      <c r="E2" s="1295" t="s">
        <v>879</v>
      </c>
      <c r="F2" s="1296"/>
      <c r="G2" s="2476"/>
      <c r="H2" s="2466"/>
      <c r="I2" s="2466"/>
      <c r="J2" s="2466"/>
      <c r="K2" s="2467"/>
      <c r="L2" s="2466"/>
      <c r="M2" s="2466"/>
    </row>
    <row r="3" spans="1:37" ht="18" customHeight="1" thickBot="1">
      <c r="A3" s="1297" t="s">
        <v>880</v>
      </c>
      <c r="B3" s="1298">
        <f ca="1">IF(ISERROR(D2/F43),0,ROUND(D2/F43,0))</f>
        <v>0</v>
      </c>
      <c r="C3" s="1289" t="s">
        <v>881</v>
      </c>
      <c r="D3" s="1289"/>
      <c r="E3" s="1295"/>
      <c r="F3" s="1296"/>
      <c r="G3" s="2476"/>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t="e">
        <f ca="1">C6+C10+C12</f>
        <v>#N/A</v>
      </c>
      <c r="D5" s="1273" t="s">
        <v>888</v>
      </c>
      <c r="E5" s="1008"/>
      <c r="F5" s="1009"/>
      <c r="G5" s="1292"/>
      <c r="H5" s="291">
        <v>1</v>
      </c>
      <c r="I5" s="292" t="s">
        <v>887</v>
      </c>
      <c r="J5" s="1007" t="e">
        <f ca="1">J6+J10+J12</f>
        <v>#N/A</v>
      </c>
      <c r="K5" s="1273" t="s">
        <v>888</v>
      </c>
      <c r="L5" s="1008"/>
      <c r="M5" s="1009"/>
    </row>
    <row r="6" spans="1:37" ht="18" customHeight="1">
      <c r="A6" s="1006" t="s">
        <v>398</v>
      </c>
      <c r="B6" s="3394" t="s">
        <v>693</v>
      </c>
      <c r="C6" s="1011" t="e">
        <f ca="1">ROUND(F6*F8*F7*(1-F9),0)</f>
        <v>#N/A</v>
      </c>
      <c r="D6" s="147" t="s">
        <v>2105</v>
      </c>
      <c r="E6" s="294" t="s">
        <v>695</v>
      </c>
      <c r="F6" s="295" t="e">
        <f ca="1">INDIRECT("'数据-取费表'!u"&amp;$G$1)</f>
        <v>#N/A</v>
      </c>
      <c r="G6" s="1292"/>
      <c r="H6" s="1006" t="s">
        <v>398</v>
      </c>
      <c r="I6" s="3394" t="s">
        <v>693</v>
      </c>
      <c r="J6" s="293" t="e">
        <f ca="1">ROUND(M6*M8*M7*(1-M9),0)</f>
        <v>#N/A</v>
      </c>
      <c r="K6" s="1284" t="s">
        <v>2106</v>
      </c>
      <c r="L6" s="294" t="s">
        <v>695</v>
      </c>
      <c r="M6" s="295" t="e">
        <f ca="1">INDIRECT("'数据-取费表'!z"&amp;$G$1)</f>
        <v>#N/A</v>
      </c>
    </row>
    <row r="7" spans="1:37" ht="18" customHeight="1">
      <c r="A7" s="1010"/>
      <c r="B7" s="3395"/>
      <c r="C7" s="1012"/>
      <c r="D7" s="299"/>
      <c r="E7" s="1013" t="s">
        <v>696</v>
      </c>
      <c r="F7" s="295" t="e">
        <f ca="1">IF(INDIRECT("'数据-取费表'!ah"&amp;$G$1)="",INDIRECT("'数据-取费表'!k"&amp;$G$1),INDIRECT("'数据-取费表'!ah"&amp;$G$1))</f>
        <v>#N/A</v>
      </c>
      <c r="G7" s="1292"/>
      <c r="H7" s="296"/>
      <c r="I7" s="3395"/>
      <c r="J7" s="298"/>
      <c r="K7" s="299"/>
      <c r="L7" s="294" t="s">
        <v>696</v>
      </c>
      <c r="M7" s="295" t="e">
        <f ca="1">F7</f>
        <v>#N/A</v>
      </c>
    </row>
    <row r="8" spans="1:37" ht="18" customHeight="1">
      <c r="A8" s="296"/>
      <c r="B8" s="3395"/>
      <c r="C8" s="298"/>
      <c r="D8" s="299"/>
      <c r="E8" s="294" t="s">
        <v>697</v>
      </c>
      <c r="F8" s="295" t="e">
        <f ca="1">INDIRECT("'数据-取费表'!ai"&amp;$G$1)</f>
        <v>#N/A</v>
      </c>
      <c r="G8" s="1292"/>
      <c r="H8" s="296"/>
      <c r="I8" s="3395"/>
      <c r="J8" s="298"/>
      <c r="K8" s="299"/>
      <c r="L8" s="294" t="s">
        <v>697</v>
      </c>
      <c r="M8" s="295" t="e">
        <f ca="1">INDIRECT("'数据-取费表'!ai"&amp;$G$1)</f>
        <v>#N/A</v>
      </c>
    </row>
    <row r="9" spans="1:37" ht="18" customHeight="1">
      <c r="A9" s="296"/>
      <c r="B9" s="3396"/>
      <c r="C9" s="298"/>
      <c r="D9" s="299"/>
      <c r="E9" s="294" t="s">
        <v>698</v>
      </c>
      <c r="F9" s="304" t="e">
        <f ca="1">INDIRECT("'数据-取费表'!w"&amp;$G$1)</f>
        <v>#N/A</v>
      </c>
      <c r="G9" s="1292"/>
      <c r="H9" s="296"/>
      <c r="I9" s="3396"/>
      <c r="J9" s="298"/>
      <c r="K9" s="299"/>
      <c r="L9" s="305" t="s">
        <v>698</v>
      </c>
      <c r="M9" s="306" t="e">
        <f ca="1">INDIRECT("'数据-取费表'!ab"&amp;$G$1)</f>
        <v>#N/A</v>
      </c>
    </row>
    <row r="10" spans="1:37" ht="18" customHeight="1">
      <c r="A10" s="1006" t="s">
        <v>402</v>
      </c>
      <c r="B10" s="1274" t="s">
        <v>699</v>
      </c>
      <c r="C10" s="308" t="e">
        <f ca="1">ROUND(IF(F10="押一",C6/12*F11,IF(F10="押二",C6/12*2*F11,IF(F10="押三",C6/12*3*F11,C11*F11))),0)</f>
        <v>#N/A</v>
      </c>
      <c r="D10" s="150" t="s">
        <v>2115</v>
      </c>
      <c r="E10" s="305" t="s">
        <v>700</v>
      </c>
      <c r="F10" s="1053" t="s">
        <v>3478</v>
      </c>
      <c r="G10" s="1292"/>
      <c r="H10" s="1006" t="s">
        <v>402</v>
      </c>
      <c r="I10" s="1274" t="s">
        <v>699</v>
      </c>
      <c r="J10" s="293">
        <f ca="1">ROUND(IF(M10="押一",J6/12*M11,IF(M10="押二",J6/12*2*M11,IF(M10="押三",J6/12*3*M11,J11*M11))),0)</f>
        <v>0</v>
      </c>
      <c r="K10" s="1285" t="s">
        <v>2117</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t="e">
        <f ca="1">ROUND(C29*F13,0)</f>
        <v>#N/A</v>
      </c>
      <c r="D13" s="1018" t="s">
        <v>704</v>
      </c>
      <c r="E13" s="1018" t="s">
        <v>705</v>
      </c>
      <c r="F13" s="1019" t="e">
        <f ca="1">INDIRECT("'数据-取费表'!y"&amp;$G$1)</f>
        <v>#N/A</v>
      </c>
      <c r="G13" s="1292"/>
      <c r="H13" s="1016">
        <v>2</v>
      </c>
      <c r="I13" s="1017" t="s">
        <v>703</v>
      </c>
      <c r="J13" s="1005" t="e">
        <f ca="1">ROUND(J14*J15,0)</f>
        <v>#N/A</v>
      </c>
      <c r="K13" s="1024" t="s">
        <v>704</v>
      </c>
      <c r="L13" s="1299"/>
      <c r="M13" s="1300"/>
    </row>
    <row r="14" spans="1:37" ht="18" customHeight="1">
      <c r="A14" s="928" t="s">
        <v>397</v>
      </c>
      <c r="B14" s="294" t="s">
        <v>706</v>
      </c>
      <c r="C14" s="310" t="e">
        <f ca="1">ROUND(INDIRECT("'数据-取费表'!l"&amp;$G$1)*F43+'数据-取费表'!L14*INDIRECT("'数据-取费表'!S"&amp;$G$1),0)</f>
        <v>#N/A</v>
      </c>
      <c r="D14" s="1257" t="s">
        <v>707</v>
      </c>
      <c r="E14" s="1255"/>
      <c r="F14" s="311"/>
      <c r="G14" s="1292"/>
      <c r="H14" s="928" t="s">
        <v>398</v>
      </c>
      <c r="I14" s="294" t="s">
        <v>708</v>
      </c>
      <c r="J14" s="21" t="e">
        <f ca="1">C29</f>
        <v>#N/A</v>
      </c>
      <c r="K14" s="12"/>
      <c r="L14" s="759"/>
      <c r="M14" s="760"/>
    </row>
    <row r="15" spans="1:37" s="1304" customFormat="1" ht="18" customHeight="1" thickBot="1">
      <c r="A15" s="928" t="s">
        <v>399</v>
      </c>
      <c r="B15" s="294" t="s">
        <v>709</v>
      </c>
      <c r="C15" s="21" t="e">
        <f ca="1">ROUND(C14*F15,0)</f>
        <v>#N/A</v>
      </c>
      <c r="D15" s="312" t="s">
        <v>710</v>
      </c>
      <c r="E15" s="312" t="s">
        <v>711</v>
      </c>
      <c r="F15" s="313">
        <f>'数据-取费表'!B33</f>
        <v>0.05</v>
      </c>
      <c r="G15" s="1303"/>
      <c r="H15" s="1026" t="s">
        <v>402</v>
      </c>
      <c r="I15" s="1027" t="s">
        <v>705</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t="e">
        <f ca="1">ROUND(INDIRECT("'数据-取费表'!l"&amp;$G$1)*F43*F16,0)</f>
        <v>#N/A</v>
      </c>
      <c r="D16" s="294" t="s">
        <v>710</v>
      </c>
      <c r="E16" s="294" t="s">
        <v>711</v>
      </c>
      <c r="F16" s="314" t="e">
        <f ca="1">IF(INDIRECT("'数据-取费表'!c"&amp;$G$1)="住宅",'数据-取费表'!B34,0)</f>
        <v>#N/A</v>
      </c>
      <c r="G16" s="1292"/>
      <c r="H16" s="1016" t="s">
        <v>393</v>
      </c>
      <c r="I16" s="1017" t="s">
        <v>713</v>
      </c>
      <c r="J16" s="302" t="e">
        <f ca="1">ROUND(J17+J22+J23+J24,0)</f>
        <v>#N/A</v>
      </c>
      <c r="K16" s="1024" t="s">
        <v>714</v>
      </c>
      <c r="L16" s="1025"/>
      <c r="M16" s="1009"/>
    </row>
    <row r="17" spans="1:37" s="1304" customFormat="1" ht="18" customHeight="1">
      <c r="A17" s="928" t="s">
        <v>680</v>
      </c>
      <c r="B17" s="294" t="s">
        <v>715</v>
      </c>
      <c r="C17" s="21" t="e">
        <f ca="1">ROUND(F17*(F43+INDIRECT("'数据-取费表'!S"&amp;$G$1)),0)</f>
        <v>#N/A</v>
      </c>
      <c r="D17" s="294" t="s">
        <v>716</v>
      </c>
      <c r="E17" s="294" t="s">
        <v>717</v>
      </c>
      <c r="F17" s="23">
        <f>'数据-取费表'!B35</f>
        <v>200</v>
      </c>
      <c r="G17" s="1303"/>
      <c r="H17" s="928" t="s">
        <v>398</v>
      </c>
      <c r="I17" s="294" t="s">
        <v>718</v>
      </c>
      <c r="J17" s="2139" t="e">
        <f ca="1">ROUND(IF(AND(项目基本情况!B11="自然人",项目基本情况!B10="北京市"),J6*M17/(1+'数据-取费表'!C42),J18+J19+J20),0)</f>
        <v>#N/A</v>
      </c>
      <c r="K17" s="1257" t="s">
        <v>719</v>
      </c>
      <c r="L17" s="1256" t="s">
        <v>720</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t="e">
        <f ca="1">ROUND(C14*F18,0)</f>
        <v>#N/A</v>
      </c>
      <c r="D18" s="294" t="s">
        <v>710</v>
      </c>
      <c r="E18" s="294" t="s">
        <v>711</v>
      </c>
      <c r="F18" s="314">
        <f>'数据-取费表'!B36</f>
        <v>0.02</v>
      </c>
      <c r="G18" s="1303"/>
      <c r="H18" s="928" t="s">
        <v>397</v>
      </c>
      <c r="I18" s="294" t="s">
        <v>722</v>
      </c>
      <c r="J18" s="21" t="e">
        <f ca="1">ROUND(J6*M18/(1+'数据-取费表'!C42),0)</f>
        <v>#N/A</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t="e">
        <f ca="1">SUM(C14:C18)</f>
        <v>#N/A</v>
      </c>
      <c r="D19" s="123" t="s">
        <v>725</v>
      </c>
      <c r="E19" s="1269"/>
      <c r="F19" s="23"/>
      <c r="G19" s="1292"/>
      <c r="H19" s="928" t="s">
        <v>399</v>
      </c>
      <c r="I19" s="294" t="s">
        <v>726</v>
      </c>
      <c r="J19" s="21" t="e">
        <f ca="1">IF(K19="按租金收入计税",ROUND(J6*M19/(1+'数据-取费表'!C42),0),ROUND(C29*M19*0.7,0))</f>
        <v>#N/A</v>
      </c>
      <c r="K19" s="1278" t="s">
        <v>3333</v>
      </c>
      <c r="L19" s="294" t="s">
        <v>711</v>
      </c>
      <c r="M19" s="314">
        <f>IF(K19="按租金收入计税",'数据-取费表'!B51,'数据-取费表'!B50)</f>
        <v>0.12</v>
      </c>
    </row>
    <row r="20" spans="1:37" s="1304" customFormat="1" ht="18" customHeight="1">
      <c r="A20" s="928" t="s">
        <v>402</v>
      </c>
      <c r="B20" s="294" t="s">
        <v>727</v>
      </c>
      <c r="C20" s="21" t="e">
        <f ca="1">ROUND(C19*F20,0)</f>
        <v>#N/A</v>
      </c>
      <c r="D20" s="315" t="s">
        <v>728</v>
      </c>
      <c r="E20" s="294" t="s">
        <v>711</v>
      </c>
      <c r="F20" s="314">
        <f>'数据-取费表'!B37</f>
        <v>0.02</v>
      </c>
      <c r="G20" s="1303"/>
      <c r="H20" s="928" t="s">
        <v>679</v>
      </c>
      <c r="I20" s="147" t="s">
        <v>729</v>
      </c>
      <c r="J20" s="22" t="e">
        <f ca="1">ROUND(M20*M21,0)</f>
        <v>#N/A</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t="e">
        <f ca="1">ROUND(J14*M22,0)</f>
        <v>#N/A</v>
      </c>
      <c r="K22" s="1256" t="s">
        <v>738</v>
      </c>
      <c r="L22" s="294" t="s">
        <v>711</v>
      </c>
      <c r="M22" s="320" t="e">
        <f ca="1">INDIRECT("'数据-取费表'!Ak"&amp;$G$1)</f>
        <v>#N/A</v>
      </c>
    </row>
    <row r="23" spans="1:37" s="1304" customFormat="1" ht="18" customHeight="1">
      <c r="A23" s="928" t="s">
        <v>397</v>
      </c>
      <c r="B23" s="294" t="s">
        <v>739</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t="e">
        <f ca="1">ROUND(J13*M23,0)</f>
        <v>#N/A</v>
      </c>
      <c r="K23" s="1256" t="s">
        <v>742</v>
      </c>
      <c r="L23" s="294" t="s">
        <v>743</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0.03</v>
      </c>
      <c r="G24" s="1303"/>
      <c r="H24" s="1026" t="s">
        <v>683</v>
      </c>
      <c r="I24" s="1027" t="s">
        <v>727</v>
      </c>
      <c r="J24" s="1028" t="e">
        <f ca="1">ROUND(J5*M24,0)</f>
        <v>#N/A</v>
      </c>
      <c r="K24" s="1029" t="s">
        <v>747</v>
      </c>
      <c r="L24" s="1027" t="s">
        <v>743</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t="e">
        <f ca="1">J5-J16</f>
        <v>#N/A</v>
      </c>
      <c r="K25" s="1032" t="s">
        <v>752</v>
      </c>
      <c r="L25" s="1033"/>
      <c r="M25" s="1034"/>
    </row>
    <row r="26" spans="1:37" ht="18" customHeight="1">
      <c r="A26" s="928" t="s">
        <v>397</v>
      </c>
      <c r="B26" s="294" t="s">
        <v>753</v>
      </c>
      <c r="C26" s="21" t="e">
        <f ca="1">ROUND((C19+C20)*F26,0)</f>
        <v>#N/A</v>
      </c>
      <c r="D26" s="315" t="s">
        <v>754</v>
      </c>
      <c r="E26" s="305" t="s">
        <v>755</v>
      </c>
      <c r="F26" s="304" t="e">
        <f ca="1">INDIRECT("'数据-取费表'!q"&amp;$G$1)</f>
        <v>#N/A</v>
      </c>
      <c r="G26" s="1292"/>
      <c r="H26" s="291" t="s">
        <v>395</v>
      </c>
      <c r="I26" s="292" t="s">
        <v>756</v>
      </c>
      <c r="J26" s="293" t="e">
        <f ca="1">IF(J5&lt;&gt;0,ROUND(J25*(1-((1+M28)/(1+M26))^M27)/(M26-M28),0),0)</f>
        <v>#N/A</v>
      </c>
      <c r="K26" s="316" t="s">
        <v>757</v>
      </c>
      <c r="L26" s="294" t="s">
        <v>758</v>
      </c>
      <c r="M26" s="304" t="e">
        <f ca="1">INDIRECT("'数据-取费表'!I"&amp;$G$1)</f>
        <v>#N/A</v>
      </c>
    </row>
    <row r="27" spans="1:37" ht="18" customHeight="1">
      <c r="A27" s="928" t="s">
        <v>399</v>
      </c>
      <c r="B27" s="294" t="s">
        <v>759</v>
      </c>
      <c r="C27" s="21" t="e">
        <f ca="1">ROUND(F21*F26,4)</f>
        <v>#N/A</v>
      </c>
      <c r="D27" s="315" t="s">
        <v>760</v>
      </c>
      <c r="E27" s="312"/>
      <c r="F27" s="313"/>
      <c r="G27" s="1292"/>
      <c r="H27" s="296"/>
      <c r="I27" s="297"/>
      <c r="J27" s="298"/>
      <c r="K27" s="323" t="s">
        <v>761</v>
      </c>
      <c r="L27" s="294" t="s">
        <v>762</v>
      </c>
      <c r="M27" s="324" t="e">
        <f ca="1">INDIRECT("'数据-取费表'!ag"&amp;$G$1)</f>
        <v>#N/A</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t="e">
        <f ca="1">ROUND((C19+C20+C23+C26)/(1-F21-C24-C27-C28),0)</f>
        <v>#N/A</v>
      </c>
      <c r="D29" s="1029"/>
      <c r="E29" s="1027"/>
      <c r="F29" s="1030"/>
      <c r="G29" s="1303"/>
      <c r="H29" s="325" t="s">
        <v>396</v>
      </c>
      <c r="I29" s="326" t="s">
        <v>767</v>
      </c>
      <c r="J29" s="327" t="e">
        <f ca="1">ROUND(J26/(1+F40)^F41,0)</f>
        <v>#N/A</v>
      </c>
      <c r="K29" s="328" t="s">
        <v>768</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t="e">
        <f ca="1">ROUND(C31+C36+C37+C38,0)</f>
        <v>#N/A</v>
      </c>
      <c r="D30" s="1024" t="s">
        <v>714</v>
      </c>
      <c r="E30" s="1025"/>
      <c r="F30" s="1009"/>
      <c r="G30" s="1292"/>
      <c r="H30" s="2468"/>
      <c r="I30" s="1305"/>
      <c r="J30" s="1306"/>
      <c r="K30" s="121"/>
      <c r="L30" s="2469"/>
      <c r="M30" s="2470"/>
    </row>
    <row r="31" spans="1:37" ht="18" customHeight="1">
      <c r="A31" s="928" t="s">
        <v>398</v>
      </c>
      <c r="B31" s="294" t="s">
        <v>718</v>
      </c>
      <c r="C31" s="2139" t="e">
        <f ca="1">ROUND(IF(AND(项目基本情况!B11="自然人",项目基本情况!B10="北京市"),C6*F31/(1+'数据-取费表'!C42),C32+C33+C34),0)</f>
        <v>#N/A</v>
      </c>
      <c r="D31" s="1257" t="s">
        <v>719</v>
      </c>
      <c r="E31" s="1256" t="s">
        <v>769</v>
      </c>
      <c r="F31" s="2138"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722</v>
      </c>
      <c r="C32" s="21" t="e">
        <f ca="1">IF(项目基本情况!B11="自然人","——",ROUND(C6*F32/(1+'数据-取费表'!C42),0))</f>
        <v>#N/A</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t="e">
        <f ca="1">IF(项目基本情况!B11="自然人","——",IF(D33="按租金收入计税",ROUND(C6*F33/(1+'数据-取费表'!C42),0),IF(D33="按房产原值计税",ROUND(C29*F33*0.7,0),INDIRECT("'数据-取费表'!Aj"&amp;$G$1))))</f>
        <v>#N/A</v>
      </c>
      <c r="D33" s="1278" t="s">
        <v>3333</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t="e">
        <f ca="1">IF(项目基本情况!B11="自然人","——",ROUND(F34*F35,0))</f>
        <v>#N/A</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t="e">
        <f ca="1">INDIRECT("'数据-取费表'!r"&amp;$G$1)</f>
        <v>#N/A</v>
      </c>
      <c r="G35" s="1292"/>
      <c r="H35" s="2468"/>
      <c r="I35" s="1305"/>
      <c r="J35" s="1306"/>
      <c r="K35" s="2472"/>
      <c r="L35" s="2471"/>
      <c r="M35" s="2471"/>
    </row>
    <row r="36" spans="1:18" ht="18" customHeight="1">
      <c r="A36" s="1039" t="s">
        <v>402</v>
      </c>
      <c r="B36" s="294" t="s">
        <v>737</v>
      </c>
      <c r="C36" s="21" t="e">
        <f ca="1">ROUND(C29*F36,0)</f>
        <v>#N/A</v>
      </c>
      <c r="D36" s="1256" t="s">
        <v>770</v>
      </c>
      <c r="E36" s="294" t="s">
        <v>711</v>
      </c>
      <c r="F36" s="320" t="e">
        <f ca="1">INDIRECT("'数据-取费表'!Ak"&amp;$G$1)</f>
        <v>#N/A</v>
      </c>
      <c r="G36" s="1292"/>
      <c r="H36" s="2471"/>
      <c r="I36" s="1305"/>
      <c r="J36" s="1306"/>
      <c r="K36" s="2329"/>
      <c r="L36" s="2471"/>
      <c r="M36" s="2471"/>
    </row>
    <row r="37" spans="1:18" ht="18" customHeight="1">
      <c r="A37" s="928" t="s">
        <v>437</v>
      </c>
      <c r="B37" s="294" t="s">
        <v>741</v>
      </c>
      <c r="C37" s="21" t="e">
        <f ca="1">ROUND(C13*F37,0)</f>
        <v>#N/A</v>
      </c>
      <c r="D37" s="1256" t="s">
        <v>742</v>
      </c>
      <c r="E37" s="294" t="s">
        <v>743</v>
      </c>
      <c r="F37" s="321" t="e">
        <f ca="1">INDIRECT("'数据-取费表'!Al"&amp;$G$1)</f>
        <v>#N/A</v>
      </c>
      <c r="G37" s="1292"/>
      <c r="H37" s="2471"/>
      <c r="I37" s="1305"/>
      <c r="J37" s="1306"/>
      <c r="K37" s="2329"/>
      <c r="L37" s="2471"/>
      <c r="M37" s="2471"/>
    </row>
    <row r="38" spans="1:18" ht="18" customHeight="1" thickBot="1">
      <c r="A38" s="1026" t="s">
        <v>683</v>
      </c>
      <c r="B38" s="1027" t="s">
        <v>727</v>
      </c>
      <c r="C38" s="1028" t="e">
        <f ca="1">ROUND(C5*F38,0)</f>
        <v>#N/A</v>
      </c>
      <c r="D38" s="1029" t="s">
        <v>747</v>
      </c>
      <c r="E38" s="1027" t="s">
        <v>743</v>
      </c>
      <c r="F38" s="1023" t="e">
        <f ca="1">INDIRECT("'数据-取费表'!Am"&amp;$G$1)</f>
        <v>#N/A</v>
      </c>
      <c r="G38" s="1292"/>
      <c r="H38" s="2471"/>
      <c r="I38" s="1305"/>
      <c r="J38" s="1306"/>
      <c r="K38" s="2469"/>
      <c r="L38" s="2471"/>
      <c r="M38" s="2471"/>
    </row>
    <row r="39" spans="1:18" ht="24.65" customHeight="1" thickTop="1">
      <c r="A39" s="1016" t="s">
        <v>394</v>
      </c>
      <c r="B39" s="1031" t="s">
        <v>771</v>
      </c>
      <c r="C39" s="302" t="e">
        <f ca="1">C5-C30</f>
        <v>#N/A</v>
      </c>
      <c r="D39" s="1032" t="s">
        <v>772</v>
      </c>
      <c r="E39" s="1033"/>
      <c r="F39" s="1034"/>
      <c r="G39" s="1292"/>
      <c r="H39" s="2471" t="e">
        <f ca="1">C39/C5</f>
        <v>#N/A</v>
      </c>
      <c r="I39" s="1305"/>
      <c r="J39" s="1306"/>
      <c r="K39" s="2469"/>
      <c r="L39" s="2471"/>
      <c r="M39" s="2471"/>
    </row>
    <row r="40" spans="1:18" ht="18" customHeight="1">
      <c r="A40" s="291" t="s">
        <v>395</v>
      </c>
      <c r="B40" s="292" t="s">
        <v>773</v>
      </c>
      <c r="C40" s="293" t="e">
        <f ca="1">ROUND(C39*(1-((1+F42)/(1+F40))^F41)/(F40-F42),0)</f>
        <v>#N/A</v>
      </c>
      <c r="D40" s="316" t="s">
        <v>757</v>
      </c>
      <c r="E40" s="294" t="s">
        <v>758</v>
      </c>
      <c r="F40" s="304" t="e">
        <f ca="1">INDIRECT("'数据-取费表'!I"&amp;$G$1)</f>
        <v>#N/A</v>
      </c>
      <c r="G40" s="1292"/>
      <c r="H40" s="1366"/>
      <c r="I40" s="1305"/>
      <c r="J40" s="1306"/>
      <c r="K40" s="2469"/>
      <c r="L40" s="1366"/>
      <c r="M40" s="1366"/>
    </row>
    <row r="41" spans="1:18" ht="18" customHeight="1">
      <c r="A41" s="296"/>
      <c r="B41" s="297"/>
      <c r="C41" s="298"/>
      <c r="D41" s="323" t="s">
        <v>774</v>
      </c>
      <c r="E41" s="294" t="s">
        <v>762</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765</v>
      </c>
      <c r="F42" s="304" t="e">
        <f ca="1">INDIRECT("'数据-取费表'!v"&amp;$G$1)</f>
        <v>#N/A</v>
      </c>
      <c r="G42" s="1292"/>
      <c r="H42" s="121"/>
      <c r="I42" s="1305"/>
      <c r="J42" s="1306"/>
      <c r="K42" s="2329"/>
      <c r="L42" s="121"/>
      <c r="M42" s="121"/>
    </row>
    <row r="43" spans="1:18" ht="18" customHeight="1" thickBot="1">
      <c r="A43" s="325" t="s">
        <v>396</v>
      </c>
      <c r="B43" s="326" t="s">
        <v>775</v>
      </c>
      <c r="C43" s="327" t="e">
        <f ca="1">ROUND(C40/F43,0)</f>
        <v>#N/A</v>
      </c>
      <c r="D43" s="328" t="s">
        <v>776</v>
      </c>
      <c r="E43" s="329" t="s">
        <v>777</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t="e">
        <f ca="1">ROUND((C68-C40)/10000,4)</f>
        <v>#N/A</v>
      </c>
      <c r="D45" s="3128" t="s">
        <v>3350</v>
      </c>
      <c r="E45" s="1307"/>
      <c r="F45" s="1307"/>
      <c r="O45" s="1310" t="s">
        <v>807</v>
      </c>
      <c r="P45" s="1366"/>
      <c r="Q45" s="1366"/>
      <c r="R45" s="1366"/>
    </row>
    <row r="46" spans="1:18" s="1292" customFormat="1" ht="14" thickBot="1">
      <c r="A46" s="1311" t="s">
        <v>808</v>
      </c>
      <c r="C46" s="1312" t="e">
        <f ca="1">ROUND(C45,0)</f>
        <v>#N/A</v>
      </c>
      <c r="D46" s="1313" t="str">
        <f>C2</f>
        <v>万元</v>
      </c>
      <c r="I46" s="1314" t="s">
        <v>809</v>
      </c>
      <c r="J46" s="1315"/>
      <c r="K46" s="1316"/>
      <c r="L46" s="1317" t="e">
        <f ca="1">IF(M47="住宅",0,IF(L48&gt;J51,L60,J60))</f>
        <v>#N/A</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3479</v>
      </c>
      <c r="K47" s="1323" t="s">
        <v>815</v>
      </c>
      <c r="L47" s="1324" t="e">
        <f ca="1">INDIRECT("'数据-取费表'!d"&amp;$G$1)</f>
        <v>#N/A</v>
      </c>
      <c r="M47" s="1288" t="str">
        <f>IF(ISNUMBER(FIND("住宅",C1)),"住宅","非住宅")</f>
        <v>非住宅</v>
      </c>
      <c r="O47" s="1325" t="s">
        <v>403</v>
      </c>
      <c r="P47" s="1326" t="s">
        <v>816</v>
      </c>
      <c r="Q47" s="1327" t="e">
        <f ca="1">C40+J29</f>
        <v>#N/A</v>
      </c>
      <c r="R47" s="1327" t="s">
        <v>817</v>
      </c>
    </row>
    <row r="48" spans="1:18" s="1292" customFormat="1" ht="43.5" thickBot="1">
      <c r="A48" s="1047" t="s">
        <v>438</v>
      </c>
      <c r="B48" s="292" t="s">
        <v>691</v>
      </c>
      <c r="C48" s="1268" t="e">
        <f ca="1">C49+C53+C55</f>
        <v>#N/A</v>
      </c>
      <c r="D48" s="1049"/>
      <c r="E48" s="1050"/>
      <c r="F48" s="908"/>
      <c r="G48" s="681"/>
      <c r="H48" s="682"/>
      <c r="I48" s="1328" t="s">
        <v>818</v>
      </c>
      <c r="J48" s="1329" t="s">
        <v>3480</v>
      </c>
      <c r="K48" s="1330" t="s">
        <v>819</v>
      </c>
      <c r="L48" s="1331" t="e">
        <f ca="1">INDIRECT("'数据-取费表'!f"&amp;$G$1)</f>
        <v>#N/A</v>
      </c>
      <c r="O48" s="1325" t="s">
        <v>404</v>
      </c>
      <c r="P48" s="1326" t="s">
        <v>820</v>
      </c>
      <c r="Q48" s="1327" t="e">
        <f ca="1">J60</f>
        <v>#N/A</v>
      </c>
      <c r="R48" s="1327" t="s">
        <v>821</v>
      </c>
    </row>
    <row r="49" spans="1:18" s="1292" customFormat="1" ht="13.5" thickBot="1">
      <c r="A49" s="921" t="s">
        <v>439</v>
      </c>
      <c r="B49" s="1279" t="s">
        <v>778</v>
      </c>
      <c r="C49" s="1051" t="e">
        <f ca="1">ROUND(F49*F51*F50*(1-F52),0)</f>
        <v>#N/A</v>
      </c>
      <c r="D49" s="992" t="s">
        <v>694</v>
      </c>
      <c r="E49" s="1280" t="s">
        <v>779</v>
      </c>
      <c r="F49" s="997"/>
      <c r="H49" s="682"/>
      <c r="I49" s="1328" t="s">
        <v>822</v>
      </c>
      <c r="J49" s="1332">
        <f>'数据-取费表'!N21</f>
        <v>2014</v>
      </c>
      <c r="K49" s="1330" t="s">
        <v>823</v>
      </c>
      <c r="L49" s="1333"/>
      <c r="O49" s="1334" t="s">
        <v>405</v>
      </c>
      <c r="P49" s="1326" t="s">
        <v>824</v>
      </c>
      <c r="Q49" s="1327" t="e">
        <f ca="1">C29</f>
        <v>#N/A</v>
      </c>
      <c r="R49" s="1327" t="s">
        <v>817</v>
      </c>
    </row>
    <row r="50" spans="1:18" s="1292" customFormat="1" ht="13.5" thickBot="1">
      <c r="A50" s="922"/>
      <c r="B50" s="925"/>
      <c r="C50" s="926"/>
      <c r="D50" s="899"/>
      <c r="E50" s="993" t="s">
        <v>696</v>
      </c>
      <c r="F50" s="994" t="e">
        <f ca="1">F7</f>
        <v>#N/A</v>
      </c>
      <c r="H50" s="682"/>
      <c r="I50" s="1328" t="s">
        <v>825</v>
      </c>
      <c r="J50" s="1335">
        <f>SUMPRODUCT((I63:I65=J47)*(J62:L62=J48)*(J63:L65))</f>
        <v>50</v>
      </c>
      <c r="K50" s="1330" t="s">
        <v>826</v>
      </c>
      <c r="L50" s="1333"/>
      <c r="M50" s="1336"/>
      <c r="O50" s="1334" t="s">
        <v>406</v>
      </c>
      <c r="P50" s="1326" t="s">
        <v>827</v>
      </c>
      <c r="Q50" s="1337" t="e">
        <f ca="1">J58</f>
        <v>#N/A</v>
      </c>
      <c r="R50" s="1327"/>
    </row>
    <row r="51" spans="1:18" s="1292" customFormat="1" ht="13.5" thickBot="1">
      <c r="A51" s="923"/>
      <c r="B51" s="925"/>
      <c r="C51" s="926"/>
      <c r="D51" s="899"/>
      <c r="E51" s="927" t="s">
        <v>697</v>
      </c>
      <c r="F51" s="295" t="e">
        <f ca="1">F8</f>
        <v>#N/A</v>
      </c>
      <c r="I51" s="1338" t="s">
        <v>828</v>
      </c>
      <c r="J51" s="1331">
        <f>IF(J49="",J50,J49+J50-YEAR('数据-取费表'!B2))</f>
        <v>39</v>
      </c>
      <c r="K51" s="1339" t="s">
        <v>829</v>
      </c>
      <c r="L51" s="1340" t="e">
        <f ca="1">ROUND(-PV(INDIRECT("'数据-取费表'!h"&amp;$G$1),J51,(C39-C13*C76),0),0)</f>
        <v>#N/A</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t="e">
        <f ca="1">J53</f>
        <v>#N/A</v>
      </c>
      <c r="R52" s="1327" t="s">
        <v>834</v>
      </c>
    </row>
    <row r="53" spans="1:18" s="1292" customFormat="1" ht="30.75" customHeight="1" thickBot="1">
      <c r="A53" s="1048" t="s">
        <v>440</v>
      </c>
      <c r="B53" s="315" t="s">
        <v>699</v>
      </c>
      <c r="C53" s="308">
        <f ca="1">ROUND(IF(F53="押一",C49/12*F11,IF(F53="押二",C49/12*2*F11,IF(F53="押三",C49/12*3*F11,C54*F11))),0)</f>
        <v>0</v>
      </c>
      <c r="D53" s="150" t="s">
        <v>2118</v>
      </c>
      <c r="E53" s="305" t="s">
        <v>700</v>
      </c>
      <c r="F53" s="1053"/>
      <c r="I53" s="1344" t="s">
        <v>835</v>
      </c>
      <c r="J53" s="2005" t="e">
        <f ca="1">IF(M47="住宅",IF(D1="——",MAX(J51,L48),MAX(J51,L48-'数据-取费表'!B24)),IF(D1="——",MIN(J51,L48),MIN(J51,L48-'数据-取费表'!B24)))</f>
        <v>#N/A</v>
      </c>
      <c r="K53" s="3392" t="s">
        <v>836</v>
      </c>
      <c r="L53" s="3393"/>
      <c r="O53" s="1325" t="s">
        <v>409</v>
      </c>
      <c r="P53" s="1326" t="s">
        <v>837</v>
      </c>
      <c r="Q53" s="1327" t="e">
        <f ca="1">Q47+Q48</f>
        <v>#N/A</v>
      </c>
      <c r="R53" s="1327" t="s">
        <v>410</v>
      </c>
    </row>
    <row r="54" spans="1:18" s="1292" customFormat="1" ht="13.5" thickBot="1">
      <c r="A54" s="921"/>
      <c r="B54" s="1377" t="s">
        <v>890</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#N/A</v>
      </c>
      <c r="K55" s="1350" t="s">
        <v>840</v>
      </c>
      <c r="L55" s="1351"/>
      <c r="O55" s="1318" t="s">
        <v>810</v>
      </c>
      <c r="P55" s="1319" t="s">
        <v>811</v>
      </c>
      <c r="Q55" s="1320" t="s">
        <v>812</v>
      </c>
      <c r="R55" s="1320" t="s">
        <v>813</v>
      </c>
    </row>
    <row r="56" spans="1:18" s="1292" customFormat="1" ht="36" customHeight="1" thickTop="1" thickBot="1">
      <c r="A56" s="903">
        <v>2</v>
      </c>
      <c r="B56" s="904" t="s">
        <v>703</v>
      </c>
      <c r="C56" s="224" t="e">
        <f ca="1">C13</f>
        <v>#N/A</v>
      </c>
      <c r="D56" s="1352"/>
      <c r="E56" s="1353"/>
      <c r="F56" s="1345"/>
      <c r="I56" s="1354" t="s">
        <v>841</v>
      </c>
      <c r="J56" s="1355" t="s">
        <v>3481</v>
      </c>
      <c r="K56" s="1328" t="s">
        <v>842</v>
      </c>
      <c r="L56" s="1331" t="e">
        <f ca="1">IF(L48&lt;J51,"——",L48-J51)</f>
        <v>#N/A</v>
      </c>
      <c r="O56" s="1325" t="s">
        <v>403</v>
      </c>
      <c r="P56" s="1326" t="s">
        <v>816</v>
      </c>
      <c r="Q56" s="1327" t="e">
        <f ca="1">C40+J29</f>
        <v>#N/A</v>
      </c>
      <c r="R56" s="1327" t="s">
        <v>817</v>
      </c>
    </row>
    <row r="57" spans="1:18" s="1292" customFormat="1" ht="26.5" thickBot="1">
      <c r="A57" s="1356"/>
      <c r="B57" s="896" t="s">
        <v>766</v>
      </c>
      <c r="C57" s="230" t="e">
        <f ca="1">C29</f>
        <v>#N/A</v>
      </c>
      <c r="D57" s="1357"/>
      <c r="E57" s="1358"/>
      <c r="F57" s="1359"/>
      <c r="I57" s="1360" t="s">
        <v>843</v>
      </c>
      <c r="J57" s="1361" t="e">
        <f ca="1">IF(OR(M47="住宅",J51&lt;L48,J56="是"),"——",J51-L48)</f>
        <v>#N/A</v>
      </c>
      <c r="K57" s="1328" t="s">
        <v>891</v>
      </c>
      <c r="L57" s="1331" t="e">
        <f ca="1">IF(L48&lt;J51,"——",IF(L55="比较法",L49,IF(L55="基准地价",L50,L51)))</f>
        <v>#N/A</v>
      </c>
      <c r="O57" s="1325" t="s">
        <v>404</v>
      </c>
      <c r="P57" s="1326" t="s">
        <v>892</v>
      </c>
      <c r="Q57" s="1327" t="e">
        <f ca="1">L60</f>
        <v>#N/A</v>
      </c>
      <c r="R57" s="1327" t="s">
        <v>893</v>
      </c>
    </row>
    <row r="58" spans="1:18" s="1292" customFormat="1" ht="26.5" thickBot="1">
      <c r="A58" s="307" t="s">
        <v>393</v>
      </c>
      <c r="B58" s="904" t="s">
        <v>713</v>
      </c>
      <c r="C58" s="308" t="e">
        <f ca="1">ROUND(C59+C64+C65+C66,0)</f>
        <v>#N/A</v>
      </c>
      <c r="D58" s="906" t="s">
        <v>714</v>
      </c>
      <c r="E58" s="907"/>
      <c r="F58" s="908"/>
      <c r="I58" s="1360" t="s">
        <v>847</v>
      </c>
      <c r="J58" s="1362" t="e">
        <f ca="1">IF(J55&lt;0.4,0.4,J55)</f>
        <v>#N/A</v>
      </c>
      <c r="K58" s="1339" t="s">
        <v>894</v>
      </c>
      <c r="L58" s="1331" t="e">
        <f ca="1">ROUND(POWER(1+L52,L47-L48)*(POWER(1+L52,L48)-1)/(POWER(1+L52,L47)-1),4)</f>
        <v>#N/A</v>
      </c>
      <c r="O58" s="1334" t="s">
        <v>405</v>
      </c>
      <c r="P58" s="1326" t="s">
        <v>849</v>
      </c>
      <c r="Q58" s="1327">
        <f>IF(L55="比较法",L49,IF(L55="基准地价",L50,0))</f>
        <v>0</v>
      </c>
      <c r="R58" s="1327" t="s">
        <v>817</v>
      </c>
    </row>
    <row r="59" spans="1:18" s="1292" customFormat="1" ht="26.5" thickBot="1">
      <c r="A59" s="928" t="s">
        <v>398</v>
      </c>
      <c r="B59" s="896" t="s">
        <v>718</v>
      </c>
      <c r="C59" s="2139" t="e">
        <f ca="1">ROUND(IF(AND(项目基本情况!B11="自然人",项目基本情况!B10="北京市"),C49*F59/(1+'数据-取费表'!C42),C60+C61+C62),0)</f>
        <v>#N/A</v>
      </c>
      <c r="D59" s="909" t="s">
        <v>719</v>
      </c>
      <c r="E59" s="910" t="s">
        <v>720</v>
      </c>
      <c r="F59" s="2138" t="str">
        <f>IF(项目基本情况!B11="企业","——",IF('数据-取费表'!B10="住宅",IF(F49*F50*F51/12/(1+'数据-取费表'!F30)&gt;100000,4%,2.5%),IF(F49*F50*F51/12/(1+'数据-取费表'!F30)&gt;100000,12%,7%)))</f>
        <v>——</v>
      </c>
      <c r="I59" s="1360" t="s">
        <v>850</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851</v>
      </c>
      <c r="Q59" s="1337">
        <f>L52</f>
        <v>0</v>
      </c>
      <c r="R59" s="1327"/>
    </row>
    <row r="60" spans="1:18" s="1292" customFormat="1" ht="16" thickBot="1">
      <c r="A60" s="928" t="s">
        <v>397</v>
      </c>
      <c r="B60" s="896" t="s">
        <v>722</v>
      </c>
      <c r="C60" s="21" t="e">
        <f ca="1">IF(项目基本情况!B11="自然人","——",ROUND(C48*F60/(1+'数据-取费表'!C42),0))</f>
        <v>#N/A</v>
      </c>
      <c r="D60" s="910" t="s">
        <v>723</v>
      </c>
      <c r="E60" s="896" t="s">
        <v>711</v>
      </c>
      <c r="F60" s="322">
        <f t="shared" ref="F60:F66" si="0">F32</f>
        <v>5.6000000000000001E-2</v>
      </c>
      <c r="I60" s="1363" t="s">
        <v>852</v>
      </c>
      <c r="J60" s="1364" t="e">
        <f ca="1">IF(OR(M47="住宅",J51&lt;L48,J56="是"),"0",ROUND(J59/(1+J52)^J53,0))</f>
        <v>#N/A</v>
      </c>
      <c r="K60" s="1365" t="s">
        <v>853</v>
      </c>
      <c r="L60" s="1364" t="e">
        <f ca="1">IF(OR(M47="住宅",L48&lt;J51),0,ROUND(L57*(L58/L59-1),0))</f>
        <v>#N/A</v>
      </c>
      <c r="O60" s="1334" t="s">
        <v>407</v>
      </c>
      <c r="P60" s="1326" t="s">
        <v>854</v>
      </c>
      <c r="Q60" s="1327" t="e">
        <f ca="1">L58</f>
        <v>#N/A</v>
      </c>
      <c r="R60" s="1327" t="s">
        <v>855</v>
      </c>
    </row>
    <row r="61" spans="1:18" s="1292" customFormat="1" ht="13.5" thickBot="1">
      <c r="A61" s="928" t="s">
        <v>780</v>
      </c>
      <c r="B61" s="896" t="s">
        <v>781</v>
      </c>
      <c r="C61" s="21" t="e">
        <f ca="1">IF(项目基本情况!B11="自然人","——",IF(D61="按租金收入计税",ROUND(C49*F61/(1+'数据-取费表'!C42),0),IF(D61="按房产原值计税",ROUND(C57*F61*0.7,0),INDIRECT("'数据-取费表'!Aj"&amp;$G$1))))</f>
        <v>#N/A</v>
      </c>
      <c r="D61" s="1278" t="s">
        <v>3333</v>
      </c>
      <c r="E61" s="896" t="s">
        <v>782</v>
      </c>
      <c r="F61" s="314">
        <f t="shared" si="0"/>
        <v>0.12</v>
      </c>
      <c r="I61" s="1366"/>
      <c r="J61" s="1366"/>
      <c r="K61" s="1366"/>
      <c r="L61" s="1366"/>
      <c r="O61" s="1334" t="s">
        <v>408</v>
      </c>
      <c r="P61" s="1326" t="str">
        <f>K59</f>
        <v>建筑物剩余耐用年限下的土地年期修正系数Kn</v>
      </c>
      <c r="Q61" s="1327" t="e">
        <f ca="1">L59</f>
        <v>#N/A</v>
      </c>
      <c r="R61" s="1327" t="s">
        <v>856</v>
      </c>
    </row>
    <row r="62" spans="1:18" s="1292" customFormat="1" ht="13.5" thickBot="1">
      <c r="A62" s="928" t="s">
        <v>783</v>
      </c>
      <c r="B62" s="895" t="s">
        <v>784</v>
      </c>
      <c r="C62" s="22" t="e">
        <f ca="1">IF(项目基本情况!B11="自然人","——",ROUND(F62*F63,0))</f>
        <v>#N/A</v>
      </c>
      <c r="D62" s="911" t="s">
        <v>785</v>
      </c>
      <c r="E62" s="896" t="s">
        <v>786</v>
      </c>
      <c r="F62" s="317">
        <f t="shared" si="0"/>
        <v>1.5</v>
      </c>
      <c r="I62" s="1367" t="s">
        <v>857</v>
      </c>
      <c r="J62" s="610" t="s">
        <v>858</v>
      </c>
      <c r="K62" s="610" t="s">
        <v>859</v>
      </c>
      <c r="L62" s="610" t="s">
        <v>860</v>
      </c>
      <c r="M62" s="1368" t="s">
        <v>861</v>
      </c>
      <c r="O62" s="1325" t="s">
        <v>409</v>
      </c>
      <c r="P62" s="1326" t="s">
        <v>862</v>
      </c>
      <c r="Q62" s="1327" t="e">
        <f ca="1">Q56+Q57</f>
        <v>#N/A</v>
      </c>
      <c r="R62" s="1327" t="s">
        <v>410</v>
      </c>
    </row>
    <row r="63" spans="1:18" s="1292" customFormat="1" ht="13.5" thickBot="1">
      <c r="A63" s="318"/>
      <c r="B63" s="902"/>
      <c r="C63" s="26"/>
      <c r="D63" s="912"/>
      <c r="E63" s="896" t="s">
        <v>787</v>
      </c>
      <c r="F63" s="295" t="e">
        <f t="shared" ca="1" si="0"/>
        <v>#N/A</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t="e">
        <f ca="1">ROUND(C57*F64,0)</f>
        <v>#N/A</v>
      </c>
      <c r="D64" s="910" t="s">
        <v>790</v>
      </c>
      <c r="E64" s="896" t="s">
        <v>782</v>
      </c>
      <c r="F64" s="320" t="e">
        <f t="shared" ca="1" si="0"/>
        <v>#N/A</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t="e">
        <f ca="1">ROUND(C56*F65,0)</f>
        <v>#N/A</v>
      </c>
      <c r="D65" s="910" t="s">
        <v>742</v>
      </c>
      <c r="E65" s="896" t="s">
        <v>743</v>
      </c>
      <c r="F65" s="321" t="e">
        <f t="shared" ca="1" si="0"/>
        <v>#N/A</v>
      </c>
      <c r="I65" s="1367" t="s">
        <v>866</v>
      </c>
      <c r="J65" s="610">
        <v>40</v>
      </c>
      <c r="K65" s="610">
        <v>30</v>
      </c>
      <c r="L65" s="610">
        <v>50</v>
      </c>
      <c r="M65" s="1369">
        <v>0.02</v>
      </c>
      <c r="O65" s="1325" t="s">
        <v>403</v>
      </c>
      <c r="P65" s="1326" t="s">
        <v>867</v>
      </c>
      <c r="Q65" s="1327" t="e">
        <f ca="1">C40+J29</f>
        <v>#N/A</v>
      </c>
      <c r="R65" s="1327" t="s">
        <v>817</v>
      </c>
    </row>
    <row r="66" spans="1:18" s="1292" customFormat="1" ht="16" thickBot="1">
      <c r="A66" s="928" t="s">
        <v>792</v>
      </c>
      <c r="B66" s="896" t="s">
        <v>727</v>
      </c>
      <c r="C66" s="21" t="e">
        <f ca="1">ROUND(C48*F66,0)</f>
        <v>#N/A</v>
      </c>
      <c r="D66" s="910" t="s">
        <v>793</v>
      </c>
      <c r="E66" s="896" t="s">
        <v>711</v>
      </c>
      <c r="F66" s="304" t="e">
        <f t="shared" ca="1" si="0"/>
        <v>#N/A</v>
      </c>
      <c r="O66" s="1325" t="s">
        <v>404</v>
      </c>
      <c r="P66" s="1326" t="s">
        <v>845</v>
      </c>
      <c r="Q66" s="1327" t="e">
        <f ca="1">L60</f>
        <v>#N/A</v>
      </c>
      <c r="R66" s="1327" t="s">
        <v>868</v>
      </c>
    </row>
    <row r="67" spans="1:18" s="1292" customFormat="1" ht="26.5" thickBot="1">
      <c r="A67" s="903" t="s">
        <v>394</v>
      </c>
      <c r="B67" s="913" t="s">
        <v>751</v>
      </c>
      <c r="C67" s="308" t="e">
        <f ca="1">C48-C58</f>
        <v>#N/A</v>
      </c>
      <c r="D67" s="909" t="s">
        <v>752</v>
      </c>
      <c r="E67" s="914"/>
      <c r="F67" s="915"/>
      <c r="O67" s="1334" t="s">
        <v>405</v>
      </c>
      <c r="P67" s="1326" t="s">
        <v>849</v>
      </c>
      <c r="Q67" s="1370" t="e">
        <f ca="1">L51</f>
        <v>#N/A</v>
      </c>
      <c r="R67" s="1327" t="s">
        <v>869</v>
      </c>
    </row>
    <row r="68" spans="1:18" s="1292" customFormat="1" ht="16" thickBot="1">
      <c r="A68" s="893" t="s">
        <v>395</v>
      </c>
      <c r="B68" s="894" t="s">
        <v>773</v>
      </c>
      <c r="C68" s="293" t="e">
        <f ca="1">ROUND(C67*(1-((1+F70)/(1+F68))^F69)/(F68-F70),0)</f>
        <v>#N/A</v>
      </c>
      <c r="D68" s="911" t="s">
        <v>757</v>
      </c>
      <c r="E68" s="896" t="s">
        <v>758</v>
      </c>
      <c r="F68" s="304" t="e">
        <f ca="1">F40</f>
        <v>#N/A</v>
      </c>
      <c r="O68" s="1334" t="s">
        <v>406</v>
      </c>
      <c r="P68" s="1371" t="s">
        <v>870</v>
      </c>
      <c r="Q68" s="1327" t="e">
        <f ca="1">ROUND(Q69-Q70*Q71,0)</f>
        <v>#N/A</v>
      </c>
      <c r="R68" s="1327" t="s">
        <v>414</v>
      </c>
    </row>
    <row r="69" spans="1:18" s="1292" customFormat="1" ht="13.5" thickBot="1">
      <c r="A69" s="897"/>
      <c r="B69" s="898"/>
      <c r="C69" s="298"/>
      <c r="D69" s="916" t="s">
        <v>761</v>
      </c>
      <c r="E69" s="896" t="s">
        <v>762</v>
      </c>
      <c r="F69" s="324" t="e">
        <f ca="1">F41</f>
        <v>#N/A</v>
      </c>
      <c r="O69" s="1334" t="s">
        <v>411</v>
      </c>
      <c r="P69" s="1371" t="s">
        <v>871</v>
      </c>
      <c r="Q69" s="1327" t="e">
        <f ca="1">C39</f>
        <v>#N/A</v>
      </c>
      <c r="R69" s="1327" t="s">
        <v>817</v>
      </c>
    </row>
    <row r="70" spans="1:18" s="1292" customFormat="1" ht="13.5" thickBot="1">
      <c r="A70" s="900"/>
      <c r="B70" s="901"/>
      <c r="C70" s="302"/>
      <c r="D70" s="912"/>
      <c r="E70" s="896" t="s">
        <v>765</v>
      </c>
      <c r="F70" s="991"/>
      <c r="O70" s="1334" t="s">
        <v>412</v>
      </c>
      <c r="P70" s="1371" t="s">
        <v>872</v>
      </c>
      <c r="Q70" s="1327" t="e">
        <f ca="1">C13</f>
        <v>#N/A</v>
      </c>
      <c r="R70" s="1327" t="s">
        <v>817</v>
      </c>
    </row>
    <row r="71" spans="1:18" s="1292" customFormat="1" ht="13.5" thickBot="1">
      <c r="A71" s="917" t="s">
        <v>396</v>
      </c>
      <c r="B71" s="918" t="s">
        <v>775</v>
      </c>
      <c r="C71" s="327" t="e">
        <f ca="1">ROUND(C68/F71,0)</f>
        <v>#N/A</v>
      </c>
      <c r="D71" s="919" t="s">
        <v>776</v>
      </c>
      <c r="E71" s="920" t="s">
        <v>777</v>
      </c>
      <c r="F71" s="330" t="e">
        <f ca="1">F43</f>
        <v>#N/A</v>
      </c>
      <c r="O71" s="1334" t="s">
        <v>413</v>
      </c>
      <c r="P71" s="1371" t="s">
        <v>873</v>
      </c>
      <c r="Q71" s="1337" t="e">
        <f ca="1">C76</f>
        <v>#N/A</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#N/A</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#N/A</v>
      </c>
      <c r="R74" s="1327" t="s">
        <v>856</v>
      </c>
    </row>
    <row r="75" spans="1:18" ht="13.5" thickBot="1">
      <c r="A75" s="1292"/>
      <c r="B75" s="331" t="s">
        <v>794</v>
      </c>
      <c r="C75" s="332" t="e">
        <f ca="1">ROUND(C13*C76,0)</f>
        <v>#N/A</v>
      </c>
      <c r="D75" s="1292"/>
      <c r="E75" s="1292"/>
      <c r="F75" s="1292"/>
      <c r="K75" s="1309"/>
      <c r="L75" s="1292"/>
      <c r="O75" s="1325" t="s">
        <v>409</v>
      </c>
      <c r="P75" s="1326" t="s">
        <v>837</v>
      </c>
      <c r="Q75" s="1327" t="e">
        <f ca="1">Q65+Q66</f>
        <v>#N/A</v>
      </c>
      <c r="R75" s="1327" t="s">
        <v>410</v>
      </c>
    </row>
    <row r="76" spans="1:18" ht="13">
      <c r="B76" s="333" t="s">
        <v>795</v>
      </c>
      <c r="C76" s="334" t="e">
        <f ca="1">INDIRECT("'数据-取费表'!j"&amp;$G$1)</f>
        <v>#N/A</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t="e">
        <f ca="1">1-C80</f>
        <v>#N/A</v>
      </c>
    </row>
    <row r="80" spans="1:18" ht="13">
      <c r="B80" s="331" t="s">
        <v>799</v>
      </c>
      <c r="C80" s="266" t="e">
        <f ca="1">ROUND(C75/C39,3)</f>
        <v>#N/A</v>
      </c>
    </row>
    <row r="81" spans="2:3" ht="13.5">
      <c r="B81" s="262" t="s">
        <v>800</v>
      </c>
      <c r="C81" s="230"/>
    </row>
    <row r="82" spans="2:3" ht="13">
      <c r="B82" s="265" t="s">
        <v>801</v>
      </c>
      <c r="C82" s="267" t="e">
        <f ca="1">1-C83</f>
        <v>#N/A</v>
      </c>
    </row>
    <row r="83" spans="2:3" ht="13">
      <c r="B83" s="265" t="s">
        <v>802</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15" customHeight="1">
      <c r="A2" s="1293" t="s">
        <v>2314</v>
      </c>
      <c r="B2" s="2592" t="e">
        <f>IF(D2="——",C40,C40+E2)</f>
        <v>#DIV/0!</v>
      </c>
      <c r="C2" s="2593" t="s">
        <v>2315</v>
      </c>
      <c r="D2" s="3136" t="s">
        <v>3356</v>
      </c>
      <c r="E2" s="3137"/>
      <c r="F2" s="2595"/>
      <c r="G2" s="2596"/>
      <c r="H2" s="2597"/>
      <c r="I2" s="2598"/>
      <c r="J2" s="3403" t="s">
        <v>2316</v>
      </c>
      <c r="K2" s="3404"/>
      <c r="L2" s="2599" t="s">
        <v>2317</v>
      </c>
      <c r="M2" s="2599" t="s">
        <v>2318</v>
      </c>
      <c r="N2" s="2599" t="s">
        <v>2319</v>
      </c>
      <c r="O2" s="2599" t="s">
        <v>2320</v>
      </c>
      <c r="P2" s="2599" t="s">
        <v>2321</v>
      </c>
      <c r="Q2" s="2600" t="s">
        <v>2322</v>
      </c>
      <c r="R2" s="2601" t="s">
        <v>2323</v>
      </c>
      <c r="S2" s="2590"/>
      <c r="T2" s="2590"/>
      <c r="U2" s="2590"/>
      <c r="V2" s="2598"/>
    </row>
    <row r="3" spans="1:22" s="2602" customFormat="1" ht="13.15" customHeight="1">
      <c r="A3" s="2603" t="s">
        <v>2324</v>
      </c>
      <c r="B3" s="2604" t="e">
        <f>ROUND(B2*10000/B4,0)</f>
        <v>#DIV/0!</v>
      </c>
      <c r="C3" s="2593" t="s">
        <v>2325</v>
      </c>
      <c r="D3" s="2593"/>
      <c r="E3" s="2594"/>
      <c r="F3" s="2595"/>
      <c r="G3" s="2596"/>
      <c r="H3" s="2597"/>
      <c r="I3" s="2598"/>
      <c r="J3" s="3405" t="s">
        <v>2326</v>
      </c>
      <c r="K3" s="3406"/>
      <c r="L3" s="2605"/>
      <c r="M3" s="2605"/>
      <c r="N3" s="2605"/>
      <c r="O3" s="2605"/>
      <c r="P3" s="2605"/>
      <c r="Q3" s="2606"/>
      <c r="R3" s="2607">
        <f>SUM(L3:Q3)</f>
        <v>0</v>
      </c>
      <c r="S3" s="2590"/>
      <c r="T3" s="2590"/>
      <c r="U3" s="2590"/>
      <c r="V3" s="2598"/>
    </row>
    <row r="4" spans="1:22" s="2602" customFormat="1" ht="13.15" customHeight="1">
      <c r="A4" s="2608" t="s">
        <v>2327</v>
      </c>
      <c r="B4" s="2609"/>
      <c r="C4" s="2593"/>
      <c r="D4" s="2593"/>
      <c r="E4" s="2594"/>
      <c r="F4" s="2595"/>
      <c r="G4" s="2596"/>
      <c r="H4" s="2597"/>
      <c r="I4" s="2598"/>
      <c r="J4" s="3405" t="s">
        <v>2328</v>
      </c>
      <c r="K4" s="3406"/>
      <c r="L4" s="2610"/>
      <c r="M4" s="2610"/>
      <c r="N4" s="2610"/>
      <c r="O4" s="2610"/>
      <c r="P4" s="2610"/>
      <c r="Q4" s="2611"/>
      <c r="R4" s="2612">
        <f>SUM(L4:Q4)</f>
        <v>0</v>
      </c>
      <c r="S4" s="2590"/>
      <c r="T4" s="2590"/>
      <c r="U4" s="2590"/>
      <c r="V4" s="2598"/>
    </row>
    <row r="5" spans="1:22" s="2602" customFormat="1" ht="13.15"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15" customHeight="1" thickBot="1">
      <c r="A6" s="3411" t="s">
        <v>2332</v>
      </c>
      <c r="B6" s="3412"/>
      <c r="C6" s="3413"/>
      <c r="D6" s="2619"/>
      <c r="E6" s="2620"/>
      <c r="F6" s="2621"/>
      <c r="G6" s="2622"/>
      <c r="H6" s="2597"/>
      <c r="I6" s="2598"/>
      <c r="J6" s="3397">
        <v>1</v>
      </c>
      <c r="K6" s="3398"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15" customHeight="1">
      <c r="A7" s="2625" t="s">
        <v>2342</v>
      </c>
      <c r="B7" s="2626"/>
      <c r="C7" s="2627"/>
      <c r="D7" s="2628">
        <f>SUM(D9,D10,D11,D17,0)</f>
        <v>0</v>
      </c>
      <c r="E7" s="2629" t="e">
        <f>E9+E10+E11+E17</f>
        <v>#DIV/0!</v>
      </c>
      <c r="F7" s="2630"/>
      <c r="G7" s="2631"/>
      <c r="H7" s="2597"/>
      <c r="I7" s="2598"/>
      <c r="J7" s="3397"/>
      <c r="K7" s="3399"/>
      <c r="L7" s="2632" t="s">
        <v>2343</v>
      </c>
      <c r="M7" s="2633"/>
      <c r="N7" s="2609"/>
      <c r="O7" s="2634"/>
      <c r="P7" s="2634"/>
      <c r="Q7" s="2635">
        <v>365</v>
      </c>
      <c r="R7" s="2636">
        <f>ROUND(M7*N7*O7*P7*Q7/10000,0)</f>
        <v>0</v>
      </c>
      <c r="S7" s="2590"/>
      <c r="T7" s="2590" t="s">
        <v>2344</v>
      </c>
      <c r="U7" s="2590"/>
      <c r="V7" s="2598"/>
    </row>
    <row r="8" spans="1:22" s="2602" customFormat="1" ht="13.15" customHeight="1">
      <c r="A8" s="2637" t="s">
        <v>2345</v>
      </c>
      <c r="B8" s="3414" t="s">
        <v>2346</v>
      </c>
      <c r="C8" s="3415"/>
      <c r="D8" s="2638" t="s">
        <v>2347</v>
      </c>
      <c r="E8" s="2639" t="s">
        <v>2348</v>
      </c>
      <c r="F8" s="2640" t="s">
        <v>2349</v>
      </c>
      <c r="G8" s="2641"/>
      <c r="H8" s="2597"/>
      <c r="I8" s="2598"/>
      <c r="J8" s="3397"/>
      <c r="K8" s="3399"/>
      <c r="L8" s="2632" t="s">
        <v>2350</v>
      </c>
      <c r="M8" s="2633"/>
      <c r="N8" s="2609"/>
      <c r="O8" s="2634"/>
      <c r="P8" s="2634"/>
      <c r="Q8" s="2635">
        <v>365</v>
      </c>
      <c r="R8" s="2636">
        <f t="shared" ref="R8:R13" si="0">ROUND(M8*N8*O8*P8*Q8/10000,0)</f>
        <v>0</v>
      </c>
      <c r="S8" s="2590"/>
      <c r="T8" s="2590" t="s">
        <v>2351</v>
      </c>
      <c r="U8" s="2590"/>
      <c r="V8" s="2598"/>
    </row>
    <row r="9" spans="1:22" s="2602" customFormat="1" ht="13.15" customHeight="1">
      <c r="A9" s="2637">
        <v>1</v>
      </c>
      <c r="B9" s="3414" t="s">
        <v>2352</v>
      </c>
      <c r="C9" s="3415"/>
      <c r="D9" s="2638">
        <f>ROUND(D6*E9,0)</f>
        <v>0</v>
      </c>
      <c r="E9" s="2642"/>
      <c r="F9" s="2643" t="s">
        <v>2353</v>
      </c>
      <c r="G9" s="2622"/>
      <c r="H9" s="2597"/>
      <c r="I9" s="2598"/>
      <c r="J9" s="3397"/>
      <c r="K9" s="3399"/>
      <c r="L9" s="2632" t="s">
        <v>2354</v>
      </c>
      <c r="M9" s="2633"/>
      <c r="N9" s="2609"/>
      <c r="O9" s="2634"/>
      <c r="P9" s="2634"/>
      <c r="Q9" s="2635">
        <v>365</v>
      </c>
      <c r="R9" s="2636">
        <f t="shared" si="0"/>
        <v>0</v>
      </c>
      <c r="S9" s="2590"/>
      <c r="T9" s="2590"/>
      <c r="U9" s="2590"/>
      <c r="V9" s="2598"/>
    </row>
    <row r="10" spans="1:22" s="2602" customFormat="1" ht="13.15" customHeight="1">
      <c r="A10" s="2637">
        <v>2</v>
      </c>
      <c r="B10" s="3414" t="s">
        <v>2355</v>
      </c>
      <c r="C10" s="3415"/>
      <c r="D10" s="2638">
        <f>ROUND(D6*E10,0)</f>
        <v>0</v>
      </c>
      <c r="E10" s="2642"/>
      <c r="F10" s="2643" t="s">
        <v>2356</v>
      </c>
      <c r="G10" s="2622"/>
      <c r="H10" s="2597"/>
      <c r="I10" s="2598"/>
      <c r="J10" s="3397"/>
      <c r="K10" s="3399"/>
      <c r="L10" s="2632" t="s">
        <v>2357</v>
      </c>
      <c r="M10" s="2633"/>
      <c r="N10" s="2609"/>
      <c r="O10" s="2634"/>
      <c r="P10" s="2634"/>
      <c r="Q10" s="2635">
        <v>365</v>
      </c>
      <c r="R10" s="2636">
        <f t="shared" si="0"/>
        <v>0</v>
      </c>
      <c r="S10" s="2590"/>
      <c r="T10" s="2590"/>
      <c r="U10" s="2590"/>
      <c r="V10" s="2598"/>
    </row>
    <row r="11" spans="1:22" s="2602" customFormat="1" ht="13.15" customHeight="1">
      <c r="A11" s="2637">
        <v>3</v>
      </c>
      <c r="B11" s="3414" t="s">
        <v>2358</v>
      </c>
      <c r="C11" s="3415"/>
      <c r="D11" s="2638">
        <f>D12+D14+D15+D16</f>
        <v>0</v>
      </c>
      <c r="E11" s="2644" t="e">
        <f>D11/D6</f>
        <v>#DIV/0!</v>
      </c>
      <c r="F11" s="2640"/>
      <c r="G11" s="2641"/>
      <c r="H11" s="2597"/>
      <c r="I11" s="2598"/>
      <c r="J11" s="3397"/>
      <c r="K11" s="3399"/>
      <c r="L11" s="2632" t="s">
        <v>2359</v>
      </c>
      <c r="M11" s="2633"/>
      <c r="N11" s="2609"/>
      <c r="O11" s="2634"/>
      <c r="P11" s="2634"/>
      <c r="Q11" s="2635">
        <v>365</v>
      </c>
      <c r="R11" s="2636">
        <f t="shared" si="0"/>
        <v>0</v>
      </c>
      <c r="S11" s="2590"/>
      <c r="T11" s="2590"/>
      <c r="U11" s="2590"/>
      <c r="V11" s="2598"/>
    </row>
    <row r="12" spans="1:22" s="2602" customFormat="1" ht="13.15" customHeight="1">
      <c r="A12" s="2645" t="s">
        <v>2360</v>
      </c>
      <c r="B12" s="3407" t="s">
        <v>2361</v>
      </c>
      <c r="C12" s="3408"/>
      <c r="D12" s="2646">
        <f>ROUND(D13*1.2%*(1-30%),0)</f>
        <v>0</v>
      </c>
      <c r="E12" s="2647">
        <v>1.2E-2</v>
      </c>
      <c r="F12" s="2640" t="s">
        <v>2362</v>
      </c>
      <c r="G12" s="2641"/>
      <c r="H12" s="2597"/>
      <c r="I12" s="2598"/>
      <c r="J12" s="3397"/>
      <c r="K12" s="3399"/>
      <c r="L12" s="2632" t="s">
        <v>2363</v>
      </c>
      <c r="M12" s="2633"/>
      <c r="N12" s="2609"/>
      <c r="O12" s="2634"/>
      <c r="P12" s="2634"/>
      <c r="Q12" s="2635">
        <v>365</v>
      </c>
      <c r="R12" s="2636">
        <f t="shared" si="0"/>
        <v>0</v>
      </c>
      <c r="S12" s="2590"/>
      <c r="T12" s="2590"/>
      <c r="U12" s="2590"/>
      <c r="V12" s="2598"/>
    </row>
    <row r="13" spans="1:22" s="2602" customFormat="1" ht="13.15" customHeight="1">
      <c r="A13" s="2645"/>
      <c r="B13" s="2648"/>
      <c r="C13" s="2649" t="s">
        <v>2364</v>
      </c>
      <c r="D13" s="2650"/>
      <c r="E13" s="2651"/>
      <c r="F13" s="2640"/>
      <c r="G13" s="2641"/>
      <c r="H13" s="2597"/>
      <c r="I13" s="2598"/>
      <c r="J13" s="3397"/>
      <c r="K13" s="3399"/>
      <c r="L13" s="2632" t="s">
        <v>2365</v>
      </c>
      <c r="M13" s="2633"/>
      <c r="N13" s="2609"/>
      <c r="O13" s="2634"/>
      <c r="P13" s="2634"/>
      <c r="Q13" s="2635">
        <v>365</v>
      </c>
      <c r="R13" s="2636">
        <f t="shared" si="0"/>
        <v>0</v>
      </c>
      <c r="S13" s="2590"/>
      <c r="T13" s="2590"/>
      <c r="U13" s="2590"/>
      <c r="V13" s="2598"/>
    </row>
    <row r="14" spans="1:22" s="2602" customFormat="1" ht="13.15" customHeight="1">
      <c r="A14" s="2645" t="s">
        <v>2366</v>
      </c>
      <c r="B14" s="3407" t="s">
        <v>2367</v>
      </c>
      <c r="C14" s="3408"/>
      <c r="D14" s="2646">
        <f>ROUND(E14*B5/10000,0)</f>
        <v>0</v>
      </c>
      <c r="E14" s="2635"/>
      <c r="F14" s="2640" t="s">
        <v>2368</v>
      </c>
      <c r="G14" s="2641"/>
      <c r="H14" s="2597"/>
      <c r="I14" s="2598"/>
      <c r="J14" s="3397"/>
      <c r="K14" s="3400"/>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2370</v>
      </c>
      <c r="B15" s="3407" t="s">
        <v>2371</v>
      </c>
      <c r="C15" s="3408"/>
      <c r="D15" s="2646">
        <f>ROUND(D6*E15,0)</f>
        <v>0</v>
      </c>
      <c r="E15" s="2647">
        <v>5.5E-2</v>
      </c>
      <c r="F15" s="2640" t="s">
        <v>2372</v>
      </c>
      <c r="G15" s="2622"/>
      <c r="H15" s="2597"/>
      <c r="I15" s="2598"/>
      <c r="J15" s="3397">
        <v>2</v>
      </c>
      <c r="K15" s="3398"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15" customHeight="1">
      <c r="A16" s="2645" t="s">
        <v>2379</v>
      </c>
      <c r="B16" s="3407" t="s">
        <v>2380</v>
      </c>
      <c r="C16" s="3408"/>
      <c r="D16" s="2657">
        <f>D6*E16</f>
        <v>0</v>
      </c>
      <c r="E16" s="2658"/>
      <c r="F16" s="2643" t="s">
        <v>2381</v>
      </c>
      <c r="G16" s="2622"/>
      <c r="H16" s="2597"/>
      <c r="I16" s="2598"/>
      <c r="J16" s="3397"/>
      <c r="K16" s="3399"/>
      <c r="L16" s="2632" t="s">
        <v>2382</v>
      </c>
      <c r="M16" s="2633"/>
      <c r="N16" s="2633"/>
      <c r="O16" s="2634"/>
      <c r="P16" s="2635">
        <v>365</v>
      </c>
      <c r="Q16" s="2609"/>
      <c r="R16" s="2656">
        <f>ROUND(M16*N16*O16*P16/10000,0)</f>
        <v>0</v>
      </c>
      <c r="S16" s="2590"/>
      <c r="T16" s="2590"/>
      <c r="U16" s="2590"/>
      <c r="V16" s="2598"/>
    </row>
    <row r="17" spans="1:22" s="2602" customFormat="1" ht="13.15" customHeight="1" thickBot="1">
      <c r="A17" s="2659">
        <v>4</v>
      </c>
      <c r="B17" s="3409" t="s">
        <v>2383</v>
      </c>
      <c r="C17" s="3410"/>
      <c r="D17" s="2660">
        <f>ROUND(D6*E17,0)</f>
        <v>0</v>
      </c>
      <c r="E17" s="2661"/>
      <c r="F17" s="2662" t="s">
        <v>2384</v>
      </c>
      <c r="G17" s="2622"/>
      <c r="H17" s="2597"/>
      <c r="I17" s="2598"/>
      <c r="J17" s="3397"/>
      <c r="K17" s="3399"/>
      <c r="L17" s="2632" t="s">
        <v>2385</v>
      </c>
      <c r="M17" s="2633"/>
      <c r="N17" s="2633"/>
      <c r="O17" s="2634"/>
      <c r="P17" s="2635">
        <v>365</v>
      </c>
      <c r="Q17" s="2609"/>
      <c r="R17" s="2656">
        <f>ROUND(M17*N17*O17*P17/10000,0)</f>
        <v>0</v>
      </c>
      <c r="S17" s="2590"/>
      <c r="T17" s="2590"/>
      <c r="U17" s="2590"/>
      <c r="V17" s="2598"/>
    </row>
    <row r="18" spans="1:22" s="2602" customFormat="1" ht="13.15" customHeight="1" thickBot="1">
      <c r="A18" s="2625" t="s">
        <v>2386</v>
      </c>
      <c r="B18" s="2626"/>
      <c r="C18" s="2626"/>
      <c r="D18" s="2663">
        <f>ROUND(D6*E18,0)</f>
        <v>0</v>
      </c>
      <c r="E18" s="2664"/>
      <c r="F18" s="2665" t="s">
        <v>2387</v>
      </c>
      <c r="G18" s="2622"/>
      <c r="H18" s="2597"/>
      <c r="I18" s="2598"/>
      <c r="J18" s="3397"/>
      <c r="K18" s="3399"/>
      <c r="L18" s="2632" t="s">
        <v>2388</v>
      </c>
      <c r="M18" s="2633"/>
      <c r="N18" s="2633"/>
      <c r="O18" s="2634"/>
      <c r="P18" s="2635">
        <v>365</v>
      </c>
      <c r="Q18" s="2609"/>
      <c r="R18" s="2656">
        <f>ROUND(M18*N18*O18*P18/10000,0)</f>
        <v>0</v>
      </c>
      <c r="S18" s="2590"/>
      <c r="T18" s="2590"/>
      <c r="U18" s="2590"/>
      <c r="V18" s="2598"/>
    </row>
    <row r="19" spans="1:22" s="2602" customFormat="1" ht="13.15" customHeight="1" thickBot="1">
      <c r="A19" s="2666" t="s">
        <v>2389</v>
      </c>
      <c r="B19" s="2620"/>
      <c r="C19" s="2620"/>
      <c r="D19" s="2620"/>
      <c r="E19" s="2620"/>
      <c r="F19" s="2621"/>
      <c r="G19" s="2641"/>
      <c r="H19" s="2597"/>
      <c r="I19" s="2598"/>
      <c r="J19" s="3397"/>
      <c r="K19" s="3400"/>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7">
        <v>3</v>
      </c>
      <c r="K20" s="3398"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15" customHeight="1">
      <c r="A21" s="2625"/>
      <c r="B21" s="2626"/>
      <c r="C21" s="2671" t="s">
        <v>2398</v>
      </c>
      <c r="D21" s="2672" t="s">
        <v>2399</v>
      </c>
      <c r="E21" s="2673" t="s">
        <v>2400</v>
      </c>
      <c r="F21" s="2669"/>
      <c r="G21" s="2641"/>
      <c r="H21" s="2597"/>
      <c r="I21" s="2598"/>
      <c r="J21" s="3397"/>
      <c r="K21" s="3399"/>
      <c r="L21" s="2632" t="s">
        <v>2401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2402</v>
      </c>
      <c r="D22" s="2676" t="s">
        <v>2403</v>
      </c>
      <c r="E22" s="2677" t="s">
        <v>2404</v>
      </c>
      <c r="F22" s="2669"/>
      <c r="G22" s="2590"/>
      <c r="H22" s="2597"/>
      <c r="I22" s="2598"/>
      <c r="J22" s="3397"/>
      <c r="K22" s="3399"/>
      <c r="L22" s="2632" t="s">
        <v>2405</v>
      </c>
      <c r="M22" s="2633"/>
      <c r="N22" s="2633"/>
      <c r="O22" s="2634"/>
      <c r="P22" s="2635">
        <v>365</v>
      </c>
      <c r="Q22" s="2609"/>
      <c r="R22" s="2674">
        <f>ROUND(M22*N22*O22*P22/10000,0)</f>
        <v>0</v>
      </c>
      <c r="S22" s="2590"/>
      <c r="T22" s="2590"/>
      <c r="U22" s="2590"/>
      <c r="V22" s="2598"/>
    </row>
    <row r="23" spans="1:22" s="2602" customFormat="1" ht="13.15" customHeight="1">
      <c r="A23" s="2678">
        <v>1</v>
      </c>
      <c r="B23" s="2679" t="s">
        <v>2406</v>
      </c>
      <c r="C23" s="2680">
        <f>D6</f>
        <v>0</v>
      </c>
      <c r="D23" s="2681">
        <f>C23*(1+D24)</f>
        <v>0</v>
      </c>
      <c r="E23" s="2682">
        <f>D23*(1+E24)</f>
        <v>0</v>
      </c>
      <c r="F23" s="2683"/>
      <c r="G23" s="2684"/>
      <c r="H23" s="2597"/>
      <c r="I23" s="2598"/>
      <c r="J23" s="3397"/>
      <c r="K23" s="3399"/>
      <c r="L23" s="2632" t="s">
        <v>2407</v>
      </c>
      <c r="M23" s="2633"/>
      <c r="N23" s="2633"/>
      <c r="O23" s="2634"/>
      <c r="P23" s="2635">
        <v>365</v>
      </c>
      <c r="Q23" s="2609"/>
      <c r="R23" s="2674">
        <f>ROUND(M23*N23*O23*P23/10000,0)</f>
        <v>0</v>
      </c>
      <c r="S23" s="2590"/>
      <c r="T23" s="2590"/>
      <c r="U23" s="2590"/>
      <c r="V23" s="2598"/>
    </row>
    <row r="24" spans="1:22" s="2602" customFormat="1" ht="13.15" customHeight="1">
      <c r="A24" s="2685"/>
      <c r="B24" s="2686" t="s">
        <v>2408</v>
      </c>
      <c r="C24" s="2687"/>
      <c r="D24" s="2688"/>
      <c r="E24" s="2689"/>
      <c r="F24" s="2690"/>
      <c r="G24" s="2684"/>
      <c r="H24" s="2597"/>
      <c r="I24" s="2598"/>
      <c r="J24" s="3397"/>
      <c r="K24" s="3400"/>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15" customHeight="1">
      <c r="A26" s="2678">
        <v>2</v>
      </c>
      <c r="B26" s="2679" t="s">
        <v>2410</v>
      </c>
      <c r="C26" s="2680">
        <f>D7</f>
        <v>0</v>
      </c>
      <c r="D26" s="2681">
        <f>D23*D27</f>
        <v>0</v>
      </c>
      <c r="E26" s="2682">
        <f>E23*E27</f>
        <v>0</v>
      </c>
      <c r="F26" s="2683"/>
      <c r="G26" s="2684"/>
      <c r="H26" s="2597"/>
      <c r="I26" s="2598"/>
      <c r="J26" s="340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15" customHeight="1">
      <c r="A27" s="2685"/>
      <c r="B27" s="2686" t="s">
        <v>2416</v>
      </c>
      <c r="C27" s="2703" t="e">
        <f>E7</f>
        <v>#DIV/0!</v>
      </c>
      <c r="D27" s="2688"/>
      <c r="E27" s="2689"/>
      <c r="F27" s="2690"/>
      <c r="G27" s="2684"/>
      <c r="H27" s="2704"/>
      <c r="I27" s="2696"/>
      <c r="J27" s="340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15"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15" customHeight="1">
      <c r="A32" s="2678">
        <v>4</v>
      </c>
      <c r="B32" s="2679" t="s">
        <v>2424</v>
      </c>
      <c r="C32" s="2680">
        <f>C23-C26-C29</f>
        <v>0</v>
      </c>
      <c r="D32" s="2681">
        <f>D23-D26-D29</f>
        <v>0</v>
      </c>
      <c r="E32" s="2682">
        <f>E23-E26-E29</f>
        <v>0</v>
      </c>
      <c r="F32" s="2683"/>
      <c r="G32" s="2590"/>
      <c r="H32" s="2597"/>
      <c r="I32" s="2598"/>
      <c r="J32" s="3403" t="s">
        <v>2316</v>
      </c>
      <c r="K32" s="3404"/>
      <c r="L32" s="2599" t="s">
        <v>2317</v>
      </c>
      <c r="M32" s="2599" t="s">
        <v>2318</v>
      </c>
      <c r="N32" s="2599" t="s">
        <v>2319</v>
      </c>
      <c r="O32" s="2599" t="s">
        <v>2320</v>
      </c>
      <c r="P32" s="2599" t="s">
        <v>2321</v>
      </c>
      <c r="Q32" s="2600" t="s">
        <v>2322</v>
      </c>
      <c r="R32" s="2719" t="s">
        <v>2323</v>
      </c>
      <c r="S32" s="2590"/>
      <c r="T32" s="2590"/>
      <c r="U32" s="2590"/>
      <c r="V32" s="2696"/>
    </row>
    <row r="33" spans="1:23" s="2602" customFormat="1" ht="13.15" customHeight="1">
      <c r="A33" s="2678"/>
      <c r="B33" s="2679"/>
      <c r="C33" s="2680"/>
      <c r="D33" s="2720"/>
      <c r="E33" s="2721"/>
      <c r="F33" s="2683"/>
      <c r="G33" s="2590"/>
      <c r="H33" s="2704"/>
      <c r="I33" s="2696"/>
      <c r="J33" s="3405" t="s">
        <v>2326</v>
      </c>
      <c r="K33" s="3406"/>
      <c r="L33" s="2605"/>
      <c r="M33" s="2605"/>
      <c r="N33" s="2605"/>
      <c r="O33" s="2605"/>
      <c r="P33" s="2605"/>
      <c r="Q33" s="2606"/>
      <c r="R33" s="2722">
        <f>SUM(L33:Q33)</f>
        <v>0</v>
      </c>
      <c r="S33" s="2590"/>
      <c r="T33" s="2590"/>
      <c r="U33" s="2590"/>
      <c r="V33" s="2598"/>
    </row>
    <row r="34" spans="1:23" s="2602" customFormat="1" ht="13.15" customHeight="1">
      <c r="A34" s="2678">
        <v>5</v>
      </c>
      <c r="B34" s="2679" t="s">
        <v>2425</v>
      </c>
      <c r="C34" s="2723"/>
      <c r="D34" s="2724"/>
      <c r="E34" s="2725"/>
      <c r="F34" s="2683"/>
      <c r="G34" s="2590"/>
      <c r="H34" s="2704"/>
      <c r="I34" s="2696"/>
      <c r="J34" s="3405" t="s">
        <v>2328</v>
      </c>
      <c r="K34" s="340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15" customHeight="1" thickBot="1">
      <c r="A36" s="2678">
        <v>7</v>
      </c>
      <c r="B36" s="2732" t="s">
        <v>2427</v>
      </c>
      <c r="C36" s="2733"/>
      <c r="D36" s="2734"/>
      <c r="E36" s="2735"/>
      <c r="F36" s="2736">
        <f>C36+D36+E36</f>
        <v>0</v>
      </c>
      <c r="G36" s="2590"/>
      <c r="H36" s="2597"/>
      <c r="I36" s="2598"/>
      <c r="J36" s="3397">
        <v>1</v>
      </c>
      <c r="K36" s="3398" t="s">
        <v>2428</v>
      </c>
      <c r="L36" s="2623"/>
      <c r="M36" s="2624"/>
      <c r="N36" s="2624"/>
      <c r="O36" s="2624"/>
      <c r="P36" s="2624"/>
      <c r="Q36" s="2624"/>
      <c r="R36" s="2607" t="s">
        <v>2340</v>
      </c>
      <c r="S36" s="2590"/>
      <c r="T36" s="2590" t="s">
        <v>2341</v>
      </c>
      <c r="U36" s="2590"/>
      <c r="V36" s="2598"/>
    </row>
    <row r="37" spans="1:23" s="2602" customFormat="1" ht="13.15" customHeight="1">
      <c r="A37" s="2678"/>
      <c r="B37" s="2679"/>
      <c r="C37" s="2679"/>
      <c r="D37" s="2679"/>
      <c r="E37" s="2679"/>
      <c r="F37" s="2683"/>
      <c r="G37" s="2590"/>
      <c r="H37" s="2597"/>
      <c r="I37" s="2598"/>
      <c r="J37" s="3397"/>
      <c r="K37" s="3399"/>
      <c r="L37" s="2632"/>
      <c r="M37" s="2633"/>
      <c r="N37" s="2609"/>
      <c r="O37" s="2634"/>
      <c r="P37" s="2634"/>
      <c r="Q37" s="2635"/>
      <c r="R37" s="2636"/>
      <c r="S37" s="2590"/>
      <c r="T37" s="2590" t="s">
        <v>2344</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7"/>
      <c r="K38" s="3399"/>
      <c r="L38" s="2632"/>
      <c r="M38" s="2633"/>
      <c r="N38" s="2609"/>
      <c r="O38" s="2634"/>
      <c r="P38" s="2634"/>
      <c r="Q38" s="2635"/>
      <c r="R38" s="2636"/>
      <c r="S38" s="2590"/>
      <c r="T38" s="2590" t="s">
        <v>2351</v>
      </c>
      <c r="U38" s="2590"/>
      <c r="V38" s="2598"/>
    </row>
    <row r="39" spans="1:23" s="2602" customFormat="1" ht="13.15" customHeight="1">
      <c r="A39" s="2678">
        <v>9</v>
      </c>
      <c r="B39" s="2679" t="s">
        <v>2429</v>
      </c>
      <c r="C39" s="2646" t="e">
        <f>C38</f>
        <v>#DIV/0!</v>
      </c>
      <c r="D39" s="2679">
        <f>D38/(1+D34)^C36</f>
        <v>0</v>
      </c>
      <c r="E39" s="2679">
        <f>E38/(1+E34)^(C36+D36)</f>
        <v>0</v>
      </c>
      <c r="F39" s="2683"/>
      <c r="G39" s="2598"/>
      <c r="H39" s="2597"/>
      <c r="I39" s="2598"/>
      <c r="J39" s="3397"/>
      <c r="K39" s="3399"/>
      <c r="L39" s="2632"/>
      <c r="M39" s="2633"/>
      <c r="N39" s="2609"/>
      <c r="O39" s="2634"/>
      <c r="P39" s="2634"/>
      <c r="Q39" s="2635"/>
      <c r="R39" s="2636"/>
      <c r="S39" s="2590"/>
      <c r="T39" s="2590"/>
      <c r="U39" s="2590"/>
      <c r="V39" s="2598"/>
    </row>
    <row r="40" spans="1:23" s="2602" customFormat="1" ht="13.15" customHeight="1">
      <c r="A40" s="2737">
        <v>10</v>
      </c>
      <c r="B40" s="2679" t="s">
        <v>2430</v>
      </c>
      <c r="C40" s="2738" t="e">
        <f>C39+D39+E39</f>
        <v>#DIV/0!</v>
      </c>
      <c r="D40" s="2739"/>
      <c r="E40" s="2739"/>
      <c r="F40" s="2740"/>
      <c r="G40" s="2590"/>
      <c r="H40" s="2597"/>
      <c r="I40" s="2598"/>
      <c r="J40" s="3397"/>
      <c r="K40" s="3400"/>
      <c r="L40" s="2652" t="s">
        <v>2369</v>
      </c>
      <c r="M40" s="2653"/>
      <c r="N40" s="2653"/>
      <c r="O40" s="2654"/>
      <c r="P40" s="2654"/>
      <c r="Q40" s="2655"/>
      <c r="R40" s="2601">
        <f>SUM(R37:R39)</f>
        <v>0</v>
      </c>
      <c r="S40" s="2590"/>
      <c r="T40" s="2590"/>
      <c r="U40" s="2590"/>
      <c r="V40" s="2598"/>
    </row>
    <row r="41" spans="1:23" s="2602" customFormat="1" ht="13.15"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1">
        <v>3</v>
      </c>
      <c r="K42" s="2698" t="s">
        <v>2411</v>
      </c>
      <c r="L42" s="2699"/>
      <c r="M42" s="2700"/>
      <c r="N42" s="2701" t="s">
        <v>2412</v>
      </c>
      <c r="O42" s="2701" t="s">
        <v>2413</v>
      </c>
      <c r="P42" s="2702" t="s">
        <v>2414</v>
      </c>
      <c r="Q42" s="2702" t="s">
        <v>2415</v>
      </c>
      <c r="R42" s="2607" t="s">
        <v>2340</v>
      </c>
      <c r="S42" s="2641"/>
      <c r="T42" s="2641"/>
      <c r="U42" s="2590"/>
      <c r="V42" s="2598"/>
    </row>
    <row r="43" spans="1:23" ht="13.15" customHeight="1">
      <c r="A43" s="2602"/>
      <c r="B43" s="2602"/>
      <c r="C43" s="2602"/>
      <c r="D43" s="2602"/>
      <c r="E43" s="2602"/>
      <c r="F43" s="2602"/>
      <c r="I43" s="2585"/>
      <c r="J43" s="340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1657</v>
      </c>
      <c r="B1" s="1726"/>
      <c r="C1" s="1726"/>
      <c r="D1" s="1726"/>
      <c r="E1" s="1727"/>
      <c r="F1" s="2477"/>
      <c r="G1" s="459"/>
      <c r="H1" s="459"/>
      <c r="I1" s="459"/>
      <c r="J1" s="459"/>
      <c r="K1" s="459"/>
      <c r="L1" s="459"/>
      <c r="M1" s="459"/>
      <c r="N1" s="459"/>
      <c r="O1" s="459"/>
      <c r="P1" s="459"/>
      <c r="Q1" s="459"/>
      <c r="R1" s="459"/>
      <c r="S1" s="459"/>
    </row>
    <row r="2" spans="1:22" ht="15.5">
      <c r="A2" s="1728" t="s">
        <v>1461</v>
      </c>
      <c r="B2" s="811">
        <f ca="1">SUMIF(B6:B13,"&lt;&gt;#ref!",B6:B13)</f>
        <v>1670</v>
      </c>
      <c r="C2" s="1729" t="s">
        <v>1650</v>
      </c>
      <c r="D2" s="1730" t="s">
        <v>1651</v>
      </c>
      <c r="E2" s="2391">
        <f>SUM(E6:E13)</f>
        <v>2256.4</v>
      </c>
      <c r="F2" s="2477"/>
      <c r="G2" s="459"/>
      <c r="H2" s="459"/>
      <c r="I2" s="459"/>
      <c r="J2" s="459"/>
      <c r="K2" s="459"/>
      <c r="L2" s="459"/>
      <c r="M2" s="459"/>
      <c r="N2" s="459"/>
      <c r="O2" s="459"/>
      <c r="P2" s="459"/>
      <c r="Q2" s="459"/>
      <c r="R2" s="459"/>
      <c r="S2" s="459"/>
    </row>
    <row r="3" spans="1:22" ht="15.5">
      <c r="A3" s="1728" t="s">
        <v>685</v>
      </c>
      <c r="B3" s="2385">
        <f ca="1">ROUND(B2*10000/E2,0)</f>
        <v>7401</v>
      </c>
      <c r="C3" s="1729" t="s">
        <v>1658</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1652</v>
      </c>
      <c r="B5" s="3416" t="s">
        <v>1653</v>
      </c>
      <c r="C5" s="3417"/>
      <c r="D5" s="2478"/>
      <c r="E5" s="1731" t="s">
        <v>1654</v>
      </c>
      <c r="F5" s="129" t="s">
        <v>1655</v>
      </c>
      <c r="G5" s="459"/>
      <c r="H5" s="459"/>
      <c r="I5" s="459"/>
      <c r="J5" s="459"/>
      <c r="K5" s="459"/>
      <c r="L5" s="459"/>
      <c r="M5" s="459"/>
      <c r="N5" s="459"/>
      <c r="O5" s="459"/>
      <c r="P5" s="459"/>
      <c r="Q5" s="459"/>
      <c r="R5" s="459"/>
      <c r="S5" s="459"/>
    </row>
    <row r="6" spans="1:22">
      <c r="A6" s="2388" t="str">
        <f>'数据-取费表'!AN6</f>
        <v>收益法</v>
      </c>
      <c r="B6" s="2386">
        <f ca="1">IF(F6="是",'数据-取费表'!AO6,0)</f>
        <v>1670</v>
      </c>
      <c r="C6" s="1729" t="s">
        <v>1650</v>
      </c>
      <c r="D6" s="2477"/>
      <c r="E6" s="2390">
        <f>IF(OR(A6=0,F6="否"),0,'数据-取费表'!K6+'数据-取费表'!S6)</f>
        <v>2256.4</v>
      </c>
      <c r="F6" s="1732" t="s">
        <v>1656</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1650</v>
      </c>
      <c r="D7" s="2477"/>
      <c r="E7" s="2390">
        <f>IF(OR(A7=0,F7="否"),0,'数据-取费表'!K7+'数据-取费表'!S7)</f>
        <v>0</v>
      </c>
      <c r="F7" s="1732" t="s">
        <v>1656</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1650</v>
      </c>
      <c r="D8" s="2477"/>
      <c r="E8" s="2390">
        <f>IF(OR(A8=0,F8="否"),0,'数据-取费表'!K8+'数据-取费表'!S8)</f>
        <v>0</v>
      </c>
      <c r="F8" s="1732" t="s">
        <v>1656</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1650</v>
      </c>
      <c r="D9" s="2477"/>
      <c r="E9" s="2390">
        <f>IF(OR(A9=0,F9="否"),0,'数据-取费表'!K9+'数据-取费表'!S9)</f>
        <v>0</v>
      </c>
      <c r="F9" s="1732" t="s">
        <v>1656</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1650</v>
      </c>
      <c r="D10" s="2477"/>
      <c r="E10" s="2390">
        <f>IF(OR(A10=0,F10="否"),0,'数据-取费表'!K10+'数据-取费表'!S10)</f>
        <v>0</v>
      </c>
      <c r="F10" s="1732" t="s">
        <v>1656</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1650</v>
      </c>
      <c r="D11" s="2477"/>
      <c r="E11" s="2390">
        <f>IF(OR(A11=0,F11="否"),0,'数据-取费表'!K11+'数据-取费表'!S11)</f>
        <v>0</v>
      </c>
      <c r="F11" s="1732" t="s">
        <v>1656</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1650</v>
      </c>
      <c r="D12" s="2477"/>
      <c r="E12" s="2390">
        <f>IF(OR(A12=0,F12="否"),0,'数据-取费表'!K12+'数据-取费表'!S12)</f>
        <v>0</v>
      </c>
      <c r="F12" s="1732" t="s">
        <v>1656</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1650</v>
      </c>
      <c r="D13" s="2479"/>
      <c r="E13" s="2390">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1660</v>
      </c>
      <c r="C1" s="1155" t="s">
        <v>1661</v>
      </c>
      <c r="D1" s="1142"/>
      <c r="E1" s="3122"/>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1664</v>
      </c>
      <c r="D3" s="343">
        <f>IF(D1="",'数据-汇总表'!E3,SUMIF('数据-汇总表'!$C19:$C33,D1,'数据-汇总表'!$E19:$E33))</f>
        <v>2256.4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1665</v>
      </c>
      <c r="B4" s="346"/>
      <c r="C4" s="3436" t="s">
        <v>1666</v>
      </c>
      <c r="D4" s="3437"/>
      <c r="E4" s="3438" t="s">
        <v>1667</v>
      </c>
      <c r="F4" s="3439"/>
      <c r="G4" s="3436" t="s">
        <v>1668</v>
      </c>
      <c r="H4" s="3437"/>
      <c r="I4" s="3436" t="s">
        <v>1669</v>
      </c>
      <c r="J4" s="3437"/>
      <c r="K4" s="1744" t="s">
        <v>1670</v>
      </c>
      <c r="L4" s="2484"/>
      <c r="M4" s="2485"/>
      <c r="N4" s="2485"/>
      <c r="O4" s="2485"/>
      <c r="P4" s="3440" t="s">
        <v>1671</v>
      </c>
      <c r="Q4" s="3441"/>
      <c r="R4" s="3446" t="s">
        <v>1667</v>
      </c>
      <c r="S4" s="3447"/>
      <c r="T4" s="3446" t="s">
        <v>1668</v>
      </c>
      <c r="U4" s="3447"/>
      <c r="V4" s="3422" t="s">
        <v>1669</v>
      </c>
      <c r="W4" s="3422"/>
      <c r="X4" s="1265"/>
      <c r="Y4" s="3446" t="s">
        <v>1671</v>
      </c>
      <c r="Z4" s="3447"/>
      <c r="AA4" s="3433" t="s">
        <v>1667</v>
      </c>
      <c r="AB4" s="3433" t="s">
        <v>1668</v>
      </c>
      <c r="AC4" s="3433" t="s">
        <v>1669</v>
      </c>
    </row>
    <row r="5" spans="1:29">
      <c r="A5" s="348"/>
      <c r="B5" s="349"/>
      <c r="C5" s="3454" t="s">
        <v>1672</v>
      </c>
      <c r="D5" s="3455"/>
      <c r="E5" s="3461" t="s">
        <v>1673</v>
      </c>
      <c r="F5" s="3462"/>
      <c r="G5" s="3454" t="s">
        <v>1674</v>
      </c>
      <c r="H5" s="3455"/>
      <c r="I5" s="3454" t="s">
        <v>1675</v>
      </c>
      <c r="J5" s="3455"/>
      <c r="K5" s="1745"/>
      <c r="L5" s="2484"/>
      <c r="M5" s="2485"/>
      <c r="N5" s="2485"/>
      <c r="O5" s="2485"/>
      <c r="P5" s="3442"/>
      <c r="Q5" s="3443"/>
      <c r="R5" s="3448"/>
      <c r="S5" s="3449"/>
      <c r="T5" s="3448"/>
      <c r="U5" s="3449"/>
      <c r="V5" s="3422"/>
      <c r="W5" s="3422"/>
      <c r="X5" s="1265"/>
      <c r="Y5" s="3448"/>
      <c r="Z5" s="3449"/>
      <c r="AA5" s="3434"/>
      <c r="AB5" s="3434"/>
      <c r="AC5" s="3434"/>
    </row>
    <row r="6" spans="1:29" ht="15" thickBot="1">
      <c r="A6" s="350"/>
      <c r="B6" s="351"/>
      <c r="C6" s="3452" t="s">
        <v>1676</v>
      </c>
      <c r="D6" s="3453"/>
      <c r="E6" s="3459" t="s">
        <v>1676</v>
      </c>
      <c r="F6" s="3460"/>
      <c r="G6" s="3452" t="s">
        <v>1676</v>
      </c>
      <c r="H6" s="3453"/>
      <c r="I6" s="3452" t="s">
        <v>1676</v>
      </c>
      <c r="J6" s="3453"/>
      <c r="K6" s="1745" t="s">
        <v>1677</v>
      </c>
      <c r="L6" s="2484"/>
      <c r="M6" s="2485"/>
      <c r="N6" s="2485"/>
      <c r="O6" s="2485"/>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6" t="s">
        <v>1679</v>
      </c>
      <c r="Q7" s="3458"/>
      <c r="R7" s="664" t="s">
        <v>20</v>
      </c>
      <c r="S7" s="665">
        <f t="shared" ref="S7:S15" si="0">F7</f>
        <v>0</v>
      </c>
      <c r="T7" s="664" t="s">
        <v>20</v>
      </c>
      <c r="U7" s="665">
        <f t="shared" ref="U7:U15" si="1">H7</f>
        <v>0</v>
      </c>
      <c r="V7" s="664" t="s">
        <v>20</v>
      </c>
      <c r="W7" s="665">
        <f t="shared" ref="W7:W15" si="2">J7</f>
        <v>0</v>
      </c>
      <c r="X7" s="666"/>
      <c r="Y7" s="3456" t="s">
        <v>1679</v>
      </c>
      <c r="Z7" s="3457"/>
      <c r="AA7" s="50" t="e">
        <f>D7/F7</f>
        <v>#DIV/0!</v>
      </c>
      <c r="AB7" s="50" t="e">
        <f>D7/H7</f>
        <v>#DIV/0!</v>
      </c>
      <c r="AC7" s="50" t="e">
        <f>D7/J7</f>
        <v>#DIV/0!</v>
      </c>
    </row>
    <row r="8" spans="1:29" s="102" customFormat="1" ht="14.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6" t="s">
        <v>1682</v>
      </c>
      <c r="Q8" s="3457"/>
      <c r="R8" s="664" t="s">
        <v>20</v>
      </c>
      <c r="S8" s="665">
        <f t="shared" si="0"/>
        <v>100</v>
      </c>
      <c r="T8" s="664" t="s">
        <v>20</v>
      </c>
      <c r="U8" s="665">
        <f t="shared" si="1"/>
        <v>100</v>
      </c>
      <c r="V8" s="664" t="s">
        <v>20</v>
      </c>
      <c r="W8" s="665">
        <f t="shared" si="2"/>
        <v>100</v>
      </c>
      <c r="X8" s="666"/>
      <c r="Y8" s="3456" t="s">
        <v>1682</v>
      </c>
      <c r="Z8" s="3457"/>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2"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50">
        <f t="shared" si="5"/>
        <v>1</v>
      </c>
    </row>
    <row r="10" spans="1:29" s="366" customFormat="1" ht="28">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2"/>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2"/>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2"/>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2"/>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9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0" t="s">
        <v>1690</v>
      </c>
      <c r="Q15" s="1263" t="str">
        <f t="shared" si="6"/>
        <v>居住社区成熟度</v>
      </c>
      <c r="R15" s="667" t="s">
        <v>18</v>
      </c>
      <c r="S15" s="668">
        <f t="shared" si="0"/>
        <v>100</v>
      </c>
      <c r="T15" s="667" t="s">
        <v>18</v>
      </c>
      <c r="U15" s="668">
        <f t="shared" si="1"/>
        <v>100</v>
      </c>
      <c r="V15" s="667" t="s">
        <v>18</v>
      </c>
      <c r="W15" s="668">
        <f t="shared" si="2"/>
        <v>100</v>
      </c>
      <c r="X15" s="1265"/>
      <c r="Y15" s="3423" t="s">
        <v>1690</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31"/>
      <c r="Q16" s="1263"/>
      <c r="R16" s="667"/>
      <c r="S16" s="668"/>
      <c r="T16" s="667"/>
      <c r="U16" s="668"/>
      <c r="V16" s="667"/>
      <c r="W16" s="668"/>
      <c r="X16" s="1265"/>
      <c r="Y16" s="342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1"/>
      <c r="Q17" s="1263" t="str">
        <f>B17</f>
        <v>交通便捷度</v>
      </c>
      <c r="R17" s="667" t="s">
        <v>18</v>
      </c>
      <c r="S17" s="668">
        <f>F17</f>
        <v>100</v>
      </c>
      <c r="T17" s="667" t="s">
        <v>18</v>
      </c>
      <c r="U17" s="668">
        <f>H17</f>
        <v>100</v>
      </c>
      <c r="V17" s="667" t="s">
        <v>18</v>
      </c>
      <c r="W17" s="668">
        <f>J17</f>
        <v>100</v>
      </c>
      <c r="X17" s="1265"/>
      <c r="Y17" s="342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31"/>
      <c r="Q18" s="1263"/>
      <c r="R18" s="667"/>
      <c r="S18" s="668"/>
      <c r="T18" s="667"/>
      <c r="U18" s="668"/>
      <c r="V18" s="667"/>
      <c r="W18" s="668"/>
      <c r="X18" s="1265"/>
      <c r="Y18" s="3424"/>
      <c r="Z18" s="1264"/>
      <c r="AA18" s="1264">
        <v>1</v>
      </c>
      <c r="AB18" s="1264">
        <v>1</v>
      </c>
      <c r="AC18" s="1264">
        <v>1</v>
      </c>
    </row>
    <row r="19" spans="1:29" ht="42">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1"/>
      <c r="Q19" s="1263" t="str">
        <f>B19</f>
        <v>公共配套设施</v>
      </c>
      <c r="R19" s="667" t="s">
        <v>18</v>
      </c>
      <c r="S19" s="668">
        <f>F19</f>
        <v>100</v>
      </c>
      <c r="T19" s="667" t="s">
        <v>18</v>
      </c>
      <c r="U19" s="668">
        <f>H19</f>
        <v>100</v>
      </c>
      <c r="V19" s="667" t="s">
        <v>18</v>
      </c>
      <c r="W19" s="668">
        <f>J19</f>
        <v>100</v>
      </c>
      <c r="X19" s="1265"/>
      <c r="Y19" s="342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31"/>
      <c r="Q20" s="1263"/>
      <c r="R20" s="667"/>
      <c r="S20" s="668"/>
      <c r="T20" s="667"/>
      <c r="U20" s="668"/>
      <c r="V20" s="667"/>
      <c r="W20" s="668"/>
      <c r="X20" s="1265"/>
      <c r="Y20" s="3424"/>
      <c r="Z20" s="1264"/>
      <c r="AA20" s="1264">
        <v>1</v>
      </c>
      <c r="AB20" s="1264">
        <v>1</v>
      </c>
      <c r="AC20" s="1264">
        <v>1</v>
      </c>
    </row>
    <row r="21" spans="1:29" ht="28">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31"/>
      <c r="Q22" s="1263"/>
      <c r="R22" s="667"/>
      <c r="S22" s="668"/>
      <c r="T22" s="667"/>
      <c r="U22" s="668"/>
      <c r="V22" s="667"/>
      <c r="W22" s="668"/>
      <c r="X22" s="1265"/>
      <c r="Y22" s="3424"/>
      <c r="Z22" s="1264"/>
      <c r="AA22" s="1264">
        <v>1</v>
      </c>
      <c r="AB22" s="1264">
        <v>1</v>
      </c>
      <c r="AC22" s="1264">
        <v>1</v>
      </c>
    </row>
    <row r="23" spans="1:29" ht="56">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1"/>
      <c r="Q23" s="1263" t="str">
        <f>B23</f>
        <v>自然及人文环境</v>
      </c>
      <c r="R23" s="667" t="s">
        <v>18</v>
      </c>
      <c r="S23" s="668">
        <f>F23</f>
        <v>100</v>
      </c>
      <c r="T23" s="667" t="s">
        <v>18</v>
      </c>
      <c r="U23" s="668">
        <f>H23</f>
        <v>100</v>
      </c>
      <c r="V23" s="667" t="s">
        <v>18</v>
      </c>
      <c r="W23" s="668">
        <f>J23</f>
        <v>100</v>
      </c>
      <c r="X23" s="1265"/>
      <c r="Y23" s="342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31"/>
      <c r="Q24" s="1263"/>
      <c r="R24" s="667"/>
      <c r="S24" s="668"/>
      <c r="T24" s="667"/>
      <c r="U24" s="668"/>
      <c r="V24" s="667"/>
      <c r="W24" s="668"/>
      <c r="X24" s="1265"/>
      <c r="Y24" s="3424"/>
      <c r="Z24" s="1264"/>
      <c r="AA24" s="1264">
        <v>1</v>
      </c>
      <c r="AB24" s="1264">
        <v>1</v>
      </c>
      <c r="AC24" s="1264">
        <v>1</v>
      </c>
    </row>
    <row r="25" spans="1:29" ht="15.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4"/>
      <c r="Z25" s="1264" t="str">
        <f>Q25</f>
        <v>楼层-1</v>
      </c>
      <c r="AA25" s="1264">
        <f t="shared" ref="AA25:AA46" si="15">D25/F25</f>
        <v>1</v>
      </c>
      <c r="AB25" s="1264">
        <f t="shared" ref="AB25:AB46" si="16">D25/H25</f>
        <v>1</v>
      </c>
      <c r="AC25" s="1264">
        <f t="shared" ref="AC25:AC46" si="17">D25/J25</f>
        <v>1</v>
      </c>
    </row>
    <row r="26" spans="1:29" ht="15.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1"/>
      <c r="Q26" s="1263" t="str">
        <f t="shared" si="11"/>
        <v>朝向</v>
      </c>
      <c r="R26" s="667" t="s">
        <v>18</v>
      </c>
      <c r="S26" s="668">
        <f t="shared" si="12"/>
        <v>100</v>
      </c>
      <c r="T26" s="667" t="s">
        <v>18</v>
      </c>
      <c r="U26" s="668">
        <f t="shared" si="13"/>
        <v>100</v>
      </c>
      <c r="V26" s="667" t="s">
        <v>18</v>
      </c>
      <c r="W26" s="668">
        <f t="shared" si="14"/>
        <v>100</v>
      </c>
      <c r="X26" s="1265"/>
      <c r="Y26" s="342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1"/>
      <c r="Q27" s="530">
        <f t="shared" si="11"/>
        <v>111</v>
      </c>
      <c r="R27" s="664" t="s">
        <v>18</v>
      </c>
      <c r="S27" s="665">
        <f t="shared" si="12"/>
        <v>100</v>
      </c>
      <c r="T27" s="664" t="s">
        <v>18</v>
      </c>
      <c r="U27" s="665">
        <f t="shared" si="13"/>
        <v>100</v>
      </c>
      <c r="V27" s="664" t="s">
        <v>18</v>
      </c>
      <c r="W27" s="665">
        <f t="shared" si="14"/>
        <v>100</v>
      </c>
      <c r="X27" s="666"/>
      <c r="Y27" s="342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1"/>
      <c r="Q28" s="1263">
        <f t="shared" si="11"/>
        <v>111</v>
      </c>
      <c r="R28" s="667" t="s">
        <v>18</v>
      </c>
      <c r="S28" s="668">
        <f t="shared" si="12"/>
        <v>100</v>
      </c>
      <c r="T28" s="667" t="s">
        <v>18</v>
      </c>
      <c r="U28" s="668">
        <f t="shared" si="13"/>
        <v>100</v>
      </c>
      <c r="V28" s="667" t="s">
        <v>18</v>
      </c>
      <c r="W28" s="668">
        <f t="shared" si="14"/>
        <v>100</v>
      </c>
      <c r="X28" s="1265"/>
      <c r="Y28" s="342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1"/>
      <c r="Q29" s="1263">
        <f t="shared" si="11"/>
        <v>111</v>
      </c>
      <c r="R29" s="667" t="s">
        <v>18</v>
      </c>
      <c r="S29" s="668">
        <f t="shared" si="12"/>
        <v>100</v>
      </c>
      <c r="T29" s="667" t="s">
        <v>18</v>
      </c>
      <c r="U29" s="668">
        <f t="shared" si="13"/>
        <v>100</v>
      </c>
      <c r="V29" s="667" t="s">
        <v>18</v>
      </c>
      <c r="W29" s="668">
        <f t="shared" si="14"/>
        <v>100</v>
      </c>
      <c r="X29" s="1265"/>
      <c r="Y29" s="342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1"/>
      <c r="Q30" s="1263">
        <f t="shared" si="11"/>
        <v>111</v>
      </c>
      <c r="R30" s="667" t="s">
        <v>18</v>
      </c>
      <c r="S30" s="668">
        <f t="shared" si="12"/>
        <v>100</v>
      </c>
      <c r="T30" s="667" t="s">
        <v>18</v>
      </c>
      <c r="U30" s="668">
        <f t="shared" si="13"/>
        <v>100</v>
      </c>
      <c r="V30" s="667" t="s">
        <v>18</v>
      </c>
      <c r="W30" s="668">
        <f t="shared" si="14"/>
        <v>100</v>
      </c>
      <c r="X30" s="1265"/>
      <c r="Y30" s="342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1"/>
      <c r="Q31" s="1263">
        <f t="shared" si="11"/>
        <v>111</v>
      </c>
      <c r="R31" s="667" t="s">
        <v>18</v>
      </c>
      <c r="S31" s="668">
        <f t="shared" si="12"/>
        <v>100</v>
      </c>
      <c r="T31" s="667" t="s">
        <v>18</v>
      </c>
      <c r="U31" s="668">
        <f t="shared" si="13"/>
        <v>100</v>
      </c>
      <c r="V31" s="667" t="s">
        <v>18</v>
      </c>
      <c r="W31" s="668">
        <f t="shared" si="14"/>
        <v>100</v>
      </c>
      <c r="X31" s="1265"/>
      <c r="Y31" s="3424"/>
      <c r="Z31" s="1264">
        <f t="shared" si="18"/>
        <v>111</v>
      </c>
      <c r="AA31" s="1264">
        <f t="shared" si="15"/>
        <v>1</v>
      </c>
      <c r="AB31" s="1264">
        <f t="shared" si="16"/>
        <v>1</v>
      </c>
      <c r="AC31" s="1264">
        <f t="shared" si="17"/>
        <v>1</v>
      </c>
    </row>
    <row r="32" spans="1:29" ht="15.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5" t="s">
        <v>1695</v>
      </c>
      <c r="Q32" s="1263" t="str">
        <f t="shared" si="11"/>
        <v>建筑类型</v>
      </c>
      <c r="R32" s="667" t="s">
        <v>18</v>
      </c>
      <c r="S32" s="668">
        <f t="shared" si="12"/>
        <v>100</v>
      </c>
      <c r="T32" s="667" t="s">
        <v>18</v>
      </c>
      <c r="U32" s="668">
        <f t="shared" si="13"/>
        <v>100</v>
      </c>
      <c r="V32" s="667" t="s">
        <v>18</v>
      </c>
      <c r="W32" s="668">
        <f t="shared" si="14"/>
        <v>100</v>
      </c>
      <c r="X32" s="1265"/>
      <c r="Y32" s="3428" t="s">
        <v>1695</v>
      </c>
      <c r="Z32" s="1264" t="str">
        <f t="shared" si="18"/>
        <v>建筑类型</v>
      </c>
      <c r="AA32" s="1264">
        <f t="shared" si="15"/>
        <v>1</v>
      </c>
      <c r="AB32" s="1264">
        <f t="shared" si="16"/>
        <v>1</v>
      </c>
      <c r="AC32" s="1264">
        <f t="shared" si="17"/>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6"/>
      <c r="Q33" s="531" t="str">
        <f t="shared" si="11"/>
        <v>项目建筑规模</v>
      </c>
      <c r="R33" s="669" t="s">
        <v>18</v>
      </c>
      <c r="S33" s="670" t="e">
        <f t="shared" si="12"/>
        <v>#N/A</v>
      </c>
      <c r="T33" s="669" t="s">
        <v>18</v>
      </c>
      <c r="U33" s="670" t="e">
        <f t="shared" si="13"/>
        <v>#N/A</v>
      </c>
      <c r="V33" s="669" t="s">
        <v>18</v>
      </c>
      <c r="W33" s="670" t="e">
        <f t="shared" si="14"/>
        <v>#N/A</v>
      </c>
      <c r="X33" s="671"/>
      <c r="Y33" s="3428"/>
      <c r="Z33" s="672" t="str">
        <f t="shared" si="18"/>
        <v>项目建筑规模</v>
      </c>
      <c r="AA33" s="1264" t="e">
        <f t="shared" si="15"/>
        <v>#N/A</v>
      </c>
      <c r="AB33" s="1264" t="e">
        <f t="shared" si="16"/>
        <v>#N/A</v>
      </c>
      <c r="AC33" s="1264" t="e">
        <f t="shared" si="17"/>
        <v>#N/A</v>
      </c>
    </row>
    <row r="34" spans="1:29" ht="15.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6"/>
      <c r="Q34" s="1263" t="str">
        <f t="shared" si="11"/>
        <v>建筑结构</v>
      </c>
      <c r="R34" s="667" t="s">
        <v>18</v>
      </c>
      <c r="S34" s="668">
        <f t="shared" si="12"/>
        <v>100</v>
      </c>
      <c r="T34" s="667" t="s">
        <v>18</v>
      </c>
      <c r="U34" s="668">
        <f t="shared" si="13"/>
        <v>100</v>
      </c>
      <c r="V34" s="667" t="s">
        <v>18</v>
      </c>
      <c r="W34" s="668">
        <f t="shared" si="14"/>
        <v>100</v>
      </c>
      <c r="X34" s="1265"/>
      <c r="Y34" s="3428"/>
      <c r="Z34" s="1264" t="str">
        <f t="shared" si="18"/>
        <v>建筑结构</v>
      </c>
      <c r="AA34" s="1264">
        <f t="shared" si="15"/>
        <v>1</v>
      </c>
      <c r="AB34" s="1264">
        <f t="shared" si="16"/>
        <v>1</v>
      </c>
      <c r="AC34" s="1264">
        <f t="shared" si="17"/>
        <v>1</v>
      </c>
    </row>
    <row r="35" spans="1:29" ht="15.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6"/>
      <c r="Q35" s="1263" t="str">
        <f t="shared" si="11"/>
        <v>建筑品质</v>
      </c>
      <c r="R35" s="667" t="s">
        <v>18</v>
      </c>
      <c r="S35" s="668">
        <f t="shared" si="12"/>
        <v>100</v>
      </c>
      <c r="T35" s="667" t="s">
        <v>18</v>
      </c>
      <c r="U35" s="668">
        <f t="shared" si="13"/>
        <v>100</v>
      </c>
      <c r="V35" s="667" t="s">
        <v>18</v>
      </c>
      <c r="W35" s="668">
        <f t="shared" si="14"/>
        <v>100</v>
      </c>
      <c r="X35" s="1265"/>
      <c r="Y35" s="3428"/>
      <c r="Z35" s="1264" t="str">
        <f t="shared" si="18"/>
        <v>建筑品质</v>
      </c>
      <c r="AA35" s="1264">
        <f t="shared" si="15"/>
        <v>1</v>
      </c>
      <c r="AB35" s="1264">
        <f t="shared" si="16"/>
        <v>1</v>
      </c>
      <c r="AC35" s="1264">
        <f t="shared" si="17"/>
        <v>1</v>
      </c>
    </row>
    <row r="36" spans="1:29" ht="15.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6"/>
      <c r="Q36" s="1263" t="str">
        <f t="shared" si="11"/>
        <v>公共部分装修</v>
      </c>
      <c r="R36" s="667" t="s">
        <v>18</v>
      </c>
      <c r="S36" s="668">
        <f t="shared" si="12"/>
        <v>100</v>
      </c>
      <c r="T36" s="667" t="s">
        <v>18</v>
      </c>
      <c r="U36" s="668">
        <f t="shared" si="13"/>
        <v>100</v>
      </c>
      <c r="V36" s="667" t="s">
        <v>18</v>
      </c>
      <c r="W36" s="668">
        <f t="shared" si="14"/>
        <v>100</v>
      </c>
      <c r="X36" s="1265"/>
      <c r="Y36" s="3428"/>
      <c r="Z36" s="1264" t="str">
        <f t="shared" si="18"/>
        <v>公共部分装修</v>
      </c>
      <c r="AA36" s="1264">
        <f t="shared" si="15"/>
        <v>1</v>
      </c>
      <c r="AB36" s="1264">
        <f t="shared" si="16"/>
        <v>1</v>
      </c>
      <c r="AC36" s="1264">
        <f t="shared" si="17"/>
        <v>1</v>
      </c>
    </row>
    <row r="37" spans="1:29" s="102" customFormat="1" ht="15.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6"/>
      <c r="Q37" s="530" t="str">
        <f t="shared" si="11"/>
        <v>成新度</v>
      </c>
      <c r="R37" s="664" t="s">
        <v>18</v>
      </c>
      <c r="S37" s="665" t="e">
        <f t="shared" si="12"/>
        <v>#N/A</v>
      </c>
      <c r="T37" s="664" t="s">
        <v>18</v>
      </c>
      <c r="U37" s="665" t="e">
        <f t="shared" si="13"/>
        <v>#N/A</v>
      </c>
      <c r="V37" s="664" t="s">
        <v>18</v>
      </c>
      <c r="W37" s="665" t="e">
        <f t="shared" si="14"/>
        <v>#N/A</v>
      </c>
      <c r="X37" s="666"/>
      <c r="Y37" s="3428"/>
      <c r="Z37" s="50" t="str">
        <f t="shared" si="18"/>
        <v>成新度</v>
      </c>
      <c r="AA37" s="50" t="e">
        <f t="shared" si="15"/>
        <v>#N/A</v>
      </c>
      <c r="AB37" s="50" t="e">
        <f t="shared" si="16"/>
        <v>#N/A</v>
      </c>
      <c r="AC37" s="50" t="e">
        <f t="shared" si="17"/>
        <v>#N/A</v>
      </c>
    </row>
    <row r="38" spans="1:29" ht="15.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6" t="s">
        <v>1695</v>
      </c>
      <c r="Q38" s="1263" t="str">
        <f t="shared" si="11"/>
        <v>物业管理</v>
      </c>
      <c r="R38" s="667" t="s">
        <v>18</v>
      </c>
      <c r="S38" s="668">
        <f t="shared" si="12"/>
        <v>100</v>
      </c>
      <c r="T38" s="667" t="s">
        <v>18</v>
      </c>
      <c r="U38" s="668">
        <f t="shared" si="13"/>
        <v>100</v>
      </c>
      <c r="V38" s="667" t="s">
        <v>18</v>
      </c>
      <c r="W38" s="668">
        <f t="shared" si="14"/>
        <v>100</v>
      </c>
      <c r="X38" s="1265"/>
      <c r="Y38" s="3428" t="s">
        <v>1695</v>
      </c>
      <c r="Z38" s="1264" t="str">
        <f t="shared" si="18"/>
        <v>物业管理</v>
      </c>
      <c r="AA38" s="1264">
        <f t="shared" si="15"/>
        <v>1</v>
      </c>
      <c r="AB38" s="1264">
        <f t="shared" si="16"/>
        <v>1</v>
      </c>
      <c r="AC38" s="1264">
        <f t="shared" si="17"/>
        <v>1</v>
      </c>
    </row>
    <row r="39" spans="1:29" ht="15.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6"/>
      <c r="Q39" s="1263" t="str">
        <f t="shared" si="11"/>
        <v>市政基础设施</v>
      </c>
      <c r="R39" s="667" t="s">
        <v>18</v>
      </c>
      <c r="S39" s="668">
        <f t="shared" si="12"/>
        <v>100</v>
      </c>
      <c r="T39" s="667" t="s">
        <v>18</v>
      </c>
      <c r="U39" s="668">
        <f t="shared" si="13"/>
        <v>100</v>
      </c>
      <c r="V39" s="667" t="s">
        <v>18</v>
      </c>
      <c r="W39" s="668">
        <f t="shared" si="14"/>
        <v>100</v>
      </c>
      <c r="X39" s="1265"/>
      <c r="Y39" s="3428"/>
      <c r="Z39" s="1264" t="str">
        <f t="shared" si="18"/>
        <v>市政基础设施</v>
      </c>
      <c r="AA39" s="1264">
        <f t="shared" si="15"/>
        <v>1</v>
      </c>
      <c r="AB39" s="1264">
        <f t="shared" si="16"/>
        <v>1</v>
      </c>
      <c r="AC39" s="1264">
        <f t="shared" si="17"/>
        <v>1</v>
      </c>
    </row>
    <row r="40" spans="1:29" ht="15.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6"/>
      <c r="Q40" s="1263" t="str">
        <f t="shared" si="11"/>
        <v>房型</v>
      </c>
      <c r="R40" s="667" t="s">
        <v>18</v>
      </c>
      <c r="S40" s="668">
        <f t="shared" si="12"/>
        <v>100</v>
      </c>
      <c r="T40" s="667" t="s">
        <v>18</v>
      </c>
      <c r="U40" s="668">
        <f t="shared" si="13"/>
        <v>100</v>
      </c>
      <c r="V40" s="667" t="s">
        <v>18</v>
      </c>
      <c r="W40" s="668">
        <f t="shared" si="14"/>
        <v>100</v>
      </c>
      <c r="X40" s="1265"/>
      <c r="Y40" s="3428"/>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6"/>
      <c r="Q41" s="531" t="str">
        <f t="shared" si="11"/>
        <v>单套/主力户型建筑面积</v>
      </c>
      <c r="R41" s="669" t="s">
        <v>18</v>
      </c>
      <c r="S41" s="670">
        <f t="shared" si="12"/>
        <v>100</v>
      </c>
      <c r="T41" s="669" t="s">
        <v>18</v>
      </c>
      <c r="U41" s="670">
        <f t="shared" si="13"/>
        <v>100</v>
      </c>
      <c r="V41" s="669" t="s">
        <v>18</v>
      </c>
      <c r="W41" s="670">
        <f t="shared" si="14"/>
        <v>100</v>
      </c>
      <c r="X41" s="671"/>
      <c r="Y41" s="3428"/>
      <c r="Z41" s="672" t="str">
        <f t="shared" si="18"/>
        <v>单套/主力户型建筑面积</v>
      </c>
      <c r="AA41" s="1264">
        <f t="shared" si="15"/>
        <v>1</v>
      </c>
      <c r="AB41" s="1264">
        <f t="shared" si="16"/>
        <v>1</v>
      </c>
      <c r="AC41" s="1264">
        <f t="shared" si="17"/>
        <v>1</v>
      </c>
    </row>
    <row r="42" spans="1:29" ht="15.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6"/>
      <c r="Q42" s="1263" t="str">
        <f t="shared" si="11"/>
        <v>内部装修</v>
      </c>
      <c r="R42" s="667" t="s">
        <v>18</v>
      </c>
      <c r="S42" s="668">
        <f t="shared" si="12"/>
        <v>100</v>
      </c>
      <c r="T42" s="667" t="s">
        <v>18</v>
      </c>
      <c r="U42" s="668">
        <f t="shared" si="13"/>
        <v>100</v>
      </c>
      <c r="V42" s="667" t="s">
        <v>18</v>
      </c>
      <c r="W42" s="668">
        <f t="shared" si="14"/>
        <v>100</v>
      </c>
      <c r="X42" s="1265"/>
      <c r="Y42" s="3428"/>
      <c r="Z42" s="1264" t="str">
        <f t="shared" si="18"/>
        <v>内部装修</v>
      </c>
      <c r="AA42" s="1264">
        <f t="shared" si="15"/>
        <v>1</v>
      </c>
      <c r="AB42" s="1264">
        <f t="shared" si="16"/>
        <v>1</v>
      </c>
      <c r="AC42" s="1264">
        <f t="shared" si="17"/>
        <v>1</v>
      </c>
    </row>
    <row r="43" spans="1:29" ht="2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6"/>
      <c r="Q43" s="1263" t="str">
        <f t="shared" si="11"/>
        <v>内部装修维护情况</v>
      </c>
      <c r="R43" s="667" t="s">
        <v>18</v>
      </c>
      <c r="S43" s="668">
        <f t="shared" si="12"/>
        <v>100</v>
      </c>
      <c r="T43" s="667" t="s">
        <v>18</v>
      </c>
      <c r="U43" s="668">
        <f t="shared" si="13"/>
        <v>100</v>
      </c>
      <c r="V43" s="667" t="s">
        <v>18</v>
      </c>
      <c r="W43" s="668">
        <f t="shared" si="14"/>
        <v>100</v>
      </c>
      <c r="X43" s="1265"/>
      <c r="Y43" s="342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6"/>
      <c r="Q44" s="530">
        <f t="shared" si="11"/>
        <v>111</v>
      </c>
      <c r="R44" s="664" t="s">
        <v>18</v>
      </c>
      <c r="S44" s="665">
        <f t="shared" si="12"/>
        <v>100</v>
      </c>
      <c r="T44" s="664" t="s">
        <v>18</v>
      </c>
      <c r="U44" s="665">
        <f t="shared" si="13"/>
        <v>100</v>
      </c>
      <c r="V44" s="664" t="s">
        <v>18</v>
      </c>
      <c r="W44" s="665">
        <f t="shared" si="14"/>
        <v>100</v>
      </c>
      <c r="X44" s="666"/>
      <c r="Y44" s="342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6"/>
      <c r="Q45" s="1263">
        <f t="shared" si="11"/>
        <v>111</v>
      </c>
      <c r="R45" s="667" t="s">
        <v>18</v>
      </c>
      <c r="S45" s="668">
        <f t="shared" si="12"/>
        <v>100</v>
      </c>
      <c r="T45" s="667" t="s">
        <v>18</v>
      </c>
      <c r="U45" s="668">
        <f t="shared" si="13"/>
        <v>100</v>
      </c>
      <c r="V45" s="667" t="s">
        <v>18</v>
      </c>
      <c r="W45" s="668">
        <f t="shared" si="14"/>
        <v>100</v>
      </c>
      <c r="X45" s="1265"/>
      <c r="Y45" s="342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7"/>
      <c r="Q46" s="1263">
        <f t="shared" si="11"/>
        <v>111</v>
      </c>
      <c r="R46" s="667" t="s">
        <v>17</v>
      </c>
      <c r="S46" s="668">
        <f t="shared" si="12"/>
        <v>100</v>
      </c>
      <c r="T46" s="667" t="s">
        <v>17</v>
      </c>
      <c r="U46" s="668">
        <f t="shared" si="13"/>
        <v>100</v>
      </c>
      <c r="V46" s="667" t="s">
        <v>17</v>
      </c>
      <c r="W46" s="668">
        <f t="shared" si="14"/>
        <v>100</v>
      </c>
      <c r="X46" s="1265"/>
      <c r="Y46" s="3429"/>
      <c r="Z46" s="1264">
        <f t="shared" si="18"/>
        <v>111</v>
      </c>
      <c r="AA46" s="1264">
        <f t="shared" si="15"/>
        <v>1</v>
      </c>
      <c r="AB46" s="1264">
        <f t="shared" si="16"/>
        <v>1</v>
      </c>
      <c r="AC46" s="1264">
        <f t="shared" si="17"/>
        <v>1</v>
      </c>
    </row>
    <row r="47" spans="1:29">
      <c r="A47" s="416" t="s">
        <v>1707</v>
      </c>
      <c r="B47" s="417"/>
      <c r="C47" s="1081" t="s">
        <v>16</v>
      </c>
      <c r="D47" s="418"/>
      <c r="E47" s="419"/>
      <c r="F47" s="420"/>
      <c r="G47" s="421"/>
      <c r="H47" s="422"/>
      <c r="I47" s="419"/>
      <c r="J47" s="422"/>
      <c r="K47" s="1767"/>
      <c r="L47" s="2492"/>
      <c r="M47" s="2485"/>
      <c r="N47" s="2485"/>
      <c r="O47" s="2485"/>
      <c r="P47" s="3421" t="str">
        <f>A47</f>
        <v>成交单价（元/平方米）</v>
      </c>
      <c r="Q47" s="3421"/>
      <c r="R47" s="3422">
        <f>E47</f>
        <v>0</v>
      </c>
      <c r="S47" s="3422"/>
      <c r="T47" s="3422">
        <f>G47</f>
        <v>0</v>
      </c>
      <c r="U47" s="3422"/>
      <c r="V47" s="3422">
        <f>I47</f>
        <v>0</v>
      </c>
      <c r="W47" s="3422"/>
      <c r="X47" s="385"/>
      <c r="Y47" s="673"/>
      <c r="Z47" s="385"/>
      <c r="AA47" s="385"/>
      <c r="AB47" s="385"/>
      <c r="AC47" s="385"/>
    </row>
    <row r="48" spans="1:29" ht="14.5" thickBot="1">
      <c r="A48" s="423" t="s">
        <v>1708</v>
      </c>
      <c r="B48" s="424"/>
      <c r="C48" s="1082" t="e">
        <f>R49</f>
        <v>#DIV/0!</v>
      </c>
      <c r="D48" s="2140" t="s">
        <v>2137</v>
      </c>
      <c r="E48" s="1083" t="e">
        <f>R48</f>
        <v>#DIV/0!</v>
      </c>
      <c r="F48" s="2141"/>
      <c r="G48" s="1082" t="e">
        <f>T48</f>
        <v>#DIV/0!</v>
      </c>
      <c r="H48" s="2141"/>
      <c r="I48" s="1083" t="e">
        <f>V48</f>
        <v>#DIV/0!</v>
      </c>
      <c r="J48" s="2141"/>
      <c r="K48" s="2142">
        <f>F48+H48+J48</f>
        <v>0</v>
      </c>
      <c r="L48" s="2492"/>
      <c r="M48" s="2485"/>
      <c r="N48" s="2485"/>
      <c r="O48" s="2485"/>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4.5" thickBot="1">
      <c r="A49" s="427" t="s">
        <v>1709</v>
      </c>
      <c r="B49" s="428"/>
      <c r="C49" s="1084" t="e">
        <f>R49</f>
        <v>#DIV/0!</v>
      </c>
      <c r="D49" s="351"/>
      <c r="E49" s="351"/>
      <c r="F49" s="351"/>
      <c r="G49" s="351"/>
      <c r="H49" s="351"/>
      <c r="I49" s="351"/>
      <c r="J49" s="351"/>
      <c r="K49" s="1768"/>
      <c r="L49" s="2492"/>
      <c r="M49" s="2485"/>
      <c r="N49" s="2485"/>
      <c r="O49" s="248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1713</v>
      </c>
      <c r="B57" s="385"/>
      <c r="C57" s="659"/>
      <c r="D57" s="659"/>
      <c r="E57" s="659"/>
      <c r="F57" s="660"/>
      <c r="G57" s="660"/>
      <c r="H57" s="659"/>
      <c r="I57" s="659"/>
      <c r="J57" s="659"/>
      <c r="K57" s="887"/>
      <c r="L57" s="888"/>
      <c r="M57" s="886"/>
      <c r="N57" s="886"/>
      <c r="O57" s="886"/>
      <c r="P57" s="1771"/>
      <c r="Q57" s="439"/>
    </row>
    <row r="58" spans="1:29" s="442" customFormat="1">
      <c r="A58" s="440" t="s">
        <v>1714</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1715</v>
      </c>
      <c r="B60" s="450"/>
      <c r="C60" s="451"/>
      <c r="D60" s="452"/>
      <c r="E60" s="452"/>
      <c r="F60" s="452"/>
      <c r="G60" s="452"/>
      <c r="H60" s="452"/>
      <c r="I60" s="452"/>
      <c r="J60" s="452"/>
      <c r="K60" s="452"/>
      <c r="L60" s="452"/>
      <c r="M60" s="453"/>
      <c r="N60" s="452"/>
      <c r="O60" s="453"/>
      <c r="P60" s="1773"/>
      <c r="Q60" s="439"/>
    </row>
    <row r="61" spans="1:29" s="102" customFormat="1">
      <c r="A61" s="455" t="s">
        <v>1716</v>
      </c>
      <c r="B61" s="444"/>
      <c r="C61" s="456" t="s">
        <v>1717</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1687</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1734</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1737</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1738</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1739</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1740</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1741</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1742</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1743</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1745</v>
      </c>
    </row>
    <row r="137" spans="1:17" ht="15.5">
      <c r="B137" s="1782" t="s">
        <v>1746</v>
      </c>
      <c r="C137" s="1783"/>
      <c r="D137" s="1783"/>
      <c r="E137" s="1783"/>
      <c r="F137" s="1783"/>
      <c r="G137" s="1784"/>
      <c r="H137" s="1785"/>
      <c r="I137" s="1786" t="s">
        <v>1747</v>
      </c>
      <c r="J137" s="1783"/>
      <c r="K137" s="1787"/>
    </row>
    <row r="138" spans="1:17" ht="15.5">
      <c r="B138" s="1788"/>
      <c r="C138" s="129" t="s">
        <v>1748</v>
      </c>
      <c r="D138" s="129" t="s">
        <v>1749</v>
      </c>
      <c r="E138" s="1789" t="s">
        <v>1750</v>
      </c>
      <c r="F138" s="1790" t="s">
        <v>1751</v>
      </c>
      <c r="G138" s="129" t="s">
        <v>1749</v>
      </c>
      <c r="H138" s="130" t="s">
        <v>1750</v>
      </c>
      <c r="I138" s="1791"/>
      <c r="J138" s="129" t="s">
        <v>1752</v>
      </c>
      <c r="K138" s="130" t="s">
        <v>1753</v>
      </c>
    </row>
    <row r="139" spans="1:17" ht="15.5">
      <c r="B139" s="814">
        <v>6</v>
      </c>
      <c r="C139" s="815">
        <v>96</v>
      </c>
      <c r="D139" s="1792" t="s">
        <v>1754</v>
      </c>
      <c r="E139" s="816">
        <v>100</v>
      </c>
      <c r="F139" s="817">
        <v>102.5</v>
      </c>
      <c r="G139" s="1792" t="s">
        <v>1754</v>
      </c>
      <c r="H139" s="818">
        <v>105</v>
      </c>
      <c r="I139" s="1793" t="s">
        <v>1755</v>
      </c>
      <c r="J139" s="815">
        <v>20</v>
      </c>
      <c r="K139" s="819">
        <f>C145/(J139-2)</f>
        <v>4.0555555555555553E-3</v>
      </c>
    </row>
    <row r="140" spans="1:17" ht="15.5">
      <c r="B140" s="820">
        <v>5</v>
      </c>
      <c r="C140" s="821">
        <v>100</v>
      </c>
      <c r="D140" s="821"/>
      <c r="E140" s="822"/>
      <c r="F140" s="823">
        <v>102</v>
      </c>
      <c r="G140" s="821"/>
      <c r="H140" s="824"/>
      <c r="I140" s="1794" t="s">
        <v>1756</v>
      </c>
      <c r="J140" s="263">
        <f>ROUNDUP((J139-1)/2,0)</f>
        <v>10</v>
      </c>
      <c r="K140" s="825">
        <v>100</v>
      </c>
    </row>
    <row r="141" spans="1:17" ht="15.5">
      <c r="B141" s="820">
        <v>4</v>
      </c>
      <c r="C141" s="821">
        <v>102</v>
      </c>
      <c r="D141" s="821"/>
      <c r="E141" s="822"/>
      <c r="F141" s="823">
        <v>101.5</v>
      </c>
      <c r="G141" s="821"/>
      <c r="H141" s="824"/>
      <c r="I141" s="1794" t="s">
        <v>1757</v>
      </c>
      <c r="J141" s="263">
        <v>1</v>
      </c>
      <c r="K141" s="826">
        <f>ROUND(100+(J141-J140)*K139*100,1)</f>
        <v>96.4</v>
      </c>
    </row>
    <row r="142" spans="1:17" ht="15.5">
      <c r="B142" s="820">
        <v>3</v>
      </c>
      <c r="C142" s="821">
        <v>103</v>
      </c>
      <c r="D142" s="821"/>
      <c r="E142" s="822"/>
      <c r="F142" s="823">
        <v>101</v>
      </c>
      <c r="G142" s="821"/>
      <c r="H142" s="824"/>
      <c r="I142" s="1794" t="s">
        <v>1758</v>
      </c>
      <c r="J142" s="263">
        <f>J139</f>
        <v>20</v>
      </c>
      <c r="K142" s="827">
        <v>95</v>
      </c>
    </row>
    <row r="143" spans="1:17" ht="15.5">
      <c r="B143" s="820">
        <v>2</v>
      </c>
      <c r="C143" s="821">
        <v>100</v>
      </c>
      <c r="D143" s="821"/>
      <c r="E143" s="822"/>
      <c r="F143" s="823">
        <v>100.5</v>
      </c>
      <c r="G143" s="821"/>
      <c r="H143" s="824"/>
      <c r="I143" s="1794" t="s">
        <v>1759</v>
      </c>
      <c r="J143" s="821">
        <v>15</v>
      </c>
      <c r="K143" s="826">
        <f>ROUND(100+(J143-J140)*K139*100,1)</f>
        <v>102</v>
      </c>
    </row>
    <row r="144" spans="1:17" ht="15.5">
      <c r="B144" s="820">
        <v>1</v>
      </c>
      <c r="C144" s="821">
        <v>98</v>
      </c>
      <c r="D144" s="1795" t="s">
        <v>1760</v>
      </c>
      <c r="E144" s="822">
        <v>102</v>
      </c>
      <c r="F144" s="828">
        <v>100</v>
      </c>
      <c r="G144" s="1795" t="s">
        <v>1760</v>
      </c>
      <c r="H144" s="824">
        <v>105</v>
      </c>
      <c r="I144" s="1794" t="s">
        <v>1759</v>
      </c>
      <c r="J144" s="821">
        <v>18</v>
      </c>
      <c r="K144" s="826">
        <f>ROUND(100+(J144-J140)*K139*100,1)</f>
        <v>103.2</v>
      </c>
    </row>
    <row r="145" spans="2:11" ht="16"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1765</v>
      </c>
      <c r="C1" s="1155" t="s">
        <v>1661</v>
      </c>
      <c r="D1" s="1142"/>
      <c r="E1" s="3122"/>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2256.4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46" t="s">
        <v>1770</v>
      </c>
      <c r="S4" s="3447"/>
      <c r="T4" s="3446" t="s">
        <v>1771</v>
      </c>
      <c r="U4" s="3447"/>
      <c r="V4" s="3422" t="s">
        <v>1772</v>
      </c>
      <c r="W4" s="3422"/>
      <c r="X4" s="1265"/>
      <c r="Y4" s="3446" t="s">
        <v>1774</v>
      </c>
      <c r="Z4" s="3447"/>
      <c r="AA4" s="3433" t="s">
        <v>1770</v>
      </c>
      <c r="AB4" s="3422" t="s">
        <v>1771</v>
      </c>
      <c r="AC4" s="3433" t="s">
        <v>1772</v>
      </c>
    </row>
    <row r="5" spans="1:29">
      <c r="A5" s="348"/>
      <c r="B5" s="349"/>
      <c r="C5" s="3454" t="s">
        <v>1672</v>
      </c>
      <c r="D5" s="3455"/>
      <c r="E5" s="3461" t="s">
        <v>1673</v>
      </c>
      <c r="F5" s="3462"/>
      <c r="G5" s="3454" t="s">
        <v>1674</v>
      </c>
      <c r="H5" s="3455"/>
      <c r="I5" s="3454" t="s">
        <v>1675</v>
      </c>
      <c r="J5" s="3455"/>
      <c r="K5" s="537"/>
      <c r="L5" s="2484"/>
      <c r="M5" s="2485"/>
      <c r="N5" s="2485"/>
      <c r="O5" s="2485"/>
      <c r="P5" s="3442"/>
      <c r="Q5" s="3443"/>
      <c r="R5" s="3448"/>
      <c r="S5" s="3449"/>
      <c r="T5" s="3448"/>
      <c r="U5" s="3449"/>
      <c r="V5" s="3422"/>
      <c r="W5" s="3422"/>
      <c r="X5" s="1265"/>
      <c r="Y5" s="3448"/>
      <c r="Z5" s="3449"/>
      <c r="AA5" s="3434"/>
      <c r="AB5" s="3422"/>
      <c r="AC5" s="3434"/>
    </row>
    <row r="6" spans="1:29" ht="15" thickBot="1">
      <c r="A6" s="350"/>
      <c r="B6" s="351"/>
      <c r="C6" s="3452" t="s">
        <v>1676</v>
      </c>
      <c r="D6" s="3453"/>
      <c r="E6" s="3459" t="s">
        <v>1676</v>
      </c>
      <c r="F6" s="3460"/>
      <c r="G6" s="3452" t="s">
        <v>1676</v>
      </c>
      <c r="H6" s="3453"/>
      <c r="I6" s="3452" t="s">
        <v>1676</v>
      </c>
      <c r="J6" s="3453"/>
      <c r="K6" s="537" t="s">
        <v>1677</v>
      </c>
      <c r="L6" s="2484"/>
      <c r="M6" s="2485"/>
      <c r="N6" s="2485"/>
      <c r="O6" s="2485"/>
      <c r="P6" s="3444"/>
      <c r="Q6" s="3445"/>
      <c r="R6" s="3448"/>
      <c r="S6" s="3449"/>
      <c r="T6" s="3450"/>
      <c r="U6" s="3451"/>
      <c r="V6" s="3422"/>
      <c r="W6" s="3422"/>
      <c r="X6" s="1265"/>
      <c r="Y6" s="3450"/>
      <c r="Z6" s="3451"/>
      <c r="AA6" s="3435"/>
      <c r="AB6" s="3422"/>
      <c r="AC6" s="3435"/>
    </row>
    <row r="7" spans="1:29" s="102" customFormat="1" ht="14.5" thickBot="1">
      <c r="A7" s="352" t="s">
        <v>1678</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6" t="s">
        <v>1679</v>
      </c>
      <c r="Q7" s="3458"/>
      <c r="R7" s="664" t="s">
        <v>14</v>
      </c>
      <c r="S7" s="665">
        <f t="shared" ref="S7:S15" si="0">F7</f>
        <v>0</v>
      </c>
      <c r="T7" s="664" t="s">
        <v>14</v>
      </c>
      <c r="U7" s="665">
        <f t="shared" ref="U7:U15" si="1">H7</f>
        <v>0</v>
      </c>
      <c r="V7" s="664" t="s">
        <v>14</v>
      </c>
      <c r="W7" s="665">
        <f t="shared" ref="W7:W15" si="2">J7</f>
        <v>0</v>
      </c>
      <c r="X7" s="666"/>
      <c r="Y7" s="3456" t="s">
        <v>1679</v>
      </c>
      <c r="Z7" s="3457"/>
      <c r="AA7" s="50" t="e">
        <f>D7/F7</f>
        <v>#DIV/0!</v>
      </c>
      <c r="AB7" s="50" t="e">
        <f>D7/H7</f>
        <v>#DIV/0!</v>
      </c>
      <c r="AC7" s="50" t="e">
        <f>D7/J7</f>
        <v>#DIV/0!</v>
      </c>
    </row>
    <row r="8" spans="1:29" s="102" customFormat="1" ht="14.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6" t="s">
        <v>1682</v>
      </c>
      <c r="Q8" s="3457"/>
      <c r="R8" s="664" t="s">
        <v>14</v>
      </c>
      <c r="S8" s="665">
        <f t="shared" si="0"/>
        <v>100</v>
      </c>
      <c r="T8" s="664" t="s">
        <v>14</v>
      </c>
      <c r="U8" s="665">
        <f t="shared" si="1"/>
        <v>100</v>
      </c>
      <c r="V8" s="664" t="s">
        <v>14</v>
      </c>
      <c r="W8" s="665">
        <f t="shared" si="2"/>
        <v>100</v>
      </c>
      <c r="X8" s="666"/>
      <c r="Y8" s="3456" t="s">
        <v>1682</v>
      </c>
      <c r="Z8" s="3457"/>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2"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50">
        <f t="shared" si="5"/>
        <v>1</v>
      </c>
    </row>
    <row r="10" spans="1:29" s="366" customFormat="1" ht="28">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0">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0" t="s">
        <v>1690</v>
      </c>
      <c r="Q15" s="1263" t="str">
        <f t="shared" si="6"/>
        <v>商业繁华度</v>
      </c>
      <c r="R15" s="667" t="s">
        <v>14</v>
      </c>
      <c r="S15" s="668">
        <f t="shared" si="0"/>
        <v>100</v>
      </c>
      <c r="T15" s="667" t="s">
        <v>14</v>
      </c>
      <c r="U15" s="668">
        <f t="shared" si="1"/>
        <v>100</v>
      </c>
      <c r="V15" s="667" t="s">
        <v>14</v>
      </c>
      <c r="W15" s="668">
        <f t="shared" si="2"/>
        <v>100</v>
      </c>
      <c r="X15" s="1265"/>
      <c r="Y15" s="3423" t="s">
        <v>1690</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31"/>
      <c r="Q16" s="1263"/>
      <c r="R16" s="667"/>
      <c r="S16" s="668"/>
      <c r="T16" s="667"/>
      <c r="U16" s="668"/>
      <c r="V16" s="667"/>
      <c r="W16" s="668"/>
      <c r="X16" s="1265"/>
      <c r="Y16" s="342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31"/>
      <c r="Q18" s="1263"/>
      <c r="R18" s="667"/>
      <c r="S18" s="668"/>
      <c r="T18" s="667"/>
      <c r="U18" s="668"/>
      <c r="V18" s="667"/>
      <c r="W18" s="668"/>
      <c r="X18" s="1265"/>
      <c r="Y18" s="3424"/>
      <c r="Z18" s="1264"/>
      <c r="AA18" s="1264">
        <v>1</v>
      </c>
      <c r="AB18" s="1264">
        <v>1</v>
      </c>
      <c r="AC18" s="1264">
        <v>1</v>
      </c>
    </row>
    <row r="19" spans="1:29" ht="42">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31"/>
      <c r="Q20" s="1263"/>
      <c r="R20" s="667"/>
      <c r="S20" s="668"/>
      <c r="T20" s="667"/>
      <c r="U20" s="668"/>
      <c r="V20" s="667"/>
      <c r="W20" s="668"/>
      <c r="X20" s="1265"/>
      <c r="Y20" s="3424"/>
      <c r="Z20" s="1264"/>
      <c r="AA20" s="1264">
        <v>1</v>
      </c>
      <c r="AB20" s="1264">
        <v>1</v>
      </c>
      <c r="AC20" s="1264">
        <v>1</v>
      </c>
    </row>
    <row r="21" spans="1:29" ht="28">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31"/>
      <c r="Q22" s="1263"/>
      <c r="R22" s="667"/>
      <c r="S22" s="668"/>
      <c r="T22" s="667"/>
      <c r="U22" s="668"/>
      <c r="V22" s="667"/>
      <c r="W22" s="668"/>
      <c r="X22" s="1265"/>
      <c r="Y22" s="3424"/>
      <c r="Z22" s="1264"/>
      <c r="AA22" s="1264">
        <v>1</v>
      </c>
      <c r="AB22" s="1264">
        <v>1</v>
      </c>
      <c r="AC22" s="1264">
        <v>1</v>
      </c>
    </row>
    <row r="23" spans="1:29" ht="56">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1"/>
      <c r="Q23" s="1263" t="str">
        <f>B23</f>
        <v>自然及人文环境</v>
      </c>
      <c r="R23" s="667" t="s">
        <v>14</v>
      </c>
      <c r="S23" s="668">
        <f>F23</f>
        <v>100</v>
      </c>
      <c r="T23" s="667" t="s">
        <v>14</v>
      </c>
      <c r="U23" s="668">
        <f>H23</f>
        <v>100</v>
      </c>
      <c r="V23" s="667" t="s">
        <v>14</v>
      </c>
      <c r="W23" s="668">
        <f>J23</f>
        <v>100</v>
      </c>
      <c r="X23" s="1265"/>
      <c r="Y23" s="342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31"/>
      <c r="Q24" s="1263"/>
      <c r="R24" s="667"/>
      <c r="S24" s="668"/>
      <c r="T24" s="667"/>
      <c r="U24" s="668"/>
      <c r="V24" s="667"/>
      <c r="W24" s="668"/>
      <c r="X24" s="1265"/>
      <c r="Y24" s="3424"/>
      <c r="Z24" s="1264"/>
      <c r="AA24" s="1264">
        <v>1</v>
      </c>
      <c r="AB24" s="1264">
        <v>1</v>
      </c>
      <c r="AC24" s="1264">
        <v>1</v>
      </c>
    </row>
    <row r="25" spans="1:29" ht="15.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1"/>
      <c r="Q25" s="1263" t="str">
        <f t="shared" ref="Q25:Q46" si="11">B25</f>
        <v>临街状况</v>
      </c>
      <c r="R25" s="667" t="s">
        <v>14</v>
      </c>
      <c r="S25" s="668">
        <f>F25</f>
        <v>100</v>
      </c>
      <c r="T25" s="667" t="s">
        <v>14</v>
      </c>
      <c r="U25" s="668">
        <f>H25</f>
        <v>100</v>
      </c>
      <c r="V25" s="667" t="s">
        <v>14</v>
      </c>
      <c r="W25" s="668">
        <f>J25</f>
        <v>100</v>
      </c>
      <c r="X25" s="1265"/>
      <c r="Y25" s="3424"/>
      <c r="Z25" s="1264" t="str">
        <f>Q25</f>
        <v>临街状况</v>
      </c>
      <c r="AA25" s="1264">
        <f t="shared" si="3"/>
        <v>1</v>
      </c>
      <c r="AB25" s="1264">
        <f t="shared" si="4"/>
        <v>1</v>
      </c>
      <c r="AC25" s="1264">
        <f t="shared" si="5"/>
        <v>1</v>
      </c>
    </row>
    <row r="26" spans="1:29" ht="15.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1"/>
      <c r="Q26" s="1263" t="str">
        <f t="shared" si="11"/>
        <v>平面位置/可视性</v>
      </c>
      <c r="R26" s="667" t="s">
        <v>14</v>
      </c>
      <c r="S26" s="668">
        <f>F26</f>
        <v>100</v>
      </c>
      <c r="T26" s="667" t="s">
        <v>14</v>
      </c>
      <c r="U26" s="668">
        <f>H26</f>
        <v>100</v>
      </c>
      <c r="V26" s="667" t="s">
        <v>14</v>
      </c>
      <c r="W26" s="668">
        <f>J26</f>
        <v>100</v>
      </c>
      <c r="X26" s="1265"/>
      <c r="Y26" s="3424"/>
      <c r="Z26" s="1264" t="str">
        <f>Q26</f>
        <v>平面位置/可视性</v>
      </c>
      <c r="AA26" s="1264">
        <f t="shared" si="3"/>
        <v>1</v>
      </c>
      <c r="AB26" s="1264">
        <f t="shared" si="4"/>
        <v>1</v>
      </c>
      <c r="AC26" s="1264">
        <f t="shared" si="5"/>
        <v>1</v>
      </c>
    </row>
    <row r="27" spans="1:29" s="102" customFormat="1" ht="15.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1"/>
      <c r="Q27" s="530" t="str">
        <f t="shared" si="11"/>
        <v>人流量</v>
      </c>
      <c r="R27" s="664" t="s">
        <v>14</v>
      </c>
      <c r="S27" s="665">
        <f>F27</f>
        <v>100</v>
      </c>
      <c r="T27" s="664" t="s">
        <v>14</v>
      </c>
      <c r="U27" s="665">
        <f>H27</f>
        <v>100</v>
      </c>
      <c r="V27" s="664" t="s">
        <v>14</v>
      </c>
      <c r="W27" s="665">
        <f>J27</f>
        <v>100</v>
      </c>
      <c r="X27" s="666"/>
      <c r="Y27" s="3424"/>
      <c r="Z27" s="50" t="str">
        <f>Q27</f>
        <v>人流量</v>
      </c>
      <c r="AA27" s="1264">
        <f>D27/F27</f>
        <v>1</v>
      </c>
      <c r="AB27" s="1264">
        <f>D27/H27</f>
        <v>1</v>
      </c>
      <c r="AC27" s="1264">
        <f>D27/J27</f>
        <v>1</v>
      </c>
    </row>
    <row r="28" spans="1:29" ht="15.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1"/>
      <c r="Q29" s="1263">
        <f t="shared" si="11"/>
        <v>111</v>
      </c>
      <c r="R29" s="667" t="s">
        <v>14</v>
      </c>
      <c r="S29" s="668">
        <f t="shared" si="12"/>
        <v>100</v>
      </c>
      <c r="T29" s="667" t="s">
        <v>14</v>
      </c>
      <c r="U29" s="668">
        <f t="shared" si="13"/>
        <v>100</v>
      </c>
      <c r="V29" s="667" t="s">
        <v>14</v>
      </c>
      <c r="W29" s="668">
        <f t="shared" si="14"/>
        <v>100</v>
      </c>
      <c r="X29" s="1265"/>
      <c r="Y29" s="342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264">
        <f t="shared" si="5"/>
        <v>1</v>
      </c>
    </row>
    <row r="32" spans="1:29" ht="15.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5" t="s">
        <v>1695</v>
      </c>
      <c r="Q32" s="1263" t="str">
        <f t="shared" si="11"/>
        <v>商业类型</v>
      </c>
      <c r="R32" s="667" t="s">
        <v>14</v>
      </c>
      <c r="S32" s="668">
        <f t="shared" si="12"/>
        <v>100</v>
      </c>
      <c r="T32" s="667" t="s">
        <v>14</v>
      </c>
      <c r="U32" s="668">
        <f t="shared" si="13"/>
        <v>100</v>
      </c>
      <c r="V32" s="667" t="s">
        <v>14</v>
      </c>
      <c r="W32" s="668">
        <f t="shared" si="14"/>
        <v>100</v>
      </c>
      <c r="X32" s="1265"/>
      <c r="Y32" s="3428" t="s">
        <v>1695</v>
      </c>
      <c r="Z32" s="1264" t="str">
        <f t="shared" si="15"/>
        <v>商业类型</v>
      </c>
      <c r="AA32" s="1264">
        <f t="shared" si="3"/>
        <v>1</v>
      </c>
      <c r="AB32" s="1264">
        <f t="shared" si="4"/>
        <v>1</v>
      </c>
      <c r="AC32" s="1264">
        <f t="shared" si="5"/>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6"/>
      <c r="Q33" s="531" t="str">
        <f t="shared" si="11"/>
        <v>项目建筑规模</v>
      </c>
      <c r="R33" s="669" t="s">
        <v>14</v>
      </c>
      <c r="S33" s="670" t="e">
        <f t="shared" si="12"/>
        <v>#N/A</v>
      </c>
      <c r="T33" s="669" t="s">
        <v>14</v>
      </c>
      <c r="U33" s="670" t="e">
        <f t="shared" si="13"/>
        <v>#N/A</v>
      </c>
      <c r="V33" s="669" t="s">
        <v>14</v>
      </c>
      <c r="W33" s="670" t="e">
        <f t="shared" si="14"/>
        <v>#N/A</v>
      </c>
      <c r="X33" s="671"/>
      <c r="Y33" s="3428"/>
      <c r="Z33" s="672" t="str">
        <f t="shared" si="15"/>
        <v>项目建筑规模</v>
      </c>
      <c r="AA33" s="1264" t="e">
        <f t="shared" si="3"/>
        <v>#N/A</v>
      </c>
      <c r="AB33" s="1264" t="e">
        <f t="shared" si="4"/>
        <v>#N/A</v>
      </c>
      <c r="AC33" s="1264" t="e">
        <f t="shared" si="5"/>
        <v>#N/A</v>
      </c>
    </row>
    <row r="34" spans="1:29" ht="15.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6"/>
      <c r="Q34" s="1263" t="str">
        <f t="shared" si="11"/>
        <v>建筑结构</v>
      </c>
      <c r="R34" s="667" t="s">
        <v>14</v>
      </c>
      <c r="S34" s="668">
        <f t="shared" si="12"/>
        <v>100</v>
      </c>
      <c r="T34" s="667" t="s">
        <v>14</v>
      </c>
      <c r="U34" s="668">
        <f t="shared" si="13"/>
        <v>100</v>
      </c>
      <c r="V34" s="667" t="s">
        <v>14</v>
      </c>
      <c r="W34" s="668">
        <f t="shared" si="14"/>
        <v>100</v>
      </c>
      <c r="X34" s="1265"/>
      <c r="Y34" s="3428"/>
      <c r="Z34" s="1264" t="str">
        <f t="shared" si="15"/>
        <v>建筑结构</v>
      </c>
      <c r="AA34" s="1264">
        <f t="shared" si="3"/>
        <v>1</v>
      </c>
      <c r="AB34" s="1264">
        <f t="shared" si="4"/>
        <v>1</v>
      </c>
      <c r="AC34" s="1264">
        <f t="shared" si="5"/>
        <v>1</v>
      </c>
    </row>
    <row r="35" spans="1:29" ht="15.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6"/>
      <c r="Q35" s="1263" t="str">
        <f t="shared" si="11"/>
        <v>公共部分装修</v>
      </c>
      <c r="R35" s="667" t="s">
        <v>14</v>
      </c>
      <c r="S35" s="668">
        <f t="shared" si="12"/>
        <v>100</v>
      </c>
      <c r="T35" s="667" t="s">
        <v>14</v>
      </c>
      <c r="U35" s="668">
        <f t="shared" si="13"/>
        <v>100</v>
      </c>
      <c r="V35" s="667" t="s">
        <v>14</v>
      </c>
      <c r="W35" s="668">
        <f t="shared" si="14"/>
        <v>100</v>
      </c>
      <c r="X35" s="1265"/>
      <c r="Y35" s="3428"/>
      <c r="Z35" s="1264" t="str">
        <f t="shared" si="15"/>
        <v>公共部分装修</v>
      </c>
      <c r="AA35" s="1264">
        <f t="shared" si="3"/>
        <v>1</v>
      </c>
      <c r="AB35" s="1264">
        <f t="shared" si="4"/>
        <v>1</v>
      </c>
      <c r="AC35" s="1264">
        <f t="shared" si="5"/>
        <v>1</v>
      </c>
    </row>
    <row r="36" spans="1:29" ht="15.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6"/>
      <c r="Q36" s="1263" t="str">
        <f t="shared" si="11"/>
        <v>成新度</v>
      </c>
      <c r="R36" s="667" t="s">
        <v>14</v>
      </c>
      <c r="S36" s="668" t="e">
        <f t="shared" si="12"/>
        <v>#N/A</v>
      </c>
      <c r="T36" s="667" t="s">
        <v>14</v>
      </c>
      <c r="U36" s="668" t="e">
        <f t="shared" si="13"/>
        <v>#N/A</v>
      </c>
      <c r="V36" s="667" t="s">
        <v>14</v>
      </c>
      <c r="W36" s="668" t="e">
        <f t="shared" si="14"/>
        <v>#N/A</v>
      </c>
      <c r="X36" s="1265"/>
      <c r="Y36" s="3428"/>
      <c r="Z36" s="1264" t="str">
        <f t="shared" si="15"/>
        <v>成新度</v>
      </c>
      <c r="AA36" s="1264" t="e">
        <f t="shared" si="3"/>
        <v>#N/A</v>
      </c>
      <c r="AB36" s="1264" t="e">
        <f t="shared" si="4"/>
        <v>#N/A</v>
      </c>
      <c r="AC36" s="1264" t="e">
        <f t="shared" si="5"/>
        <v>#N/A</v>
      </c>
    </row>
    <row r="37" spans="1:29" s="102" customFormat="1" ht="15.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6"/>
      <c r="Q37" s="530" t="str">
        <f t="shared" si="11"/>
        <v>市政基础设施</v>
      </c>
      <c r="R37" s="664" t="s">
        <v>14</v>
      </c>
      <c r="S37" s="665">
        <f t="shared" si="12"/>
        <v>100</v>
      </c>
      <c r="T37" s="664" t="s">
        <v>14</v>
      </c>
      <c r="U37" s="665">
        <f t="shared" si="13"/>
        <v>100</v>
      </c>
      <c r="V37" s="664" t="s">
        <v>14</v>
      </c>
      <c r="W37" s="665">
        <f t="shared" si="14"/>
        <v>100</v>
      </c>
      <c r="X37" s="666"/>
      <c r="Y37" s="3428"/>
      <c r="Z37" s="50" t="str">
        <f t="shared" si="15"/>
        <v>市政基础设施</v>
      </c>
      <c r="AA37" s="50">
        <f t="shared" si="3"/>
        <v>1</v>
      </c>
      <c r="AB37" s="50">
        <f t="shared" si="4"/>
        <v>1</v>
      </c>
      <c r="AC37" s="50">
        <f t="shared" si="5"/>
        <v>1</v>
      </c>
    </row>
    <row r="38" spans="1:29" ht="15.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6" t="s">
        <v>1695</v>
      </c>
      <c r="Q38" s="1263" t="str">
        <f t="shared" si="11"/>
        <v>业态</v>
      </c>
      <c r="R38" s="667" t="s">
        <v>14</v>
      </c>
      <c r="S38" s="668">
        <f t="shared" si="12"/>
        <v>100</v>
      </c>
      <c r="T38" s="667" t="s">
        <v>14</v>
      </c>
      <c r="U38" s="668">
        <f t="shared" si="13"/>
        <v>100</v>
      </c>
      <c r="V38" s="667" t="s">
        <v>14</v>
      </c>
      <c r="W38" s="668">
        <f t="shared" si="14"/>
        <v>100</v>
      </c>
      <c r="X38" s="1265"/>
      <c r="Y38" s="3428" t="s">
        <v>1695</v>
      </c>
      <c r="Z38" s="1264" t="str">
        <f t="shared" si="15"/>
        <v>业态</v>
      </c>
      <c r="AA38" s="1264">
        <f t="shared" si="3"/>
        <v>1</v>
      </c>
      <c r="AB38" s="1264">
        <f t="shared" si="4"/>
        <v>1</v>
      </c>
      <c r="AC38" s="1264">
        <f t="shared" si="5"/>
        <v>1</v>
      </c>
    </row>
    <row r="39" spans="1:29" ht="15.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6"/>
      <c r="Q39" s="1263" t="str">
        <f t="shared" si="11"/>
        <v>层高</v>
      </c>
      <c r="R39" s="667" t="s">
        <v>14</v>
      </c>
      <c r="S39" s="668">
        <f t="shared" si="12"/>
        <v>100</v>
      </c>
      <c r="T39" s="667" t="s">
        <v>14</v>
      </c>
      <c r="U39" s="668">
        <f t="shared" si="13"/>
        <v>100</v>
      </c>
      <c r="V39" s="667" t="s">
        <v>14</v>
      </c>
      <c r="W39" s="668">
        <f t="shared" si="14"/>
        <v>100</v>
      </c>
      <c r="X39" s="1265"/>
      <c r="Y39" s="3428"/>
      <c r="Z39" s="1264" t="str">
        <f t="shared" si="15"/>
        <v>层高</v>
      </c>
      <c r="AA39" s="1264">
        <f t="shared" si="3"/>
        <v>1</v>
      </c>
      <c r="AB39" s="1264">
        <f t="shared" si="4"/>
        <v>1</v>
      </c>
      <c r="AC39" s="1264">
        <f t="shared" si="5"/>
        <v>1</v>
      </c>
    </row>
    <row r="40" spans="1:29" ht="15.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6"/>
      <c r="Q40" s="1263" t="str">
        <f t="shared" si="11"/>
        <v>单套建筑面积</v>
      </c>
      <c r="R40" s="667" t="s">
        <v>14</v>
      </c>
      <c r="S40" s="668">
        <f t="shared" si="12"/>
        <v>100</v>
      </c>
      <c r="T40" s="667" t="s">
        <v>14</v>
      </c>
      <c r="U40" s="668">
        <f t="shared" si="13"/>
        <v>100</v>
      </c>
      <c r="V40" s="667" t="s">
        <v>14</v>
      </c>
      <c r="W40" s="668">
        <f t="shared" si="14"/>
        <v>100</v>
      </c>
      <c r="X40" s="1265"/>
      <c r="Y40" s="3428"/>
      <c r="Z40" s="1264" t="str">
        <f t="shared" si="15"/>
        <v>单套建筑面积</v>
      </c>
      <c r="AA40" s="1264">
        <f t="shared" si="3"/>
        <v>1</v>
      </c>
      <c r="AB40" s="1264">
        <f t="shared" si="4"/>
        <v>1</v>
      </c>
      <c r="AC40" s="1264">
        <f t="shared" si="5"/>
        <v>1</v>
      </c>
    </row>
    <row r="41" spans="1:29" s="408" customFormat="1" ht="15.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6"/>
      <c r="Q41" s="531" t="str">
        <f t="shared" si="11"/>
        <v>进深比</v>
      </c>
      <c r="R41" s="669" t="s">
        <v>14</v>
      </c>
      <c r="S41" s="670">
        <f t="shared" si="12"/>
        <v>100</v>
      </c>
      <c r="T41" s="669" t="s">
        <v>14</v>
      </c>
      <c r="U41" s="670">
        <f t="shared" si="13"/>
        <v>100</v>
      </c>
      <c r="V41" s="669" t="s">
        <v>14</v>
      </c>
      <c r="W41" s="670">
        <f t="shared" si="14"/>
        <v>100</v>
      </c>
      <c r="X41" s="671"/>
      <c r="Y41" s="3428"/>
      <c r="Z41" s="672" t="str">
        <f t="shared" si="15"/>
        <v>进深比</v>
      </c>
      <c r="AA41" s="1264">
        <f t="shared" si="3"/>
        <v>1</v>
      </c>
      <c r="AB41" s="1264">
        <f t="shared" si="4"/>
        <v>1</v>
      </c>
      <c r="AC41" s="1264">
        <f t="shared" si="5"/>
        <v>1</v>
      </c>
    </row>
    <row r="42" spans="1:29" ht="15.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6"/>
      <c r="Q42" s="1263" t="str">
        <f t="shared" si="11"/>
        <v>内部装修</v>
      </c>
      <c r="R42" s="667" t="s">
        <v>14</v>
      </c>
      <c r="S42" s="668">
        <f t="shared" si="12"/>
        <v>100</v>
      </c>
      <c r="T42" s="667" t="s">
        <v>14</v>
      </c>
      <c r="U42" s="668">
        <f t="shared" si="13"/>
        <v>100</v>
      </c>
      <c r="V42" s="667" t="s">
        <v>14</v>
      </c>
      <c r="W42" s="668">
        <f t="shared" si="14"/>
        <v>100</v>
      </c>
      <c r="X42" s="1265"/>
      <c r="Y42" s="3428"/>
      <c r="Z42" s="1264" t="str">
        <f t="shared" si="15"/>
        <v>内部装修</v>
      </c>
      <c r="AA42" s="1264">
        <f t="shared" si="3"/>
        <v>1</v>
      </c>
      <c r="AB42" s="1264">
        <f t="shared" si="4"/>
        <v>1</v>
      </c>
      <c r="AC42" s="1264">
        <f t="shared" si="5"/>
        <v>1</v>
      </c>
    </row>
    <row r="43" spans="1:29" ht="2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6"/>
      <c r="Q43" s="1263" t="str">
        <f t="shared" si="11"/>
        <v>内部装修维护情况</v>
      </c>
      <c r="R43" s="667" t="s">
        <v>14</v>
      </c>
      <c r="S43" s="668">
        <f t="shared" si="12"/>
        <v>100</v>
      </c>
      <c r="T43" s="667" t="s">
        <v>14</v>
      </c>
      <c r="U43" s="668">
        <f t="shared" si="13"/>
        <v>100</v>
      </c>
      <c r="V43" s="667" t="s">
        <v>14</v>
      </c>
      <c r="W43" s="668">
        <f t="shared" si="14"/>
        <v>100</v>
      </c>
      <c r="X43" s="1265"/>
      <c r="Y43" s="342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6"/>
      <c r="Q44" s="530">
        <f t="shared" si="11"/>
        <v>111</v>
      </c>
      <c r="R44" s="664" t="s">
        <v>14</v>
      </c>
      <c r="S44" s="665">
        <f t="shared" si="12"/>
        <v>100</v>
      </c>
      <c r="T44" s="664" t="s">
        <v>14</v>
      </c>
      <c r="U44" s="665">
        <f t="shared" si="13"/>
        <v>100</v>
      </c>
      <c r="V44" s="664" t="s">
        <v>14</v>
      </c>
      <c r="W44" s="665">
        <f t="shared" si="14"/>
        <v>100</v>
      </c>
      <c r="X44" s="666"/>
      <c r="Y44" s="342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6"/>
      <c r="Q45" s="1263">
        <f t="shared" si="11"/>
        <v>111</v>
      </c>
      <c r="R45" s="667" t="s">
        <v>14</v>
      </c>
      <c r="S45" s="668">
        <f t="shared" si="12"/>
        <v>100</v>
      </c>
      <c r="T45" s="667" t="s">
        <v>14</v>
      </c>
      <c r="U45" s="668">
        <f t="shared" si="13"/>
        <v>100</v>
      </c>
      <c r="V45" s="667" t="s">
        <v>14</v>
      </c>
      <c r="W45" s="668">
        <f t="shared" si="14"/>
        <v>100</v>
      </c>
      <c r="X45" s="1265"/>
      <c r="Y45" s="342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264">
        <f t="shared" si="5"/>
        <v>1</v>
      </c>
    </row>
    <row r="47" spans="1:29">
      <c r="A47" s="416" t="s">
        <v>1707</v>
      </c>
      <c r="B47" s="417"/>
      <c r="C47" s="1081" t="s">
        <v>0</v>
      </c>
      <c r="D47" s="418"/>
      <c r="E47" s="419"/>
      <c r="F47" s="420"/>
      <c r="G47" s="421"/>
      <c r="H47" s="422"/>
      <c r="I47" s="419"/>
      <c r="J47" s="422"/>
      <c r="K47" s="674"/>
      <c r="L47" s="2492"/>
      <c r="M47" s="2485"/>
      <c r="N47" s="2485"/>
      <c r="O47" s="2485"/>
      <c r="P47" s="3421" t="str">
        <f>A47</f>
        <v>成交单价（元/平方米）</v>
      </c>
      <c r="Q47" s="3421"/>
      <c r="R47" s="3422">
        <f>E47</f>
        <v>0</v>
      </c>
      <c r="S47" s="3422"/>
      <c r="T47" s="3422">
        <f>G47</f>
        <v>0</v>
      </c>
      <c r="U47" s="3422"/>
      <c r="V47" s="3422">
        <f>I47</f>
        <v>0</v>
      </c>
      <c r="W47" s="3422"/>
      <c r="X47" s="385"/>
      <c r="Y47" s="673"/>
      <c r="Z47" s="385"/>
      <c r="AA47" s="385"/>
      <c r="AB47" s="385"/>
      <c r="AC47" s="385"/>
    </row>
    <row r="48" spans="1:29" ht="14.5" thickBot="1">
      <c r="A48" s="423" t="s">
        <v>1792</v>
      </c>
      <c r="B48" s="424"/>
      <c r="C48" s="1082" t="e">
        <f>R49</f>
        <v>#DIV/0!</v>
      </c>
      <c r="D48" s="2140" t="s">
        <v>2137</v>
      </c>
      <c r="E48" s="1083" t="e">
        <f>R48</f>
        <v>#DIV/0!</v>
      </c>
      <c r="F48" s="2141"/>
      <c r="G48" s="1082" t="e">
        <f>T48</f>
        <v>#DIV/0!</v>
      </c>
      <c r="H48" s="2141"/>
      <c r="I48" s="1083" t="e">
        <f>V48</f>
        <v>#DIV/0!</v>
      </c>
      <c r="J48" s="2141"/>
      <c r="K48" s="2143">
        <f>F48+H48+J48</f>
        <v>0</v>
      </c>
      <c r="L48" s="2492"/>
      <c r="M48" s="2485"/>
      <c r="N48" s="2485"/>
      <c r="O48" s="2485"/>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4.5" thickBot="1">
      <c r="A49" s="427" t="s">
        <v>1793</v>
      </c>
      <c r="B49" s="428"/>
      <c r="C49" s="351" t="e">
        <f>R49</f>
        <v>#DIV/0!</v>
      </c>
      <c r="D49" s="351"/>
      <c r="E49" s="351"/>
      <c r="F49" s="351"/>
      <c r="G49" s="351"/>
      <c r="H49" s="351"/>
      <c r="I49" s="351"/>
      <c r="J49" s="351"/>
      <c r="K49" s="675"/>
      <c r="L49" s="2492"/>
      <c r="M49" s="2485"/>
      <c r="N49" s="2485"/>
      <c r="O49" s="248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1797</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1678</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1715</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1680</v>
      </c>
      <c r="B61" s="444"/>
      <c r="C61" s="456" t="s">
        <v>1775</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1718</v>
      </c>
      <c r="B63" s="460" t="s">
        <v>1684</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1687</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1689</v>
      </c>
      <c r="B76" s="460" t="s">
        <v>1719</v>
      </c>
      <c r="C76" s="504" t="s">
        <v>1720</v>
      </c>
      <c r="D76" s="504" t="s">
        <v>1721</v>
      </c>
      <c r="E76" s="504" t="s">
        <v>1722</v>
      </c>
      <c r="F76" s="504" t="s">
        <v>1723</v>
      </c>
      <c r="G76" s="504" t="s">
        <v>1724</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1725</v>
      </c>
      <c r="C78" s="509" t="s">
        <v>1720</v>
      </c>
      <c r="D78" s="509" t="s">
        <v>1721</v>
      </c>
      <c r="E78" s="509" t="s">
        <v>1722</v>
      </c>
      <c r="F78" s="509" t="s">
        <v>1723</v>
      </c>
      <c r="G78" s="509" t="s">
        <v>1724</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1726</v>
      </c>
      <c r="C80" s="509" t="s">
        <v>1720</v>
      </c>
      <c r="D80" s="509" t="s">
        <v>1721</v>
      </c>
      <c r="E80" s="509" t="s">
        <v>1722</v>
      </c>
      <c r="F80" s="509" t="s">
        <v>1723</v>
      </c>
      <c r="G80" s="509" t="s">
        <v>1724</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1778</v>
      </c>
      <c r="C82" s="581" t="s">
        <v>1798</v>
      </c>
      <c r="D82" s="581" t="s">
        <v>1799</v>
      </c>
      <c r="E82" s="581" t="s">
        <v>1800</v>
      </c>
      <c r="F82" s="581" t="s">
        <v>1801</v>
      </c>
      <c r="G82" s="581" t="s">
        <v>1802</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1732</v>
      </c>
      <c r="C84" s="509" t="s">
        <v>1720</v>
      </c>
      <c r="D84" s="509" t="s">
        <v>1721</v>
      </c>
      <c r="E84" s="509" t="s">
        <v>1722</v>
      </c>
      <c r="F84" s="509" t="s">
        <v>1723</v>
      </c>
      <c r="G84" s="509" t="s">
        <v>1724</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1803</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1693</v>
      </c>
      <c r="B100" s="460" t="s">
        <v>1804</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1737</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1739</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1741</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1805</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1806</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1807</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1808</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1743</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1744</v>
      </c>
      <c r="C124" s="509" t="s">
        <v>1720</v>
      </c>
      <c r="D124" s="509" t="s">
        <v>1721</v>
      </c>
      <c r="E124" s="509" t="s">
        <v>1722</v>
      </c>
      <c r="F124" s="509" t="s">
        <v>1723</v>
      </c>
      <c r="G124" s="509" t="s">
        <v>1724</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0EDF-B024-4BB1-A36C-06E1A5DE61FD}">
  <sheetPr>
    <tabColor rgb="FF7030A0"/>
  </sheetPr>
  <dimension ref="A1:J27"/>
  <sheetViews>
    <sheetView workbookViewId="0">
      <selection activeCell="B22" sqref="B22"/>
    </sheetView>
  </sheetViews>
  <sheetFormatPr defaultRowHeight="14"/>
  <cols>
    <col min="1" max="1" width="24.7265625" customWidth="1"/>
    <col min="2" max="2" width="28.26953125" customWidth="1"/>
    <col min="3" max="3" width="11.7265625" customWidth="1"/>
    <col min="4" max="4" width="16.7265625" customWidth="1"/>
    <col min="5" max="5" width="15.90625" customWidth="1"/>
    <col min="7" max="7" width="13.36328125" customWidth="1"/>
  </cols>
  <sheetData>
    <row r="1" spans="1:9">
      <c r="B1" s="3169"/>
      <c r="C1" s="3170" t="s">
        <v>3431</v>
      </c>
      <c r="D1" s="3170" t="s">
        <v>3432</v>
      </c>
      <c r="E1" s="3170" t="s">
        <v>3433</v>
      </c>
    </row>
    <row r="2" spans="1:9">
      <c r="B2" s="3170" t="s">
        <v>3434</v>
      </c>
      <c r="C2" s="3169">
        <v>5851.68</v>
      </c>
      <c r="D2" s="3169">
        <v>2256.4</v>
      </c>
      <c r="E2" s="3169">
        <v>1192.02</v>
      </c>
    </row>
    <row r="3" spans="1:9">
      <c r="B3" s="1405"/>
    </row>
    <row r="4" spans="1:9">
      <c r="A4" s="3172" t="s">
        <v>3443</v>
      </c>
      <c r="B4" s="3172" t="s">
        <v>3447</v>
      </c>
      <c r="C4" s="3172" t="s">
        <v>3448</v>
      </c>
      <c r="D4" s="3172" t="s">
        <v>3449</v>
      </c>
      <c r="E4" s="3172" t="s">
        <v>3450</v>
      </c>
    </row>
    <row r="5" spans="1:9" ht="28">
      <c r="A5" s="3173" t="s">
        <v>3444</v>
      </c>
      <c r="B5" s="3172" t="s">
        <v>3445</v>
      </c>
      <c r="C5" s="3172" t="s">
        <v>3446</v>
      </c>
      <c r="D5" s="3174">
        <v>56324</v>
      </c>
      <c r="E5" s="3175">
        <v>5851.68</v>
      </c>
    </row>
    <row r="7" spans="1:9">
      <c r="A7" s="3170" t="s">
        <v>3442</v>
      </c>
      <c r="B7" s="3169"/>
      <c r="C7" s="3170" t="s">
        <v>3424</v>
      </c>
      <c r="D7" s="3170" t="s">
        <v>3425</v>
      </c>
      <c r="E7" s="3170" t="s">
        <v>3426</v>
      </c>
      <c r="F7" s="3170" t="s">
        <v>3427</v>
      </c>
      <c r="G7" s="3170" t="s">
        <v>3428</v>
      </c>
      <c r="H7" s="3181" t="s">
        <v>3467</v>
      </c>
    </row>
    <row r="8" spans="1:9" ht="28">
      <c r="A8" s="3171" t="s">
        <v>3423</v>
      </c>
      <c r="B8" s="3171" t="s">
        <v>3422</v>
      </c>
      <c r="C8" s="3169">
        <v>1</v>
      </c>
      <c r="D8" s="3170" t="s">
        <v>3429</v>
      </c>
      <c r="E8" s="3169">
        <v>5</v>
      </c>
      <c r="F8" s="3169">
        <v>1720.4</v>
      </c>
      <c r="G8" s="3169">
        <v>662.02</v>
      </c>
      <c r="H8" s="3182">
        <v>3500</v>
      </c>
      <c r="I8">
        <f>H8*F8</f>
        <v>6021400</v>
      </c>
    </row>
    <row r="9" spans="1:9">
      <c r="A9" s="3169"/>
      <c r="B9" s="3169"/>
      <c r="C9" s="3169">
        <v>2</v>
      </c>
      <c r="D9" s="3170" t="s">
        <v>3430</v>
      </c>
      <c r="E9" s="3169">
        <v>1</v>
      </c>
      <c r="F9" s="3169">
        <v>146.1</v>
      </c>
      <c r="G9" s="3169">
        <v>140.1</v>
      </c>
      <c r="H9" s="3182">
        <v>2000</v>
      </c>
      <c r="I9">
        <f t="shared" ref="I9:I10" si="0">H9*F9</f>
        <v>292200</v>
      </c>
    </row>
    <row r="10" spans="1:9">
      <c r="A10" s="3169"/>
      <c r="B10" s="3169"/>
      <c r="C10" s="3169">
        <v>3</v>
      </c>
      <c r="D10" s="3170" t="s">
        <v>3430</v>
      </c>
      <c r="E10" s="3169">
        <v>1</v>
      </c>
      <c r="F10" s="3169">
        <v>389.9</v>
      </c>
      <c r="G10" s="3169">
        <v>389.9</v>
      </c>
      <c r="H10" s="3182">
        <v>2000</v>
      </c>
      <c r="I10">
        <f t="shared" si="0"/>
        <v>779800</v>
      </c>
    </row>
    <row r="11" spans="1:9">
      <c r="E11" s="1405" t="s">
        <v>2591</v>
      </c>
      <c r="F11">
        <f>SUM(F8:F10)</f>
        <v>2256.4</v>
      </c>
      <c r="I11">
        <f>SUM(I8:I10)</f>
        <v>7093400</v>
      </c>
    </row>
    <row r="12" spans="1:9">
      <c r="E12" s="1405"/>
      <c r="I12">
        <f>ROUND(I11/F11,0)</f>
        <v>3144</v>
      </c>
    </row>
    <row r="13" spans="1:9">
      <c r="E13" s="1405"/>
    </row>
    <row r="14" spans="1:9">
      <c r="E14" s="1405"/>
    </row>
    <row r="15" spans="1:9">
      <c r="E15" s="1405"/>
    </row>
    <row r="18" spans="1:10">
      <c r="B18" s="3169"/>
      <c r="C18" s="3170" t="s">
        <v>3431</v>
      </c>
      <c r="D18" s="3170" t="s">
        <v>3432</v>
      </c>
      <c r="E18" s="3170" t="s">
        <v>3433</v>
      </c>
    </row>
    <row r="19" spans="1:10">
      <c r="B19" s="3170" t="s">
        <v>3441</v>
      </c>
      <c r="C19" s="3169"/>
      <c r="D19" s="3169">
        <v>3138.68</v>
      </c>
      <c r="E19" s="3169">
        <v>1102.1099999999999</v>
      </c>
    </row>
    <row r="20" spans="1:10">
      <c r="B20" s="1405"/>
    </row>
    <row r="21" spans="1:10">
      <c r="A21" s="3172" t="s">
        <v>3443</v>
      </c>
      <c r="B21" s="3172" t="s">
        <v>3447</v>
      </c>
      <c r="C21" s="3172" t="s">
        <v>3448</v>
      </c>
      <c r="D21" s="3172" t="s">
        <v>3449</v>
      </c>
      <c r="E21" s="3172" t="s">
        <v>3450</v>
      </c>
      <c r="G21" s="3176" t="s">
        <v>3456</v>
      </c>
    </row>
    <row r="22" spans="1:10" ht="28">
      <c r="A22" s="3173" t="s">
        <v>3451</v>
      </c>
      <c r="B22" s="3172" t="s">
        <v>3452</v>
      </c>
      <c r="C22" s="3172" t="s">
        <v>2811</v>
      </c>
      <c r="D22" s="3174">
        <v>56025</v>
      </c>
      <c r="E22" s="3175">
        <v>4203.0600000000004</v>
      </c>
      <c r="G22" s="1405" t="s">
        <v>3457</v>
      </c>
      <c r="I22" s="3186" t="s">
        <v>3458</v>
      </c>
      <c r="J22" s="3156">
        <f>ROUND(2050000/365/F27,2)</f>
        <v>1.79</v>
      </c>
    </row>
    <row r="24" spans="1:10">
      <c r="A24" s="3169"/>
      <c r="B24" s="3169"/>
      <c r="C24" s="3170" t="s">
        <v>3424</v>
      </c>
      <c r="D24" s="3170" t="s">
        <v>3425</v>
      </c>
      <c r="E24" s="3170" t="s">
        <v>3426</v>
      </c>
      <c r="F24" s="3170" t="s">
        <v>3427</v>
      </c>
      <c r="G24" s="3170" t="s">
        <v>3428</v>
      </c>
      <c r="H24" s="3170" t="s">
        <v>3439</v>
      </c>
    </row>
    <row r="25" spans="1:10" ht="28">
      <c r="A25" s="3171" t="s">
        <v>3435</v>
      </c>
      <c r="B25" s="3171" t="s">
        <v>3436</v>
      </c>
      <c r="C25" s="3170" t="s">
        <v>3437</v>
      </c>
      <c r="D25" s="3170" t="s">
        <v>3429</v>
      </c>
      <c r="E25" s="3170">
        <v>5</v>
      </c>
      <c r="F25" s="3170">
        <v>2853.35</v>
      </c>
      <c r="G25" s="3170">
        <v>816.78</v>
      </c>
      <c r="H25" s="3170" t="s">
        <v>3440</v>
      </c>
    </row>
    <row r="26" spans="1:10">
      <c r="A26" s="3169"/>
      <c r="B26" s="3169"/>
      <c r="C26" s="3170" t="s">
        <v>3438</v>
      </c>
      <c r="D26" s="3170" t="s">
        <v>3430</v>
      </c>
      <c r="E26" s="3170">
        <v>1</v>
      </c>
      <c r="F26" s="3170">
        <v>285.33</v>
      </c>
      <c r="G26" s="3170">
        <v>285.33</v>
      </c>
      <c r="H26" s="3170" t="s">
        <v>3440</v>
      </c>
    </row>
    <row r="27" spans="1:10">
      <c r="E27" s="1405" t="s">
        <v>2591</v>
      </c>
      <c r="F27">
        <f>SUM(F25:F26)</f>
        <v>3138.68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897</v>
      </c>
    </row>
    <row r="3" spans="1:1" ht="18">
      <c r="A3" s="1381" t="str">
        <f>项目基本情况!B5&amp;"："</f>
        <v>：</v>
      </c>
    </row>
    <row r="4" spans="1:1" ht="35">
      <c r="A4" s="1382" t="str">
        <f>"受贵公司委托，我公司对"&amp;项目基本情况!S1&amp;"进行了预评估。"</f>
        <v>受贵公司委托，我公司对北京市密云县新南路甲52号院1号楼等3幢房地产抵押价值进行了预评估。</v>
      </c>
    </row>
    <row r="5" spans="1:1" ht="18">
      <c r="A5" s="1383" t="s">
        <v>898</v>
      </c>
    </row>
    <row r="6" spans="1:1" ht="17.5">
      <c r="A6" s="1384" t="s">
        <v>899</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甲52号院1号楼等3幢房地产，为北京兴旺林贸易有限公司所有。根据《国有土地使用证》[]，估价对象（分摊）出让国有建设用地使用权面积为5851.68平方米，建筑面积为2256.4平方米。</v>
      </c>
    </row>
    <row r="8" spans="1:1" ht="53.5">
      <c r="A8" s="1385" t="s">
        <v>900</v>
      </c>
    </row>
    <row r="9" spans="1:1" ht="17.5">
      <c r="A9" s="1384" t="s">
        <v>901</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甲52号院1号楼等3幢房地产,属北京兴旺林贸易有限公司开发建设的，该项目尚在开发建设中。根据《国有土地使用证》[]，估价对象（分摊）出让国有建设用地使用权面积为5851.68平方米，规划建筑面积为2256.4平方米。</v>
      </c>
    </row>
    <row r="11" spans="1:1" ht="71">
      <c r="A11" s="1385" t="s">
        <v>902</v>
      </c>
    </row>
    <row r="12" spans="1:1" ht="18">
      <c r="A12" s="1383" t="s">
        <v>903</v>
      </c>
    </row>
    <row r="13" spans="1:1" ht="38.25" customHeight="1">
      <c r="A13" s="1382" t="str">
        <f>IF(项目基本情况!B8="抵押",IF(项目基本情况!B5=项目基本情况!B6,定义!C51,定义!B51),定义!D51)</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row>
    <row r="14" spans="1:1" ht="18">
      <c r="A14" s="1381" t="s">
        <v>904</v>
      </c>
    </row>
    <row r="15" spans="1:1" ht="17.5">
      <c r="A15" s="1386" t="str">
        <f>TEXT(项目基本情况!D3,"yyyy年m月d日;;")&amp;IF(项目基本情况!D3=项目基本情况!B3,"（评估专业人员实地查勘之日）","")</f>
        <v>2025年9月24日</v>
      </c>
    </row>
    <row r="16" spans="1:1" ht="18">
      <c r="A16" s="1381" t="s">
        <v>905</v>
      </c>
    </row>
    <row r="17" spans="1:1" ht="70">
      <c r="A17" s="1382" t="s">
        <v>906</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895</v>
      </c>
    </row>
    <row r="24" spans="1:1" ht="17.5">
      <c r="A24" s="1387" t="str">
        <f>"本次评估采用的主估价方法为"&amp;结果表!K4&amp;"和"&amp;结果表!L4&amp;"。"</f>
        <v>本次评估采用的主估价方法为成本法和收益法。</v>
      </c>
    </row>
    <row r="25" spans="1:1" ht="17.5">
      <c r="A25" s="1387"/>
    </row>
    <row r="26" spans="1:1" ht="1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A4D39-B8C2-4251-9AF3-E0FCBC19659C}">
  <sheetPr>
    <tabColor rgb="FF7030A0"/>
  </sheetPr>
  <dimension ref="A1"/>
  <sheetViews>
    <sheetView workbookViewId="0">
      <selection activeCell="R46" sqref="R46"/>
    </sheetView>
  </sheetViews>
  <sheetFormatPr defaultRowHeight="1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1809</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2256.4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1768</v>
      </c>
      <c r="B4" s="346"/>
      <c r="C4" s="3436" t="s">
        <v>1769</v>
      </c>
      <c r="D4" s="3437"/>
      <c r="E4" s="3438" t="s">
        <v>1770</v>
      </c>
      <c r="F4" s="3439"/>
      <c r="G4" s="3436" t="s">
        <v>1771</v>
      </c>
      <c r="H4" s="3437"/>
      <c r="I4" s="3436" t="s">
        <v>1772</v>
      </c>
      <c r="J4" s="3437"/>
      <c r="K4" s="537" t="s">
        <v>1773</v>
      </c>
      <c r="L4" s="2484"/>
      <c r="M4" s="2485"/>
      <c r="N4" s="2485"/>
      <c r="O4" s="2485"/>
      <c r="P4" s="3469" t="s">
        <v>1774</v>
      </c>
      <c r="Q4" s="3470"/>
      <c r="R4" s="3473" t="s">
        <v>1770</v>
      </c>
      <c r="S4" s="3474"/>
      <c r="T4" s="3473" t="s">
        <v>1771</v>
      </c>
      <c r="U4" s="3474"/>
      <c r="V4" s="3475" t="s">
        <v>1772</v>
      </c>
      <c r="W4" s="3475"/>
      <c r="X4" s="1809"/>
      <c r="Y4" s="3473" t="s">
        <v>1774</v>
      </c>
      <c r="Z4" s="3474"/>
      <c r="AA4" s="3477" t="s">
        <v>1770</v>
      </c>
      <c r="AB4" s="3477" t="s">
        <v>1771</v>
      </c>
      <c r="AC4" s="3466" t="s">
        <v>1772</v>
      </c>
    </row>
    <row r="5" spans="1:29">
      <c r="A5" s="348"/>
      <c r="B5" s="349"/>
      <c r="C5" s="3454" t="s">
        <v>1672</v>
      </c>
      <c r="D5" s="3455"/>
      <c r="E5" s="3461" t="s">
        <v>1673</v>
      </c>
      <c r="F5" s="3462"/>
      <c r="G5" s="3454" t="s">
        <v>1674</v>
      </c>
      <c r="H5" s="3455"/>
      <c r="I5" s="3454" t="s">
        <v>1675</v>
      </c>
      <c r="J5" s="3455"/>
      <c r="K5" s="537"/>
      <c r="L5" s="2484"/>
      <c r="M5" s="2485"/>
      <c r="N5" s="2485"/>
      <c r="O5" s="2485"/>
      <c r="P5" s="3471"/>
      <c r="Q5" s="3443"/>
      <c r="R5" s="3448"/>
      <c r="S5" s="3449"/>
      <c r="T5" s="3448"/>
      <c r="U5" s="3449"/>
      <c r="V5" s="3422"/>
      <c r="W5" s="3422"/>
      <c r="X5" s="1265"/>
      <c r="Y5" s="3448"/>
      <c r="Z5" s="3449"/>
      <c r="AA5" s="3434"/>
      <c r="AB5" s="3434"/>
      <c r="AC5" s="3467"/>
    </row>
    <row r="6" spans="1:29" ht="15" thickBot="1">
      <c r="A6" s="350"/>
      <c r="B6" s="351"/>
      <c r="C6" s="3452" t="s">
        <v>1676</v>
      </c>
      <c r="D6" s="3453"/>
      <c r="E6" s="3459" t="s">
        <v>1676</v>
      </c>
      <c r="F6" s="3460"/>
      <c r="G6" s="3452" t="s">
        <v>1676</v>
      </c>
      <c r="H6" s="3453"/>
      <c r="I6" s="3452" t="s">
        <v>1676</v>
      </c>
      <c r="J6" s="3453"/>
      <c r="K6" s="537" t="s">
        <v>1677</v>
      </c>
      <c r="L6" s="2484"/>
      <c r="M6" s="2485"/>
      <c r="N6" s="2485"/>
      <c r="O6" s="2485"/>
      <c r="P6" s="3472"/>
      <c r="Q6" s="3445"/>
      <c r="R6" s="3448"/>
      <c r="S6" s="3449"/>
      <c r="T6" s="3450"/>
      <c r="U6" s="3451"/>
      <c r="V6" s="3422"/>
      <c r="W6" s="3422"/>
      <c r="X6" s="1265"/>
      <c r="Y6" s="3450"/>
      <c r="Z6" s="3451"/>
      <c r="AA6" s="3435"/>
      <c r="AB6" s="3435"/>
      <c r="AC6" s="3468"/>
    </row>
    <row r="7" spans="1:29" s="102" customFormat="1" ht="14.5" thickBot="1">
      <c r="A7" s="352" t="s">
        <v>1678</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6" t="s">
        <v>1679</v>
      </c>
      <c r="Q7" s="3458"/>
      <c r="R7" s="664" t="s">
        <v>14</v>
      </c>
      <c r="S7" s="665">
        <f t="shared" ref="S7:S15" si="0">F7</f>
        <v>0</v>
      </c>
      <c r="T7" s="664" t="s">
        <v>14</v>
      </c>
      <c r="U7" s="665">
        <f t="shared" ref="U7:U15" si="1">H7</f>
        <v>0</v>
      </c>
      <c r="V7" s="664" t="s">
        <v>14</v>
      </c>
      <c r="W7" s="665">
        <f t="shared" ref="W7:W15" si="2">J7</f>
        <v>0</v>
      </c>
      <c r="X7" s="666"/>
      <c r="Y7" s="3456" t="s">
        <v>1679</v>
      </c>
      <c r="Z7" s="3457"/>
      <c r="AA7" s="50" t="e">
        <f>D7/F7</f>
        <v>#DIV/0!</v>
      </c>
      <c r="AB7" s="50" t="e">
        <f>D7/H7</f>
        <v>#DIV/0!</v>
      </c>
      <c r="AC7" s="802" t="e">
        <f>D7/J7</f>
        <v>#DIV/0!</v>
      </c>
    </row>
    <row r="8" spans="1:29" s="102" customFormat="1" ht="14.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6" t="s">
        <v>1682</v>
      </c>
      <c r="Q8" s="3457"/>
      <c r="R8" s="664" t="s">
        <v>14</v>
      </c>
      <c r="S8" s="665">
        <f t="shared" si="0"/>
        <v>100</v>
      </c>
      <c r="T8" s="664" t="s">
        <v>14</v>
      </c>
      <c r="U8" s="665">
        <f t="shared" si="1"/>
        <v>100</v>
      </c>
      <c r="V8" s="664" t="s">
        <v>14</v>
      </c>
      <c r="W8" s="665">
        <f t="shared" si="2"/>
        <v>100</v>
      </c>
      <c r="X8" s="666"/>
      <c r="Y8" s="3456" t="s">
        <v>1682</v>
      </c>
      <c r="Z8" s="3457"/>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2"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802">
        <f t="shared" si="5"/>
        <v>1</v>
      </c>
    </row>
    <row r="10" spans="1:29" s="366" customFormat="1" ht="28">
      <c r="A10" s="363"/>
      <c r="B10" s="364" t="s">
        <v>1687</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0">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0" t="s">
        <v>1690</v>
      </c>
      <c r="Q15" s="1263" t="str">
        <f t="shared" si="6"/>
        <v>办公集聚程度</v>
      </c>
      <c r="R15" s="667" t="s">
        <v>14</v>
      </c>
      <c r="S15" s="668">
        <f t="shared" si="0"/>
        <v>100</v>
      </c>
      <c r="T15" s="667" t="s">
        <v>14</v>
      </c>
      <c r="U15" s="668">
        <f t="shared" si="1"/>
        <v>100</v>
      </c>
      <c r="V15" s="667" t="s">
        <v>14</v>
      </c>
      <c r="W15" s="668">
        <f t="shared" si="2"/>
        <v>100</v>
      </c>
      <c r="X15" s="1265"/>
      <c r="Y15" s="3423" t="s">
        <v>1690</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431"/>
      <c r="Q16" s="1263"/>
      <c r="R16" s="667"/>
      <c r="S16" s="668"/>
      <c r="T16" s="667"/>
      <c r="U16" s="668"/>
      <c r="V16" s="667"/>
      <c r="W16" s="668"/>
      <c r="X16" s="1265"/>
      <c r="Y16" s="3424"/>
      <c r="Z16" s="1264"/>
      <c r="AA16" s="1264">
        <v>1</v>
      </c>
      <c r="AB16" s="1264">
        <v>1</v>
      </c>
      <c r="AC16" s="1812">
        <v>1</v>
      </c>
    </row>
    <row r="17" spans="1:29" ht="84">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431"/>
      <c r="Q18" s="1263"/>
      <c r="R18" s="667"/>
      <c r="S18" s="668"/>
      <c r="T18" s="667"/>
      <c r="U18" s="668"/>
      <c r="V18" s="667"/>
      <c r="W18" s="668"/>
      <c r="X18" s="1265"/>
      <c r="Y18" s="3424"/>
      <c r="Z18" s="1264"/>
      <c r="AA18" s="1264">
        <v>1</v>
      </c>
      <c r="AB18" s="1264">
        <v>1</v>
      </c>
      <c r="AC18" s="1812">
        <v>1</v>
      </c>
    </row>
    <row r="19" spans="1:29" ht="42">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431"/>
      <c r="Q20" s="1263"/>
      <c r="R20" s="667"/>
      <c r="S20" s="668"/>
      <c r="T20" s="667"/>
      <c r="U20" s="668"/>
      <c r="V20" s="667"/>
      <c r="W20" s="668"/>
      <c r="X20" s="1265"/>
      <c r="Y20" s="3424"/>
      <c r="Z20" s="1264"/>
      <c r="AA20" s="1264">
        <v>1</v>
      </c>
      <c r="AB20" s="1264">
        <v>1</v>
      </c>
      <c r="AC20" s="1812">
        <v>1</v>
      </c>
    </row>
    <row r="21" spans="1:29" ht="28">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431"/>
      <c r="Q22" s="1263"/>
      <c r="R22" s="667"/>
      <c r="S22" s="668"/>
      <c r="T22" s="667"/>
      <c r="U22" s="668"/>
      <c r="V22" s="667"/>
      <c r="W22" s="668"/>
      <c r="X22" s="1265"/>
      <c r="Y22" s="3424"/>
      <c r="Z22" s="1264"/>
      <c r="AA22" s="1264">
        <v>1</v>
      </c>
      <c r="AB22" s="1264">
        <v>1</v>
      </c>
      <c r="AC22" s="1812">
        <v>1</v>
      </c>
    </row>
    <row r="23" spans="1:29" ht="56">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1"/>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431"/>
      <c r="Q24" s="1263"/>
      <c r="R24" s="667"/>
      <c r="S24" s="668"/>
      <c r="T24" s="667"/>
      <c r="U24" s="668"/>
      <c r="V24" s="667"/>
      <c r="W24" s="668"/>
      <c r="X24" s="1265"/>
      <c r="Y24" s="3424"/>
      <c r="Z24" s="1264"/>
      <c r="AA24" s="1264">
        <v>1</v>
      </c>
      <c r="AB24" s="1264">
        <v>1</v>
      </c>
      <c r="AC24" s="1812">
        <v>1</v>
      </c>
    </row>
    <row r="25" spans="1:29" ht="2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1"/>
      <c r="Q25" s="1263" t="str">
        <f>B25</f>
        <v>毗邻道路的类型与等级</v>
      </c>
      <c r="R25" s="667" t="s">
        <v>14</v>
      </c>
      <c r="S25" s="668">
        <f>F25</f>
        <v>100</v>
      </c>
      <c r="T25" s="667" t="s">
        <v>14</v>
      </c>
      <c r="U25" s="668">
        <f>H25</f>
        <v>100</v>
      </c>
      <c r="V25" s="667" t="s">
        <v>14</v>
      </c>
      <c r="W25" s="668">
        <f>J25</f>
        <v>100</v>
      </c>
      <c r="X25" s="1265"/>
      <c r="Y25" s="342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431"/>
      <c r="Q26" s="1263"/>
      <c r="R26" s="667"/>
      <c r="S26" s="668"/>
      <c r="T26" s="667"/>
      <c r="U26" s="668"/>
      <c r="V26" s="667"/>
      <c r="W26" s="668"/>
      <c r="X26" s="1265"/>
      <c r="Y26" s="3424"/>
      <c r="Z26" s="1264"/>
      <c r="AA26" s="1264">
        <v>1</v>
      </c>
      <c r="AB26" s="1264">
        <v>1</v>
      </c>
      <c r="AC26" s="1812">
        <v>1</v>
      </c>
    </row>
    <row r="27" spans="1:29" ht="15.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1"/>
      <c r="Q27" s="1263" t="str">
        <f t="shared" ref="Q27:Q47" si="11">B27</f>
        <v>楼层</v>
      </c>
      <c r="R27" s="667" t="s">
        <v>14</v>
      </c>
      <c r="S27" s="668">
        <f>F27</f>
        <v>100</v>
      </c>
      <c r="T27" s="667" t="s">
        <v>14</v>
      </c>
      <c r="U27" s="668">
        <f>H27</f>
        <v>100</v>
      </c>
      <c r="V27" s="667" t="s">
        <v>14</v>
      </c>
      <c r="W27" s="668">
        <f>J27</f>
        <v>100</v>
      </c>
      <c r="X27" s="1265"/>
      <c r="Y27" s="3424"/>
      <c r="Z27" s="1264" t="str">
        <f>Q27</f>
        <v>楼层</v>
      </c>
      <c r="AA27" s="1264">
        <f t="shared" si="3"/>
        <v>1</v>
      </c>
      <c r="AB27" s="1264">
        <f t="shared" si="4"/>
        <v>1</v>
      </c>
      <c r="AC27" s="1812">
        <f t="shared" si="5"/>
        <v>1</v>
      </c>
    </row>
    <row r="28" spans="1:29" s="102" customFormat="1" ht="15.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1"/>
      <c r="Q28" s="530" t="str">
        <f t="shared" si="11"/>
        <v>朝向</v>
      </c>
      <c r="R28" s="664" t="s">
        <v>14</v>
      </c>
      <c r="S28" s="665">
        <f>F28</f>
        <v>100</v>
      </c>
      <c r="T28" s="664" t="s">
        <v>14</v>
      </c>
      <c r="U28" s="665">
        <f>H28</f>
        <v>100</v>
      </c>
      <c r="V28" s="664" t="s">
        <v>14</v>
      </c>
      <c r="W28" s="665">
        <f>J28</f>
        <v>100</v>
      </c>
      <c r="X28" s="666"/>
      <c r="Y28" s="342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1"/>
      <c r="Q29" s="1263">
        <f t="shared" si="11"/>
        <v>111</v>
      </c>
      <c r="R29" s="667" t="s">
        <v>14</v>
      </c>
      <c r="S29" s="668">
        <f t="shared" ref="S29:S47" si="12">F29</f>
        <v>100</v>
      </c>
      <c r="T29" s="667" t="s">
        <v>14</v>
      </c>
      <c r="U29" s="668">
        <f t="shared" ref="U29:U47" si="13">H29</f>
        <v>100</v>
      </c>
      <c r="V29" s="667" t="s">
        <v>14</v>
      </c>
      <c r="W29" s="668">
        <f t="shared" ref="W29:W47" si="14">J29</f>
        <v>100</v>
      </c>
      <c r="X29" s="1265"/>
      <c r="Y29" s="342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1"/>
      <c r="Q32" s="1263">
        <f t="shared" si="11"/>
        <v>111</v>
      </c>
      <c r="R32" s="667" t="s">
        <v>14</v>
      </c>
      <c r="S32" s="668">
        <f t="shared" si="12"/>
        <v>100</v>
      </c>
      <c r="T32" s="667" t="s">
        <v>14</v>
      </c>
      <c r="U32" s="668">
        <f t="shared" si="13"/>
        <v>100</v>
      </c>
      <c r="V32" s="667" t="s">
        <v>14</v>
      </c>
      <c r="W32" s="668">
        <f t="shared" si="14"/>
        <v>100</v>
      </c>
      <c r="X32" s="1265"/>
      <c r="Y32" s="3424"/>
      <c r="Z32" s="1264">
        <f t="shared" si="15"/>
        <v>111</v>
      </c>
      <c r="AA32" s="1264">
        <f t="shared" si="3"/>
        <v>1</v>
      </c>
      <c r="AB32" s="1264">
        <f t="shared" si="4"/>
        <v>1</v>
      </c>
      <c r="AC32" s="1812">
        <f t="shared" si="5"/>
        <v>1</v>
      </c>
    </row>
    <row r="33" spans="1:29" ht="15.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5" t="s">
        <v>1695</v>
      </c>
      <c r="Q33" s="1263" t="str">
        <f t="shared" si="11"/>
        <v>建筑类型</v>
      </c>
      <c r="R33" s="667" t="s">
        <v>14</v>
      </c>
      <c r="S33" s="668">
        <f t="shared" si="12"/>
        <v>100</v>
      </c>
      <c r="T33" s="667" t="s">
        <v>14</v>
      </c>
      <c r="U33" s="668">
        <f t="shared" si="13"/>
        <v>100</v>
      </c>
      <c r="V33" s="667" t="s">
        <v>14</v>
      </c>
      <c r="W33" s="668">
        <f t="shared" si="14"/>
        <v>100</v>
      </c>
      <c r="X33" s="1265"/>
      <c r="Y33" s="3428" t="s">
        <v>1695</v>
      </c>
      <c r="Z33" s="1264" t="str">
        <f t="shared" si="15"/>
        <v>建筑类型</v>
      </c>
      <c r="AA33" s="1264">
        <f t="shared" si="3"/>
        <v>1</v>
      </c>
      <c r="AB33" s="1264">
        <f t="shared" si="4"/>
        <v>1</v>
      </c>
      <c r="AC33" s="1812">
        <f t="shared" si="5"/>
        <v>1</v>
      </c>
    </row>
    <row r="34" spans="1:29" s="408" customFormat="1" ht="15.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6"/>
      <c r="Q34" s="531" t="str">
        <f t="shared" si="11"/>
        <v>项目建筑规模</v>
      </c>
      <c r="R34" s="669" t="s">
        <v>14</v>
      </c>
      <c r="S34" s="670" t="e">
        <f t="shared" si="12"/>
        <v>#N/A</v>
      </c>
      <c r="T34" s="669" t="s">
        <v>14</v>
      </c>
      <c r="U34" s="670" t="e">
        <f t="shared" si="13"/>
        <v>#N/A</v>
      </c>
      <c r="V34" s="669" t="s">
        <v>14</v>
      </c>
      <c r="W34" s="670" t="e">
        <f t="shared" si="14"/>
        <v>#N/A</v>
      </c>
      <c r="X34" s="671"/>
      <c r="Y34" s="3428"/>
      <c r="Z34" s="672" t="str">
        <f t="shared" si="15"/>
        <v>项目建筑规模</v>
      </c>
      <c r="AA34" s="1264" t="e">
        <f t="shared" si="3"/>
        <v>#N/A</v>
      </c>
      <c r="AB34" s="1264" t="e">
        <f t="shared" si="4"/>
        <v>#N/A</v>
      </c>
      <c r="AC34" s="1812" t="e">
        <f t="shared" si="5"/>
        <v>#N/A</v>
      </c>
    </row>
    <row r="35" spans="1:29" ht="15.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6"/>
      <c r="Q35" s="1263" t="str">
        <f t="shared" si="11"/>
        <v>建筑结构</v>
      </c>
      <c r="R35" s="667" t="s">
        <v>14</v>
      </c>
      <c r="S35" s="668">
        <f t="shared" si="12"/>
        <v>100</v>
      </c>
      <c r="T35" s="667" t="s">
        <v>14</v>
      </c>
      <c r="U35" s="668">
        <f t="shared" si="13"/>
        <v>100</v>
      </c>
      <c r="V35" s="667" t="s">
        <v>14</v>
      </c>
      <c r="W35" s="668">
        <f t="shared" si="14"/>
        <v>100</v>
      </c>
      <c r="X35" s="1265"/>
      <c r="Y35" s="3428"/>
      <c r="Z35" s="1264" t="str">
        <f t="shared" si="15"/>
        <v>建筑结构</v>
      </c>
      <c r="AA35" s="1264">
        <f t="shared" si="3"/>
        <v>1</v>
      </c>
      <c r="AB35" s="1264">
        <f t="shared" si="4"/>
        <v>1</v>
      </c>
      <c r="AC35" s="1812">
        <f t="shared" si="5"/>
        <v>1</v>
      </c>
    </row>
    <row r="36" spans="1:29" ht="15.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6"/>
      <c r="Q36" s="1263" t="str">
        <f t="shared" si="11"/>
        <v>公共部分装修</v>
      </c>
      <c r="R36" s="667" t="s">
        <v>14</v>
      </c>
      <c r="S36" s="668">
        <f t="shared" si="12"/>
        <v>100</v>
      </c>
      <c r="T36" s="667" t="s">
        <v>14</v>
      </c>
      <c r="U36" s="668">
        <f t="shared" si="13"/>
        <v>100</v>
      </c>
      <c r="V36" s="667" t="s">
        <v>14</v>
      </c>
      <c r="W36" s="668">
        <f t="shared" si="14"/>
        <v>100</v>
      </c>
      <c r="X36" s="1265"/>
      <c r="Y36" s="3428"/>
      <c r="Z36" s="1264" t="str">
        <f t="shared" si="15"/>
        <v>公共部分装修</v>
      </c>
      <c r="AA36" s="1264">
        <f t="shared" si="3"/>
        <v>1</v>
      </c>
      <c r="AB36" s="1264">
        <f t="shared" si="4"/>
        <v>1</v>
      </c>
      <c r="AC36" s="1812">
        <f t="shared" si="5"/>
        <v>1</v>
      </c>
    </row>
    <row r="37" spans="1:29" ht="15.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6"/>
      <c r="Q37" s="1263" t="str">
        <f t="shared" si="11"/>
        <v>成新度</v>
      </c>
      <c r="R37" s="667" t="s">
        <v>14</v>
      </c>
      <c r="S37" s="668" t="e">
        <f t="shared" si="12"/>
        <v>#N/A</v>
      </c>
      <c r="T37" s="667" t="s">
        <v>14</v>
      </c>
      <c r="U37" s="668" t="e">
        <f t="shared" si="13"/>
        <v>#N/A</v>
      </c>
      <c r="V37" s="667" t="s">
        <v>14</v>
      </c>
      <c r="W37" s="668" t="e">
        <f t="shared" si="14"/>
        <v>#N/A</v>
      </c>
      <c r="X37" s="1265"/>
      <c r="Y37" s="3428"/>
      <c r="Z37" s="1264" t="str">
        <f t="shared" si="15"/>
        <v>成新度</v>
      </c>
      <c r="AA37" s="1264" t="e">
        <f t="shared" si="3"/>
        <v>#N/A</v>
      </c>
      <c r="AB37" s="1264" t="e">
        <f t="shared" si="4"/>
        <v>#N/A</v>
      </c>
      <c r="AC37" s="1812" t="e">
        <f t="shared" si="5"/>
        <v>#N/A</v>
      </c>
    </row>
    <row r="38" spans="1:29" s="102" customFormat="1" ht="15.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6"/>
      <c r="Q38" s="530" t="str">
        <f t="shared" si="11"/>
        <v>写字楼等级</v>
      </c>
      <c r="R38" s="664" t="s">
        <v>14</v>
      </c>
      <c r="S38" s="665">
        <f t="shared" si="12"/>
        <v>100</v>
      </c>
      <c r="T38" s="664" t="s">
        <v>14</v>
      </c>
      <c r="U38" s="665">
        <f t="shared" si="13"/>
        <v>100</v>
      </c>
      <c r="V38" s="664" t="s">
        <v>14</v>
      </c>
      <c r="W38" s="665">
        <f t="shared" si="14"/>
        <v>100</v>
      </c>
      <c r="X38" s="666"/>
      <c r="Y38" s="3428"/>
      <c r="Z38" s="50" t="str">
        <f t="shared" si="15"/>
        <v>写字楼等级</v>
      </c>
      <c r="AA38" s="50">
        <f t="shared" si="3"/>
        <v>1</v>
      </c>
      <c r="AB38" s="50">
        <f t="shared" si="4"/>
        <v>1</v>
      </c>
      <c r="AC38" s="802">
        <f t="shared" si="5"/>
        <v>1</v>
      </c>
    </row>
    <row r="39" spans="1:29" ht="15.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6" t="s">
        <v>1695</v>
      </c>
      <c r="Q39" s="1263" t="str">
        <f t="shared" si="11"/>
        <v>物业管理</v>
      </c>
      <c r="R39" s="667" t="s">
        <v>14</v>
      </c>
      <c r="S39" s="668">
        <f t="shared" si="12"/>
        <v>100</v>
      </c>
      <c r="T39" s="667" t="s">
        <v>14</v>
      </c>
      <c r="U39" s="668">
        <f t="shared" si="13"/>
        <v>100</v>
      </c>
      <c r="V39" s="667" t="s">
        <v>14</v>
      </c>
      <c r="W39" s="668">
        <f t="shared" si="14"/>
        <v>100</v>
      </c>
      <c r="X39" s="1265"/>
      <c r="Y39" s="3428" t="s">
        <v>1695</v>
      </c>
      <c r="Z39" s="1264" t="str">
        <f t="shared" si="15"/>
        <v>物业管理</v>
      </c>
      <c r="AA39" s="1264">
        <f t="shared" si="3"/>
        <v>1</v>
      </c>
      <c r="AB39" s="1264">
        <f t="shared" si="4"/>
        <v>1</v>
      </c>
      <c r="AC39" s="1812">
        <f t="shared" si="5"/>
        <v>1</v>
      </c>
    </row>
    <row r="40" spans="1:29" ht="15.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6"/>
      <c r="Q40" s="1263" t="str">
        <f t="shared" si="11"/>
        <v>市政基础设施</v>
      </c>
      <c r="R40" s="667" t="s">
        <v>14</v>
      </c>
      <c r="S40" s="668">
        <f t="shared" si="12"/>
        <v>100</v>
      </c>
      <c r="T40" s="667" t="s">
        <v>14</v>
      </c>
      <c r="U40" s="668">
        <f t="shared" si="13"/>
        <v>100</v>
      </c>
      <c r="V40" s="667" t="s">
        <v>14</v>
      </c>
      <c r="W40" s="668">
        <f t="shared" si="14"/>
        <v>100</v>
      </c>
      <c r="X40" s="1265"/>
      <c r="Y40" s="3428"/>
      <c r="Z40" s="1264" t="str">
        <f t="shared" si="15"/>
        <v>市政基础设施</v>
      </c>
      <c r="AA40" s="1264">
        <f t="shared" si="3"/>
        <v>1</v>
      </c>
      <c r="AB40" s="1264">
        <f t="shared" si="4"/>
        <v>1</v>
      </c>
      <c r="AC40" s="1812">
        <f t="shared" si="5"/>
        <v>1</v>
      </c>
    </row>
    <row r="41" spans="1:29" ht="15.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6"/>
      <c r="Q41" s="1263" t="str">
        <f t="shared" si="11"/>
        <v>层高</v>
      </c>
      <c r="R41" s="667" t="s">
        <v>14</v>
      </c>
      <c r="S41" s="668">
        <f t="shared" si="12"/>
        <v>100</v>
      </c>
      <c r="T41" s="667" t="s">
        <v>14</v>
      </c>
      <c r="U41" s="668">
        <f t="shared" si="13"/>
        <v>100</v>
      </c>
      <c r="V41" s="667" t="s">
        <v>14</v>
      </c>
      <c r="W41" s="668">
        <f t="shared" si="14"/>
        <v>100</v>
      </c>
      <c r="X41" s="1265"/>
      <c r="Y41" s="3428"/>
      <c r="Z41" s="1264" t="str">
        <f t="shared" si="15"/>
        <v>层高</v>
      </c>
      <c r="AA41" s="1264">
        <f t="shared" si="3"/>
        <v>1</v>
      </c>
      <c r="AB41" s="1264">
        <f t="shared" si="4"/>
        <v>1</v>
      </c>
      <c r="AC41" s="1812">
        <f t="shared" si="5"/>
        <v>1</v>
      </c>
    </row>
    <row r="42" spans="1:29" s="408" customFormat="1" ht="15.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6"/>
      <c r="Q42" s="531" t="str">
        <f t="shared" si="11"/>
        <v>单套建筑面积</v>
      </c>
      <c r="R42" s="669" t="s">
        <v>14</v>
      </c>
      <c r="S42" s="670">
        <f t="shared" si="12"/>
        <v>100</v>
      </c>
      <c r="T42" s="669" t="s">
        <v>14</v>
      </c>
      <c r="U42" s="670">
        <f t="shared" si="13"/>
        <v>100</v>
      </c>
      <c r="V42" s="669" t="s">
        <v>14</v>
      </c>
      <c r="W42" s="670">
        <f t="shared" si="14"/>
        <v>100</v>
      </c>
      <c r="X42" s="671"/>
      <c r="Y42" s="3428"/>
      <c r="Z42" s="672" t="str">
        <f t="shared" si="15"/>
        <v>单套建筑面积</v>
      </c>
      <c r="AA42" s="1264">
        <f t="shared" si="3"/>
        <v>1</v>
      </c>
      <c r="AB42" s="1264">
        <f t="shared" si="4"/>
        <v>1</v>
      </c>
      <c r="AC42" s="1812">
        <f t="shared" si="5"/>
        <v>1</v>
      </c>
    </row>
    <row r="43" spans="1:29" ht="15.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6"/>
      <c r="Q43" s="1263" t="str">
        <f t="shared" si="11"/>
        <v>内部装修</v>
      </c>
      <c r="R43" s="667" t="s">
        <v>14</v>
      </c>
      <c r="S43" s="668">
        <f t="shared" si="12"/>
        <v>100</v>
      </c>
      <c r="T43" s="667" t="s">
        <v>14</v>
      </c>
      <c r="U43" s="668">
        <f t="shared" si="13"/>
        <v>100</v>
      </c>
      <c r="V43" s="667" t="s">
        <v>14</v>
      </c>
      <c r="W43" s="668">
        <f t="shared" si="14"/>
        <v>100</v>
      </c>
      <c r="X43" s="1265"/>
      <c r="Y43" s="3428"/>
      <c r="Z43" s="1264" t="str">
        <f t="shared" si="15"/>
        <v>内部装修</v>
      </c>
      <c r="AA43" s="1264">
        <f t="shared" si="3"/>
        <v>1</v>
      </c>
      <c r="AB43" s="1264">
        <f t="shared" si="4"/>
        <v>1</v>
      </c>
      <c r="AC43" s="1812">
        <f t="shared" si="5"/>
        <v>1</v>
      </c>
    </row>
    <row r="44" spans="1:29" ht="28">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6"/>
      <c r="Q44" s="1263" t="str">
        <f t="shared" si="11"/>
        <v>内部装修维护情况</v>
      </c>
      <c r="R44" s="667" t="s">
        <v>14</v>
      </c>
      <c r="S44" s="668">
        <f t="shared" si="12"/>
        <v>100</v>
      </c>
      <c r="T44" s="667" t="s">
        <v>14</v>
      </c>
      <c r="U44" s="668">
        <f t="shared" si="13"/>
        <v>100</v>
      </c>
      <c r="V44" s="667" t="s">
        <v>14</v>
      </c>
      <c r="W44" s="668">
        <f t="shared" si="14"/>
        <v>100</v>
      </c>
      <c r="X44" s="1265"/>
      <c r="Y44" s="342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6"/>
      <c r="Q45" s="530">
        <f t="shared" si="11"/>
        <v>111</v>
      </c>
      <c r="R45" s="664" t="s">
        <v>14</v>
      </c>
      <c r="S45" s="665">
        <f t="shared" si="12"/>
        <v>100</v>
      </c>
      <c r="T45" s="664" t="s">
        <v>14</v>
      </c>
      <c r="U45" s="665">
        <f t="shared" si="13"/>
        <v>100</v>
      </c>
      <c r="V45" s="664" t="s">
        <v>14</v>
      </c>
      <c r="W45" s="665">
        <f t="shared" si="14"/>
        <v>100</v>
      </c>
      <c r="X45" s="666"/>
      <c r="Y45" s="342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7"/>
      <c r="Q47" s="1263">
        <f t="shared" si="11"/>
        <v>111</v>
      </c>
      <c r="R47" s="667" t="s">
        <v>14</v>
      </c>
      <c r="S47" s="668">
        <f t="shared" si="12"/>
        <v>100</v>
      </c>
      <c r="T47" s="667" t="s">
        <v>14</v>
      </c>
      <c r="U47" s="668">
        <f t="shared" si="13"/>
        <v>100</v>
      </c>
      <c r="V47" s="667" t="s">
        <v>14</v>
      </c>
      <c r="W47" s="668">
        <f t="shared" si="14"/>
        <v>100</v>
      </c>
      <c r="X47" s="1265"/>
      <c r="Y47" s="3429"/>
      <c r="Z47" s="1264">
        <f t="shared" si="15"/>
        <v>111</v>
      </c>
      <c r="AA47" s="1264">
        <f t="shared" si="3"/>
        <v>1</v>
      </c>
      <c r="AB47" s="1264">
        <f t="shared" si="4"/>
        <v>1</v>
      </c>
      <c r="AC47" s="1812">
        <f t="shared" si="5"/>
        <v>1</v>
      </c>
    </row>
    <row r="48" spans="1:29">
      <c r="A48" s="416" t="s">
        <v>1707</v>
      </c>
      <c r="B48" s="417"/>
      <c r="C48" s="1081" t="s">
        <v>0</v>
      </c>
      <c r="D48" s="418"/>
      <c r="E48" s="419"/>
      <c r="F48" s="420"/>
      <c r="G48" s="421"/>
      <c r="H48" s="422"/>
      <c r="I48" s="419"/>
      <c r="J48" s="422"/>
      <c r="K48" s="674"/>
      <c r="L48" s="2492"/>
      <c r="M48" s="2485"/>
      <c r="N48" s="2485"/>
      <c r="O48" s="2485"/>
      <c r="P48" s="3432" t="str">
        <f>A48</f>
        <v>成交单价（元/平方米）</v>
      </c>
      <c r="Q48" s="3421"/>
      <c r="R48" s="3422">
        <f>E48</f>
        <v>0</v>
      </c>
      <c r="S48" s="3422"/>
      <c r="T48" s="3422">
        <f>G48</f>
        <v>0</v>
      </c>
      <c r="U48" s="3422"/>
      <c r="V48" s="3422">
        <f>I48</f>
        <v>0</v>
      </c>
      <c r="W48" s="3422"/>
      <c r="X48" s="385"/>
      <c r="Y48" s="673"/>
      <c r="Z48" s="385"/>
      <c r="AA48" s="385"/>
      <c r="AB48" s="385"/>
      <c r="AC48" s="555"/>
    </row>
    <row r="49" spans="1:29" ht="14.5" thickBot="1">
      <c r="A49" s="423" t="s">
        <v>1792</v>
      </c>
      <c r="B49" s="424"/>
      <c r="C49" s="1082" t="e">
        <f>R50</f>
        <v>#DIV/0!</v>
      </c>
      <c r="D49" s="2140" t="s">
        <v>2137</v>
      </c>
      <c r="E49" s="1083" t="e">
        <f>R49</f>
        <v>#DIV/0!</v>
      </c>
      <c r="F49" s="2141"/>
      <c r="G49" s="1082" t="e">
        <f>T49</f>
        <v>#DIV/0!</v>
      </c>
      <c r="H49" s="2141"/>
      <c r="I49" s="1083" t="e">
        <f>V49</f>
        <v>#DIV/0!</v>
      </c>
      <c r="J49" s="2141"/>
      <c r="K49" s="2143">
        <f>F49+H49+J49</f>
        <v>0</v>
      </c>
      <c r="L49" s="2492"/>
      <c r="M49" s="2485"/>
      <c r="N49" s="2485"/>
      <c r="O49" s="2485"/>
      <c r="P49" s="3432"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4.5" thickBot="1">
      <c r="A50" s="427" t="s">
        <v>1793</v>
      </c>
      <c r="B50" s="428"/>
      <c r="C50" s="351" t="e">
        <f>R50</f>
        <v>#DIV/0!</v>
      </c>
      <c r="D50" s="351"/>
      <c r="E50" s="351"/>
      <c r="F50" s="351"/>
      <c r="G50" s="351"/>
      <c r="H50" s="351"/>
      <c r="I50" s="351"/>
      <c r="J50" s="429"/>
      <c r="K50" s="675"/>
      <c r="L50" s="2492"/>
      <c r="M50" s="2485"/>
      <c r="N50" s="2485"/>
      <c r="O50" s="2485"/>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1797</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1678</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1715</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1680</v>
      </c>
      <c r="B62" s="444"/>
      <c r="C62" s="456" t="s">
        <v>1775</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1718</v>
      </c>
      <c r="B64" s="460" t="s">
        <v>1684</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1687</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1689</v>
      </c>
      <c r="B77" s="460" t="s">
        <v>1820</v>
      </c>
      <c r="C77" s="504" t="s">
        <v>1720</v>
      </c>
      <c r="D77" s="504" t="s">
        <v>1721</v>
      </c>
      <c r="E77" s="504" t="s">
        <v>1722</v>
      </c>
      <c r="F77" s="504" t="s">
        <v>1723</v>
      </c>
      <c r="G77" s="504" t="s">
        <v>1724</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1725</v>
      </c>
      <c r="C79" s="509" t="s">
        <v>1720</v>
      </c>
      <c r="D79" s="509" t="s">
        <v>1721</v>
      </c>
      <c r="E79" s="509" t="s">
        <v>1722</v>
      </c>
      <c r="F79" s="509" t="s">
        <v>1723</v>
      </c>
      <c r="G79" s="509" t="s">
        <v>1724</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1726</v>
      </c>
      <c r="C81" s="509" t="s">
        <v>1720</v>
      </c>
      <c r="D81" s="509" t="s">
        <v>1721</v>
      </c>
      <c r="E81" s="509" t="s">
        <v>1722</v>
      </c>
      <c r="F81" s="509" t="s">
        <v>1723</v>
      </c>
      <c r="G81" s="509" t="s">
        <v>1724</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1812</v>
      </c>
      <c r="C83" s="581" t="s">
        <v>1798</v>
      </c>
      <c r="D83" s="581" t="s">
        <v>1799</v>
      </c>
      <c r="E83" s="581" t="s">
        <v>1800</v>
      </c>
      <c r="F83" s="581" t="s">
        <v>1801</v>
      </c>
      <c r="G83" s="581" t="s">
        <v>1802</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1821</v>
      </c>
      <c r="C85" s="509" t="s">
        <v>1720</v>
      </c>
      <c r="D85" s="509" t="s">
        <v>1721</v>
      </c>
      <c r="E85" s="509" t="s">
        <v>1722</v>
      </c>
      <c r="F85" s="509" t="s">
        <v>1723</v>
      </c>
      <c r="G85" s="509" t="s">
        <v>1724</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1822</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1693</v>
      </c>
      <c r="B101" s="460" t="s">
        <v>1735</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1737</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1739</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1823</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1740</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1741</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1824</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1807</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1743</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1744</v>
      </c>
      <c r="C125" s="509" t="s">
        <v>1720</v>
      </c>
      <c r="D125" s="509" t="s">
        <v>1721</v>
      </c>
      <c r="E125" s="509" t="s">
        <v>1722</v>
      </c>
      <c r="F125" s="509" t="s">
        <v>1723</v>
      </c>
      <c r="G125" s="509" t="s">
        <v>1724</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1825</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2256.4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1768</v>
      </c>
      <c r="B4" s="346"/>
      <c r="C4" s="3436" t="s">
        <v>1769</v>
      </c>
      <c r="D4" s="3437"/>
      <c r="E4" s="3438" t="s">
        <v>1770</v>
      </c>
      <c r="F4" s="3439"/>
      <c r="G4" s="3436" t="s">
        <v>1771</v>
      </c>
      <c r="H4" s="3437"/>
      <c r="I4" s="3436" t="s">
        <v>1772</v>
      </c>
      <c r="J4" s="3437"/>
      <c r="K4" s="537" t="s">
        <v>1773</v>
      </c>
      <c r="L4" s="860"/>
      <c r="M4" s="861"/>
      <c r="N4" s="861"/>
      <c r="O4" s="861"/>
      <c r="P4" s="3440" t="s">
        <v>1774</v>
      </c>
      <c r="Q4" s="3441"/>
      <c r="R4" s="3446" t="s">
        <v>1770</v>
      </c>
      <c r="S4" s="3447"/>
      <c r="T4" s="3446" t="s">
        <v>1771</v>
      </c>
      <c r="U4" s="3447"/>
      <c r="V4" s="3422" t="s">
        <v>1772</v>
      </c>
      <c r="W4" s="3422"/>
      <c r="X4" s="1265"/>
      <c r="Y4" s="3446" t="s">
        <v>1774</v>
      </c>
      <c r="Z4" s="3447"/>
      <c r="AA4" s="3433" t="s">
        <v>1770</v>
      </c>
      <c r="AB4" s="3434" t="s">
        <v>1771</v>
      </c>
      <c r="AC4" s="3433" t="s">
        <v>1772</v>
      </c>
    </row>
    <row r="5" spans="1:29">
      <c r="A5" s="348"/>
      <c r="B5" s="349"/>
      <c r="C5" s="3454" t="s">
        <v>1672</v>
      </c>
      <c r="D5" s="3455"/>
      <c r="E5" s="3461" t="s">
        <v>1673</v>
      </c>
      <c r="F5" s="3462"/>
      <c r="G5" s="3454" t="s">
        <v>1674</v>
      </c>
      <c r="H5" s="3455"/>
      <c r="I5" s="3454" t="s">
        <v>1675</v>
      </c>
      <c r="J5" s="3455"/>
      <c r="K5" s="537"/>
      <c r="L5" s="860"/>
      <c r="M5" s="861"/>
      <c r="N5" s="861"/>
      <c r="O5" s="861"/>
      <c r="P5" s="3442"/>
      <c r="Q5" s="3443"/>
      <c r="R5" s="3448"/>
      <c r="S5" s="3449"/>
      <c r="T5" s="3448"/>
      <c r="U5" s="3449"/>
      <c r="V5" s="3422"/>
      <c r="W5" s="3422"/>
      <c r="X5" s="1265"/>
      <c r="Y5" s="3448"/>
      <c r="Z5" s="3449"/>
      <c r="AA5" s="3434"/>
      <c r="AB5" s="3434"/>
      <c r="AC5" s="3434"/>
    </row>
    <row r="6" spans="1:29" ht="15" thickBot="1">
      <c r="A6" s="350"/>
      <c r="B6" s="351"/>
      <c r="C6" s="3452" t="s">
        <v>1676</v>
      </c>
      <c r="D6" s="3453"/>
      <c r="E6" s="3459" t="s">
        <v>1676</v>
      </c>
      <c r="F6" s="3460"/>
      <c r="G6" s="3452" t="s">
        <v>1676</v>
      </c>
      <c r="H6" s="3453"/>
      <c r="I6" s="3452" t="s">
        <v>1676</v>
      </c>
      <c r="J6" s="3453"/>
      <c r="K6" s="537" t="s">
        <v>1677</v>
      </c>
      <c r="L6" s="860"/>
      <c r="M6" s="861"/>
      <c r="N6" s="861"/>
      <c r="O6" s="861"/>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SUMIF(52:52,YEAR(E7)&amp;"-"&amp;MONTH(E7),53:53)</f>
        <v>0</v>
      </c>
      <c r="G7" s="356"/>
      <c r="H7" s="355">
        <f>SUMIF(52:52,YEAR(G7)&amp;"-"&amp;MONTH(G7),53:53)</f>
        <v>0</v>
      </c>
      <c r="I7" s="356"/>
      <c r="J7" s="355">
        <f>SUMIF(52:52,YEAR(I7)&amp;"-"&amp;MONTH(I7),53:53)</f>
        <v>0</v>
      </c>
      <c r="K7" s="38"/>
      <c r="L7" s="862"/>
      <c r="M7" s="863"/>
      <c r="N7" s="863"/>
      <c r="O7" s="863"/>
      <c r="P7" s="3456" t="s">
        <v>1679</v>
      </c>
      <c r="Q7" s="3458"/>
      <c r="R7" s="664" t="s">
        <v>14</v>
      </c>
      <c r="S7" s="665">
        <f t="shared" ref="S7:S15" si="0">F7</f>
        <v>0</v>
      </c>
      <c r="T7" s="664" t="s">
        <v>14</v>
      </c>
      <c r="U7" s="665">
        <f t="shared" ref="U7:U15" si="1">H7</f>
        <v>0</v>
      </c>
      <c r="V7" s="664" t="s">
        <v>14</v>
      </c>
      <c r="W7" s="665">
        <f t="shared" ref="W7:W15" si="2">J7</f>
        <v>0</v>
      </c>
      <c r="X7" s="666"/>
      <c r="Y7" s="3456" t="s">
        <v>1679</v>
      </c>
      <c r="Z7" s="3457"/>
      <c r="AA7" s="50" t="e">
        <f>D7/F7</f>
        <v>#DIV/0!</v>
      </c>
      <c r="AB7" s="50" t="e">
        <f>D7/H7</f>
        <v>#DIV/0!</v>
      </c>
      <c r="AC7" s="50" t="e">
        <f>D7/J7</f>
        <v>#DIV/0!</v>
      </c>
    </row>
    <row r="8" spans="1:29" s="102" customFormat="1" ht="14.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6" t="s">
        <v>1682</v>
      </c>
      <c r="Q8" s="3457"/>
      <c r="R8" s="664" t="s">
        <v>14</v>
      </c>
      <c r="S8" s="665">
        <f t="shared" si="0"/>
        <v>100</v>
      </c>
      <c r="T8" s="664" t="s">
        <v>14</v>
      </c>
      <c r="U8" s="665">
        <f t="shared" si="1"/>
        <v>100</v>
      </c>
      <c r="V8" s="664" t="s">
        <v>14</v>
      </c>
      <c r="W8" s="665">
        <f t="shared" si="2"/>
        <v>100</v>
      </c>
      <c r="X8" s="666"/>
      <c r="Y8" s="3456" t="s">
        <v>1682</v>
      </c>
      <c r="Z8" s="345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50">
        <f t="shared" si="5"/>
        <v>1</v>
      </c>
    </row>
    <row r="10" spans="1:29" s="366" customFormat="1" ht="28">
      <c r="A10" s="363"/>
      <c r="B10" s="364" t="s">
        <v>1687</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0">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3" t="s">
        <v>1690</v>
      </c>
      <c r="Q15" s="1263" t="str">
        <f t="shared" si="6"/>
        <v>产业集聚程度</v>
      </c>
      <c r="R15" s="667" t="s">
        <v>14</v>
      </c>
      <c r="S15" s="668">
        <f t="shared" si="0"/>
        <v>100</v>
      </c>
      <c r="T15" s="667" t="s">
        <v>14</v>
      </c>
      <c r="U15" s="668">
        <f t="shared" si="1"/>
        <v>100</v>
      </c>
      <c r="V15" s="667" t="s">
        <v>14</v>
      </c>
      <c r="W15" s="668">
        <f t="shared" si="2"/>
        <v>100</v>
      </c>
      <c r="X15" s="1265"/>
      <c r="Y15" s="3423" t="s">
        <v>1690</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4"/>
      <c r="Q16" s="1263"/>
      <c r="R16" s="667"/>
      <c r="S16" s="668"/>
      <c r="T16" s="667"/>
      <c r="U16" s="668"/>
      <c r="V16" s="667"/>
      <c r="W16" s="668"/>
      <c r="X16" s="1265"/>
      <c r="Y16" s="3424"/>
      <c r="Z16" s="1264"/>
      <c r="AA16" s="1264">
        <v>1</v>
      </c>
      <c r="AB16" s="1264">
        <v>1</v>
      </c>
      <c r="AC16" s="1264">
        <v>1</v>
      </c>
    </row>
    <row r="17" spans="1:29" ht="98">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4"/>
      <c r="Q18" s="1263"/>
      <c r="R18" s="667"/>
      <c r="S18" s="668"/>
      <c r="T18" s="667"/>
      <c r="U18" s="668"/>
      <c r="V18" s="667"/>
      <c r="W18" s="668"/>
      <c r="X18" s="1265"/>
      <c r="Y18" s="3424"/>
      <c r="Z18" s="1264"/>
      <c r="AA18" s="1264">
        <v>1</v>
      </c>
      <c r="AB18" s="1264">
        <v>1</v>
      </c>
      <c r="AC18" s="1264">
        <v>1</v>
      </c>
    </row>
    <row r="19" spans="1:29" ht="42">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4"/>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4"/>
      <c r="Q20" s="1263"/>
      <c r="R20" s="667"/>
      <c r="S20" s="668"/>
      <c r="T20" s="667"/>
      <c r="U20" s="668"/>
      <c r="V20" s="667"/>
      <c r="W20" s="668"/>
      <c r="X20" s="1265"/>
      <c r="Y20" s="3424"/>
      <c r="Z20" s="1264"/>
      <c r="AA20" s="1264">
        <v>1</v>
      </c>
      <c r="AB20" s="1264">
        <v>1</v>
      </c>
      <c r="AC20" s="1264">
        <v>1</v>
      </c>
    </row>
    <row r="21" spans="1:29" ht="42">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4"/>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4"/>
      <c r="Q22" s="1263"/>
      <c r="R22" s="667"/>
      <c r="S22" s="668"/>
      <c r="T22" s="667"/>
      <c r="U22" s="668"/>
      <c r="V22" s="667"/>
      <c r="W22" s="668"/>
      <c r="X22" s="1265"/>
      <c r="Y22" s="3424"/>
      <c r="Z22" s="1264"/>
      <c r="AA22" s="1264">
        <v>1</v>
      </c>
      <c r="AB22" s="1264">
        <v>1</v>
      </c>
      <c r="AC22" s="1264">
        <v>1</v>
      </c>
    </row>
    <row r="23" spans="1:29" ht="84">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4"/>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4"/>
      <c r="Q24" s="1263"/>
      <c r="R24" s="667"/>
      <c r="S24" s="668"/>
      <c r="T24" s="667"/>
      <c r="U24" s="668"/>
      <c r="V24" s="667"/>
      <c r="W24" s="668"/>
      <c r="X24" s="1265"/>
      <c r="Y24" s="342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4"/>
      <c r="Q25" s="1263">
        <f>B25</f>
        <v>111</v>
      </c>
      <c r="R25" s="667" t="s">
        <v>14</v>
      </c>
      <c r="S25" s="668">
        <f>F25</f>
        <v>100</v>
      </c>
      <c r="T25" s="667" t="s">
        <v>14</v>
      </c>
      <c r="U25" s="668">
        <f>H25</f>
        <v>100</v>
      </c>
      <c r="V25" s="667" t="s">
        <v>14</v>
      </c>
      <c r="W25" s="668">
        <f>J25</f>
        <v>100</v>
      </c>
      <c r="X25" s="1265"/>
      <c r="Y25" s="342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4"/>
      <c r="Q26" s="1263">
        <f t="shared" ref="Q26:Q40" si="11">B26</f>
        <v>111</v>
      </c>
      <c r="R26" s="667" t="s">
        <v>14</v>
      </c>
      <c r="S26" s="668">
        <f>F26</f>
        <v>100</v>
      </c>
      <c r="T26" s="667" t="s">
        <v>14</v>
      </c>
      <c r="U26" s="668">
        <f>H26</f>
        <v>100</v>
      </c>
      <c r="V26" s="667" t="s">
        <v>14</v>
      </c>
      <c r="W26" s="668">
        <f>J26</f>
        <v>100</v>
      </c>
      <c r="X26" s="1265"/>
      <c r="Y26" s="342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4"/>
      <c r="Q27" s="530">
        <f t="shared" si="11"/>
        <v>111</v>
      </c>
      <c r="R27" s="664" t="s">
        <v>14</v>
      </c>
      <c r="S27" s="665">
        <f>F27</f>
        <v>100</v>
      </c>
      <c r="T27" s="664" t="s">
        <v>14</v>
      </c>
      <c r="U27" s="665">
        <f>H27</f>
        <v>100</v>
      </c>
      <c r="V27" s="664" t="s">
        <v>14</v>
      </c>
      <c r="W27" s="665">
        <f>J27</f>
        <v>100</v>
      </c>
      <c r="X27" s="666"/>
      <c r="Y27" s="342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4"/>
      <c r="Q28" s="1263">
        <f t="shared" si="11"/>
        <v>111</v>
      </c>
      <c r="R28" s="667" t="s">
        <v>14</v>
      </c>
      <c r="S28" s="668">
        <f t="shared" ref="S28:S40" si="12">F28</f>
        <v>100</v>
      </c>
      <c r="T28" s="667" t="s">
        <v>14</v>
      </c>
      <c r="U28" s="668">
        <f t="shared" ref="U28:U40" si="13">H28</f>
        <v>100</v>
      </c>
      <c r="V28" s="667" t="s">
        <v>14</v>
      </c>
      <c r="W28" s="668">
        <f t="shared" ref="W28:W40" si="14">J28</f>
        <v>100</v>
      </c>
      <c r="X28" s="1265"/>
      <c r="Y28" s="3424"/>
      <c r="Z28" s="1264">
        <f t="shared" ref="Z28:Z40" si="15">Q28</f>
        <v>111</v>
      </c>
      <c r="AA28" s="1264">
        <f t="shared" si="3"/>
        <v>1</v>
      </c>
      <c r="AB28" s="1264">
        <f t="shared" si="4"/>
        <v>1</v>
      </c>
      <c r="AC28" s="1264">
        <f t="shared" si="5"/>
        <v>1</v>
      </c>
    </row>
    <row r="29" spans="1:29" ht="29">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8" t="s">
        <v>1695</v>
      </c>
      <c r="Q29" s="1263" t="str">
        <f t="shared" si="11"/>
        <v>建筑类型</v>
      </c>
      <c r="R29" s="667" t="s">
        <v>14</v>
      </c>
      <c r="S29" s="668">
        <f t="shared" si="12"/>
        <v>100</v>
      </c>
      <c r="T29" s="667" t="s">
        <v>14</v>
      </c>
      <c r="U29" s="668">
        <f t="shared" si="13"/>
        <v>100</v>
      </c>
      <c r="V29" s="667" t="s">
        <v>14</v>
      </c>
      <c r="W29" s="668">
        <f t="shared" si="14"/>
        <v>100</v>
      </c>
      <c r="X29" s="1265"/>
      <c r="Y29" s="3428" t="s">
        <v>1695</v>
      </c>
      <c r="Z29" s="1264" t="str">
        <f t="shared" si="15"/>
        <v>建筑类型</v>
      </c>
      <c r="AA29" s="1264">
        <f t="shared" si="3"/>
        <v>1</v>
      </c>
      <c r="AB29" s="1264">
        <f t="shared" si="4"/>
        <v>1</v>
      </c>
      <c r="AC29" s="1264">
        <f t="shared" si="5"/>
        <v>1</v>
      </c>
    </row>
    <row r="30" spans="1:29" s="408" customFormat="1" ht="15.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8"/>
      <c r="Q30" s="531" t="str">
        <f t="shared" si="11"/>
        <v>项目建筑规模</v>
      </c>
      <c r="R30" s="669" t="s">
        <v>14</v>
      </c>
      <c r="S30" s="670" t="e">
        <f t="shared" si="12"/>
        <v>#N/A</v>
      </c>
      <c r="T30" s="669" t="s">
        <v>14</v>
      </c>
      <c r="U30" s="670" t="e">
        <f t="shared" si="13"/>
        <v>#N/A</v>
      </c>
      <c r="V30" s="669" t="s">
        <v>14</v>
      </c>
      <c r="W30" s="670" t="e">
        <f t="shared" si="14"/>
        <v>#N/A</v>
      </c>
      <c r="X30" s="671"/>
      <c r="Y30" s="3428"/>
      <c r="Z30" s="672" t="str">
        <f t="shared" si="15"/>
        <v>项目建筑规模</v>
      </c>
      <c r="AA30" s="1264" t="e">
        <f t="shared" si="3"/>
        <v>#N/A</v>
      </c>
      <c r="AB30" s="1264" t="e">
        <f t="shared" si="4"/>
        <v>#N/A</v>
      </c>
      <c r="AC30" s="1264" t="e">
        <f t="shared" si="5"/>
        <v>#N/A</v>
      </c>
    </row>
    <row r="31" spans="1:29" ht="15.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8"/>
      <c r="Q31" s="1263" t="str">
        <f t="shared" si="11"/>
        <v>建筑结构</v>
      </c>
      <c r="R31" s="667" t="s">
        <v>14</v>
      </c>
      <c r="S31" s="668">
        <f t="shared" si="12"/>
        <v>100</v>
      </c>
      <c r="T31" s="667" t="s">
        <v>14</v>
      </c>
      <c r="U31" s="668">
        <f t="shared" si="13"/>
        <v>100</v>
      </c>
      <c r="V31" s="667" t="s">
        <v>14</v>
      </c>
      <c r="W31" s="668">
        <f t="shared" si="14"/>
        <v>100</v>
      </c>
      <c r="X31" s="1265"/>
      <c r="Y31" s="3428"/>
      <c r="Z31" s="1264" t="str">
        <f t="shared" si="15"/>
        <v>建筑结构</v>
      </c>
      <c r="AA31" s="1264">
        <f t="shared" si="3"/>
        <v>1</v>
      </c>
      <c r="AB31" s="1264">
        <f t="shared" si="4"/>
        <v>1</v>
      </c>
      <c r="AC31" s="1264">
        <f t="shared" si="5"/>
        <v>1</v>
      </c>
    </row>
    <row r="32" spans="1:29" ht="15.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8"/>
      <c r="Q32" s="1263" t="str">
        <f t="shared" si="11"/>
        <v>公共部分装修</v>
      </c>
      <c r="R32" s="667" t="s">
        <v>14</v>
      </c>
      <c r="S32" s="668">
        <f t="shared" si="12"/>
        <v>100</v>
      </c>
      <c r="T32" s="667" t="s">
        <v>14</v>
      </c>
      <c r="U32" s="668">
        <f t="shared" si="13"/>
        <v>100</v>
      </c>
      <c r="V32" s="667" t="s">
        <v>14</v>
      </c>
      <c r="W32" s="668">
        <f t="shared" si="14"/>
        <v>100</v>
      </c>
      <c r="X32" s="1265"/>
      <c r="Y32" s="3428"/>
      <c r="Z32" s="1264" t="str">
        <f t="shared" si="15"/>
        <v>公共部分装修</v>
      </c>
      <c r="AA32" s="1264">
        <f t="shared" si="3"/>
        <v>1</v>
      </c>
      <c r="AB32" s="1264">
        <f t="shared" si="4"/>
        <v>1</v>
      </c>
      <c r="AC32" s="1264">
        <f t="shared" si="5"/>
        <v>1</v>
      </c>
    </row>
    <row r="33" spans="1:29" ht="15.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8"/>
      <c r="Q33" s="1263" t="str">
        <f t="shared" si="11"/>
        <v>成新度</v>
      </c>
      <c r="R33" s="667" t="s">
        <v>14</v>
      </c>
      <c r="S33" s="668" t="e">
        <f t="shared" si="12"/>
        <v>#N/A</v>
      </c>
      <c r="T33" s="667" t="s">
        <v>14</v>
      </c>
      <c r="U33" s="668" t="e">
        <f t="shared" si="13"/>
        <v>#N/A</v>
      </c>
      <c r="V33" s="667" t="s">
        <v>14</v>
      </c>
      <c r="W33" s="668" t="e">
        <f t="shared" si="14"/>
        <v>#N/A</v>
      </c>
      <c r="X33" s="1265"/>
      <c r="Y33" s="3428"/>
      <c r="Z33" s="1264" t="str">
        <f t="shared" si="15"/>
        <v>成新度</v>
      </c>
      <c r="AA33" s="1264" t="e">
        <f t="shared" si="3"/>
        <v>#N/A</v>
      </c>
      <c r="AB33" s="1264" t="e">
        <f t="shared" si="4"/>
        <v>#N/A</v>
      </c>
      <c r="AC33" s="1264" t="e">
        <f t="shared" si="5"/>
        <v>#N/A</v>
      </c>
    </row>
    <row r="34" spans="1:29" s="102" customFormat="1" ht="15.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8"/>
      <c r="Q34" s="530" t="str">
        <f t="shared" si="11"/>
        <v>物业管理</v>
      </c>
      <c r="R34" s="664" t="s">
        <v>14</v>
      </c>
      <c r="S34" s="665">
        <f t="shared" si="12"/>
        <v>100</v>
      </c>
      <c r="T34" s="664" t="s">
        <v>14</v>
      </c>
      <c r="U34" s="665">
        <f t="shared" si="13"/>
        <v>100</v>
      </c>
      <c r="V34" s="664" t="s">
        <v>14</v>
      </c>
      <c r="W34" s="665">
        <f t="shared" si="14"/>
        <v>100</v>
      </c>
      <c r="X34" s="666"/>
      <c r="Y34" s="3428"/>
      <c r="Z34" s="50" t="str">
        <f t="shared" si="15"/>
        <v>物业管理</v>
      </c>
      <c r="AA34" s="50">
        <f t="shared" si="3"/>
        <v>1</v>
      </c>
      <c r="AB34" s="50">
        <f t="shared" si="4"/>
        <v>1</v>
      </c>
      <c r="AC34" s="50">
        <f t="shared" si="5"/>
        <v>1</v>
      </c>
    </row>
    <row r="35" spans="1:29" ht="15.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8" t="s">
        <v>1695</v>
      </c>
      <c r="Q35" s="1263" t="str">
        <f t="shared" si="11"/>
        <v>市政基础设施</v>
      </c>
      <c r="R35" s="667" t="s">
        <v>14</v>
      </c>
      <c r="S35" s="668">
        <f t="shared" si="12"/>
        <v>100</v>
      </c>
      <c r="T35" s="667" t="s">
        <v>14</v>
      </c>
      <c r="U35" s="668">
        <f t="shared" si="13"/>
        <v>100</v>
      </c>
      <c r="V35" s="667" t="s">
        <v>14</v>
      </c>
      <c r="W35" s="668">
        <f t="shared" si="14"/>
        <v>100</v>
      </c>
      <c r="X35" s="1265"/>
      <c r="Y35" s="3428" t="s">
        <v>1695</v>
      </c>
      <c r="Z35" s="1264" t="str">
        <f t="shared" si="15"/>
        <v>市政基础设施</v>
      </c>
      <c r="AA35" s="1264">
        <f t="shared" si="3"/>
        <v>1</v>
      </c>
      <c r="AB35" s="1264">
        <f t="shared" si="4"/>
        <v>1</v>
      </c>
      <c r="AC35" s="1264">
        <f t="shared" si="5"/>
        <v>1</v>
      </c>
    </row>
    <row r="36" spans="1:29" ht="15.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8"/>
      <c r="Q36" s="1263" t="str">
        <f t="shared" si="11"/>
        <v>内部装修</v>
      </c>
      <c r="R36" s="667" t="s">
        <v>14</v>
      </c>
      <c r="S36" s="668">
        <f t="shared" si="12"/>
        <v>100</v>
      </c>
      <c r="T36" s="667" t="s">
        <v>14</v>
      </c>
      <c r="U36" s="668">
        <f t="shared" si="13"/>
        <v>100</v>
      </c>
      <c r="V36" s="667" t="s">
        <v>14</v>
      </c>
      <c r="W36" s="668">
        <f t="shared" si="14"/>
        <v>100</v>
      </c>
      <c r="X36" s="1265"/>
      <c r="Y36" s="3428"/>
      <c r="Z36" s="1264" t="str">
        <f t="shared" si="15"/>
        <v>内部装修</v>
      </c>
      <c r="AA36" s="1264">
        <f t="shared" si="3"/>
        <v>1</v>
      </c>
      <c r="AB36" s="1264">
        <f t="shared" si="4"/>
        <v>1</v>
      </c>
      <c r="AC36" s="1264">
        <f t="shared" si="5"/>
        <v>1</v>
      </c>
    </row>
    <row r="37" spans="1:29" ht="15.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8"/>
      <c r="Q37" s="1263" t="str">
        <f t="shared" si="11"/>
        <v>内部装修状况</v>
      </c>
      <c r="R37" s="667" t="s">
        <v>14</v>
      </c>
      <c r="S37" s="668">
        <f t="shared" si="12"/>
        <v>100</v>
      </c>
      <c r="T37" s="667" t="s">
        <v>14</v>
      </c>
      <c r="U37" s="668">
        <f t="shared" si="13"/>
        <v>100</v>
      </c>
      <c r="V37" s="667" t="s">
        <v>14</v>
      </c>
      <c r="W37" s="668">
        <f t="shared" si="14"/>
        <v>100</v>
      </c>
      <c r="X37" s="1265"/>
      <c r="Y37" s="342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8"/>
      <c r="Q38" s="531">
        <f t="shared" si="11"/>
        <v>111</v>
      </c>
      <c r="R38" s="669" t="s">
        <v>14</v>
      </c>
      <c r="S38" s="670">
        <f t="shared" si="12"/>
        <v>100</v>
      </c>
      <c r="T38" s="669" t="s">
        <v>14</v>
      </c>
      <c r="U38" s="670">
        <f t="shared" si="13"/>
        <v>100</v>
      </c>
      <c r="V38" s="669" t="s">
        <v>14</v>
      </c>
      <c r="W38" s="670">
        <f t="shared" si="14"/>
        <v>100</v>
      </c>
      <c r="X38" s="671"/>
      <c r="Y38" s="342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8"/>
      <c r="Q39" s="1263">
        <f t="shared" si="11"/>
        <v>111</v>
      </c>
      <c r="R39" s="667" t="s">
        <v>14</v>
      </c>
      <c r="S39" s="668">
        <f t="shared" si="12"/>
        <v>100</v>
      </c>
      <c r="T39" s="667" t="s">
        <v>14</v>
      </c>
      <c r="U39" s="668">
        <f t="shared" si="13"/>
        <v>100</v>
      </c>
      <c r="V39" s="667" t="s">
        <v>14</v>
      </c>
      <c r="W39" s="668">
        <f t="shared" si="14"/>
        <v>100</v>
      </c>
      <c r="X39" s="1265"/>
      <c r="Y39" s="342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9"/>
      <c r="Q40" s="1263">
        <f t="shared" si="11"/>
        <v>111</v>
      </c>
      <c r="R40" s="667" t="s">
        <v>14</v>
      </c>
      <c r="S40" s="668">
        <f t="shared" si="12"/>
        <v>100</v>
      </c>
      <c r="T40" s="667" t="s">
        <v>14</v>
      </c>
      <c r="U40" s="668">
        <f t="shared" si="13"/>
        <v>100</v>
      </c>
      <c r="V40" s="667" t="s">
        <v>14</v>
      </c>
      <c r="W40" s="668">
        <f t="shared" si="14"/>
        <v>100</v>
      </c>
      <c r="X40" s="1265"/>
      <c r="Y40" s="3429"/>
      <c r="Z40" s="1264">
        <f t="shared" si="15"/>
        <v>111</v>
      </c>
      <c r="AA40" s="1264">
        <f t="shared" si="3"/>
        <v>1</v>
      </c>
      <c r="AB40" s="1264">
        <f t="shared" si="4"/>
        <v>1</v>
      </c>
      <c r="AC40" s="1264">
        <f t="shared" si="5"/>
        <v>1</v>
      </c>
    </row>
    <row r="41" spans="1:29">
      <c r="A41" s="416" t="s">
        <v>1707</v>
      </c>
      <c r="B41" s="417"/>
      <c r="C41" s="1081" t="s">
        <v>0</v>
      </c>
      <c r="D41" s="418"/>
      <c r="E41" s="419"/>
      <c r="F41" s="420"/>
      <c r="G41" s="421"/>
      <c r="H41" s="422"/>
      <c r="I41" s="419"/>
      <c r="J41" s="422"/>
      <c r="K41" s="674"/>
      <c r="L41" s="873"/>
      <c r="M41" s="861"/>
      <c r="N41" s="861"/>
      <c r="O41" s="861"/>
      <c r="P41" s="3421" t="str">
        <f>A41</f>
        <v>成交单价（元/平方米）</v>
      </c>
      <c r="Q41" s="3421"/>
      <c r="R41" s="3422">
        <f>E41</f>
        <v>0</v>
      </c>
      <c r="S41" s="3422"/>
      <c r="T41" s="3422">
        <f>G41</f>
        <v>0</v>
      </c>
      <c r="U41" s="3422"/>
      <c r="V41" s="3422">
        <f>I41</f>
        <v>0</v>
      </c>
      <c r="W41" s="3422"/>
      <c r="X41" s="385"/>
      <c r="Y41" s="673"/>
      <c r="Z41" s="385"/>
      <c r="AA41" s="385"/>
      <c r="AB41" s="385"/>
      <c r="AC41" s="385"/>
    </row>
    <row r="42" spans="1:29" ht="14.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4.5" thickBot="1">
      <c r="A43" s="427" t="s">
        <v>1793</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1797</v>
      </c>
      <c r="B51" s="385"/>
      <c r="C51" s="659"/>
      <c r="D51" s="659"/>
      <c r="E51" s="659"/>
      <c r="F51" s="660"/>
      <c r="G51" s="660"/>
      <c r="H51" s="659"/>
      <c r="I51" s="659"/>
      <c r="J51" s="659"/>
      <c r="K51" s="887"/>
      <c r="L51" s="888"/>
      <c r="M51" s="886"/>
      <c r="N51" s="886"/>
      <c r="O51" s="886"/>
      <c r="P51" s="438"/>
      <c r="Q51" s="439"/>
    </row>
    <row r="52" spans="1:17" s="442" customFormat="1">
      <c r="A52" s="440" t="s">
        <v>1678</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1715</v>
      </c>
      <c r="B54" s="450"/>
      <c r="C54" s="451"/>
      <c r="D54" s="452"/>
      <c r="E54" s="452"/>
      <c r="F54" s="452"/>
      <c r="G54" s="452"/>
      <c r="H54" s="452"/>
      <c r="I54" s="452"/>
      <c r="J54" s="452"/>
      <c r="K54" s="452"/>
      <c r="L54" s="452"/>
      <c r="M54" s="453"/>
      <c r="N54" s="2536"/>
      <c r="O54" s="2537"/>
      <c r="P54" s="439"/>
      <c r="Q54" s="439"/>
    </row>
    <row r="55" spans="1:17" s="102" customFormat="1">
      <c r="A55" s="455" t="s">
        <v>1680</v>
      </c>
      <c r="B55" s="444"/>
      <c r="C55" s="456" t="s">
        <v>1775</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1687</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1737</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1739</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1741</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1743</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3330</v>
      </c>
      <c r="C1" s="1141" t="s">
        <v>1661</v>
      </c>
      <c r="D1" s="1142"/>
      <c r="E1" s="3129"/>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46" t="s">
        <v>1770</v>
      </c>
      <c r="S4" s="3447"/>
      <c r="T4" s="3446" t="s">
        <v>1771</v>
      </c>
      <c r="U4" s="3447"/>
      <c r="V4" s="3422" t="s">
        <v>1772</v>
      </c>
      <c r="W4" s="3422"/>
      <c r="X4" s="1265"/>
      <c r="Y4" s="3446" t="s">
        <v>1774</v>
      </c>
      <c r="Z4" s="3447"/>
      <c r="AA4" s="3433" t="s">
        <v>1770</v>
      </c>
      <c r="AB4" s="3434" t="s">
        <v>1771</v>
      </c>
      <c r="AC4" s="3433" t="s">
        <v>1772</v>
      </c>
    </row>
    <row r="5" spans="1:29">
      <c r="A5" s="348"/>
      <c r="B5" s="349"/>
      <c r="C5" s="3454" t="s">
        <v>1672</v>
      </c>
      <c r="D5" s="3455"/>
      <c r="E5" s="3461" t="s">
        <v>1673</v>
      </c>
      <c r="F5" s="3462"/>
      <c r="G5" s="3454" t="s">
        <v>1674</v>
      </c>
      <c r="H5" s="3455"/>
      <c r="I5" s="3454" t="s">
        <v>1675</v>
      </c>
      <c r="J5" s="3455"/>
      <c r="K5" s="537"/>
      <c r="L5" s="2484"/>
      <c r="M5" s="2485"/>
      <c r="N5" s="2485"/>
      <c r="O5" s="2485"/>
      <c r="P5" s="3442"/>
      <c r="Q5" s="3443"/>
      <c r="R5" s="3448"/>
      <c r="S5" s="3449"/>
      <c r="T5" s="3448"/>
      <c r="U5" s="3449"/>
      <c r="V5" s="3422"/>
      <c r="W5" s="3422"/>
      <c r="X5" s="1265"/>
      <c r="Y5" s="3448"/>
      <c r="Z5" s="3449"/>
      <c r="AA5" s="3434"/>
      <c r="AB5" s="3434"/>
      <c r="AC5" s="3434"/>
    </row>
    <row r="6" spans="1:29" ht="15" thickBot="1">
      <c r="A6" s="350"/>
      <c r="B6" s="351"/>
      <c r="C6" s="3452" t="s">
        <v>1676</v>
      </c>
      <c r="D6" s="3453"/>
      <c r="E6" s="3459" t="s">
        <v>1676</v>
      </c>
      <c r="F6" s="3460"/>
      <c r="G6" s="3452" t="s">
        <v>1676</v>
      </c>
      <c r="H6" s="3453"/>
      <c r="I6" s="3452" t="s">
        <v>1676</v>
      </c>
      <c r="J6" s="3453"/>
      <c r="K6" s="537" t="s">
        <v>1677</v>
      </c>
      <c r="L6" s="2484"/>
      <c r="M6" s="2485"/>
      <c r="N6" s="2485"/>
      <c r="O6" s="2485"/>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6" t="s">
        <v>1679</v>
      </c>
      <c r="Q7" s="3458"/>
      <c r="R7" s="664" t="s">
        <v>14</v>
      </c>
      <c r="S7" s="665">
        <f t="shared" ref="S7:S14" si="0">F7</f>
        <v>0</v>
      </c>
      <c r="T7" s="664" t="s">
        <v>14</v>
      </c>
      <c r="U7" s="665">
        <f t="shared" ref="U7:U14" si="1">H7</f>
        <v>0</v>
      </c>
      <c r="V7" s="664" t="s">
        <v>14</v>
      </c>
      <c r="W7" s="665">
        <f t="shared" ref="W7:W14" si="2">J7</f>
        <v>0</v>
      </c>
      <c r="X7" s="666"/>
      <c r="Y7" s="3456" t="s">
        <v>1679</v>
      </c>
      <c r="Z7" s="3457"/>
      <c r="AA7" s="50" t="e">
        <f>D7/F7</f>
        <v>#DIV/0!</v>
      </c>
      <c r="AB7" s="50" t="e">
        <f>D7/H7</f>
        <v>#DIV/0!</v>
      </c>
      <c r="AC7" s="50" t="e">
        <f>D7/J7</f>
        <v>#DIV/0!</v>
      </c>
    </row>
    <row r="8" spans="1:29" s="102" customFormat="1" ht="14.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6" t="s">
        <v>1682</v>
      </c>
      <c r="Q8" s="3457"/>
      <c r="R8" s="664" t="s">
        <v>14</v>
      </c>
      <c r="S8" s="665">
        <f t="shared" si="0"/>
        <v>100</v>
      </c>
      <c r="T8" s="664" t="s">
        <v>14</v>
      </c>
      <c r="U8" s="665">
        <f t="shared" si="1"/>
        <v>100</v>
      </c>
      <c r="V8" s="664" t="s">
        <v>14</v>
      </c>
      <c r="W8" s="665">
        <f t="shared" si="2"/>
        <v>100</v>
      </c>
      <c r="X8" s="666"/>
      <c r="Y8" s="3456" t="s">
        <v>1682</v>
      </c>
      <c r="Z8" s="3457"/>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1" t="s">
        <v>1685</v>
      </c>
      <c r="Q9" s="530" t="str">
        <f t="shared" ref="Q9:Q14" si="6">B9</f>
        <v>用途</v>
      </c>
      <c r="R9" s="664" t="s">
        <v>14</v>
      </c>
      <c r="S9" s="665">
        <f t="shared" si="0"/>
        <v>100</v>
      </c>
      <c r="T9" s="664" t="s">
        <v>14</v>
      </c>
      <c r="U9" s="665">
        <f t="shared" si="1"/>
        <v>100</v>
      </c>
      <c r="V9" s="664" t="s">
        <v>14</v>
      </c>
      <c r="W9" s="665">
        <f t="shared" si="2"/>
        <v>100</v>
      </c>
      <c r="X9" s="666"/>
      <c r="Y9" s="3277" t="s">
        <v>1686</v>
      </c>
      <c r="Z9" s="50" t="str">
        <f t="shared" ref="Z9:Z14" si="7">Q9</f>
        <v>用途</v>
      </c>
      <c r="AA9" s="50">
        <f t="shared" si="3"/>
        <v>1</v>
      </c>
      <c r="AB9" s="50">
        <f t="shared" si="4"/>
        <v>1</v>
      </c>
      <c r="AC9" s="50">
        <f t="shared" si="5"/>
        <v>1</v>
      </c>
    </row>
    <row r="10" spans="1:29" s="366" customFormat="1" ht="28">
      <c r="A10" s="565"/>
      <c r="B10" s="566" t="s">
        <v>1687</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1"/>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1"/>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1"/>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1"/>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8">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3" t="s">
        <v>1690</v>
      </c>
      <c r="Q14" s="1263" t="str">
        <f t="shared" si="6"/>
        <v>交通便捷度</v>
      </c>
      <c r="R14" s="667" t="s">
        <v>14</v>
      </c>
      <c r="S14" s="668">
        <f t="shared" si="0"/>
        <v>100</v>
      </c>
      <c r="T14" s="667" t="s">
        <v>14</v>
      </c>
      <c r="U14" s="668">
        <f t="shared" si="1"/>
        <v>100</v>
      </c>
      <c r="V14" s="667" t="s">
        <v>14</v>
      </c>
      <c r="W14" s="668">
        <f t="shared" si="2"/>
        <v>100</v>
      </c>
      <c r="X14" s="1265"/>
      <c r="Y14" s="3423" t="s">
        <v>1690</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24"/>
      <c r="Q15" s="1263"/>
      <c r="R15" s="667"/>
      <c r="S15" s="668"/>
      <c r="T15" s="667"/>
      <c r="U15" s="668"/>
      <c r="V15" s="667"/>
      <c r="W15" s="668"/>
      <c r="X15" s="1265"/>
      <c r="Y15" s="3424"/>
      <c r="Z15" s="1264"/>
      <c r="AA15" s="1264">
        <v>1</v>
      </c>
      <c r="AB15" s="1264">
        <v>1</v>
      </c>
      <c r="AC15" s="1264">
        <v>1</v>
      </c>
    </row>
    <row r="16" spans="1:29" ht="42">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24"/>
      <c r="Q17" s="1263"/>
      <c r="R17" s="667"/>
      <c r="S17" s="668"/>
      <c r="T17" s="667"/>
      <c r="U17" s="668"/>
      <c r="V17" s="667"/>
      <c r="W17" s="668"/>
      <c r="X17" s="1265"/>
      <c r="Y17" s="3424"/>
      <c r="Z17" s="1264"/>
      <c r="AA17" s="1264">
        <v>1</v>
      </c>
      <c r="AB17" s="1264">
        <v>1</v>
      </c>
      <c r="AC17" s="1264">
        <v>1</v>
      </c>
    </row>
    <row r="18" spans="1:29" ht="42">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24"/>
      <c r="Q19" s="1263"/>
      <c r="R19" s="667"/>
      <c r="S19" s="668"/>
      <c r="T19" s="667"/>
      <c r="U19" s="668"/>
      <c r="V19" s="667"/>
      <c r="W19" s="668"/>
      <c r="X19" s="1265"/>
      <c r="Y19" s="3424"/>
      <c r="Z19" s="1264"/>
      <c r="AA19" s="1264">
        <v>1</v>
      </c>
      <c r="AB19" s="1264">
        <v>1</v>
      </c>
      <c r="AC19" s="1264">
        <v>1</v>
      </c>
    </row>
    <row r="20" spans="1:29" ht="56">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24"/>
      <c r="Q21" s="1263"/>
      <c r="R21" s="667"/>
      <c r="S21" s="668"/>
      <c r="T21" s="667"/>
      <c r="U21" s="668"/>
      <c r="V21" s="667"/>
      <c r="W21" s="668"/>
      <c r="X21" s="1265"/>
      <c r="Y21" s="3424"/>
      <c r="Z21" s="1264"/>
      <c r="AA21" s="1264">
        <v>1</v>
      </c>
      <c r="AB21" s="1264">
        <v>1</v>
      </c>
      <c r="AC21" s="1264">
        <v>1</v>
      </c>
    </row>
    <row r="22" spans="1:29" ht="15.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4"/>
      <c r="Q24" s="1263">
        <f t="shared" ref="Q24:Q36"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9">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8"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8" t="s">
        <v>1695</v>
      </c>
      <c r="Z26" s="1264" t="str">
        <f t="shared" ref="Z26:Z36" si="15">Q26</f>
        <v>配套类型</v>
      </c>
      <c r="AA26" s="1264" t="e">
        <f t="shared" si="3"/>
        <v>#DIV/0!</v>
      </c>
      <c r="AB26" s="1264" t="e">
        <f t="shared" si="4"/>
        <v>#DIV/0!</v>
      </c>
      <c r="AC26" s="1264" t="e">
        <f t="shared" si="5"/>
        <v>#DIV/0!</v>
      </c>
    </row>
    <row r="27" spans="1:29" s="408" customFormat="1" ht="15.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8"/>
      <c r="Q27" s="531" t="str">
        <f t="shared" si="11"/>
        <v>项目停车位配比</v>
      </c>
      <c r="R27" s="669" t="s">
        <v>14</v>
      </c>
      <c r="S27" s="670">
        <f t="shared" si="12"/>
        <v>100</v>
      </c>
      <c r="T27" s="669" t="s">
        <v>14</v>
      </c>
      <c r="U27" s="670">
        <f t="shared" si="13"/>
        <v>100</v>
      </c>
      <c r="V27" s="669" t="s">
        <v>14</v>
      </c>
      <c r="W27" s="670">
        <f t="shared" si="14"/>
        <v>100</v>
      </c>
      <c r="X27" s="671"/>
      <c r="Y27" s="3428"/>
      <c r="Z27" s="672" t="str">
        <f t="shared" si="15"/>
        <v>项目停车位配比</v>
      </c>
      <c r="AA27" s="1264">
        <f t="shared" si="3"/>
        <v>1</v>
      </c>
      <c r="AB27" s="1264">
        <f t="shared" si="4"/>
        <v>1</v>
      </c>
      <c r="AC27" s="1264">
        <f t="shared" si="5"/>
        <v>1</v>
      </c>
    </row>
    <row r="28" spans="1:29" ht="15.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8"/>
      <c r="Q28" s="1263" t="str">
        <f t="shared" si="11"/>
        <v>公共部分装修</v>
      </c>
      <c r="R28" s="667" t="s">
        <v>14</v>
      </c>
      <c r="S28" s="668">
        <f t="shared" si="12"/>
        <v>100</v>
      </c>
      <c r="T28" s="667" t="s">
        <v>14</v>
      </c>
      <c r="U28" s="668">
        <f t="shared" si="13"/>
        <v>100</v>
      </c>
      <c r="V28" s="667" t="s">
        <v>14</v>
      </c>
      <c r="W28" s="668">
        <f t="shared" si="14"/>
        <v>100</v>
      </c>
      <c r="X28" s="1265"/>
      <c r="Y28" s="3428"/>
      <c r="Z28" s="1264" t="str">
        <f t="shared" si="15"/>
        <v>公共部分装修</v>
      </c>
      <c r="AA28" s="1264">
        <f t="shared" si="3"/>
        <v>1</v>
      </c>
      <c r="AB28" s="1264">
        <f t="shared" si="4"/>
        <v>1</v>
      </c>
      <c r="AC28" s="1264">
        <f t="shared" si="5"/>
        <v>1</v>
      </c>
    </row>
    <row r="29" spans="1:29" ht="15.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8"/>
      <c r="Q29" s="1263" t="str">
        <f t="shared" si="11"/>
        <v>成新率</v>
      </c>
      <c r="R29" s="667" t="s">
        <v>14</v>
      </c>
      <c r="S29" s="668" t="e">
        <f t="shared" si="12"/>
        <v>#N/A</v>
      </c>
      <c r="T29" s="667" t="s">
        <v>14</v>
      </c>
      <c r="U29" s="668" t="e">
        <f t="shared" si="13"/>
        <v>#N/A</v>
      </c>
      <c r="V29" s="667" t="s">
        <v>14</v>
      </c>
      <c r="W29" s="668" t="e">
        <f t="shared" si="14"/>
        <v>#N/A</v>
      </c>
      <c r="X29" s="1265"/>
      <c r="Y29" s="3428"/>
      <c r="Z29" s="1264" t="str">
        <f t="shared" si="15"/>
        <v>成新率</v>
      </c>
      <c r="AA29" s="1264" t="e">
        <f t="shared" si="3"/>
        <v>#N/A</v>
      </c>
      <c r="AB29" s="1264" t="e">
        <f t="shared" si="4"/>
        <v>#N/A</v>
      </c>
      <c r="AC29" s="1264" t="e">
        <f t="shared" si="5"/>
        <v>#N/A</v>
      </c>
    </row>
    <row r="30" spans="1:29" ht="15.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8"/>
      <c r="Q30" s="1263" t="str">
        <f t="shared" si="11"/>
        <v>物业等级</v>
      </c>
      <c r="R30" s="667" t="s">
        <v>14</v>
      </c>
      <c r="S30" s="668">
        <f t="shared" si="12"/>
        <v>100</v>
      </c>
      <c r="T30" s="667" t="s">
        <v>14</v>
      </c>
      <c r="U30" s="668">
        <f t="shared" si="13"/>
        <v>100</v>
      </c>
      <c r="V30" s="667" t="s">
        <v>14</v>
      </c>
      <c r="W30" s="668">
        <f t="shared" si="14"/>
        <v>100</v>
      </c>
      <c r="X30" s="1265"/>
      <c r="Y30" s="3428"/>
      <c r="Z30" s="1264" t="str">
        <f t="shared" si="15"/>
        <v>物业等级</v>
      </c>
      <c r="AA30" s="1264">
        <f t="shared" si="3"/>
        <v>1</v>
      </c>
      <c r="AB30" s="1264">
        <f t="shared" si="4"/>
        <v>1</v>
      </c>
      <c r="AC30" s="1264">
        <f t="shared" si="5"/>
        <v>1</v>
      </c>
    </row>
    <row r="31" spans="1:29" s="102" customFormat="1" ht="15.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8"/>
      <c r="Q31" s="530" t="str">
        <f t="shared" si="11"/>
        <v>停车位面积</v>
      </c>
      <c r="R31" s="664" t="s">
        <v>14</v>
      </c>
      <c r="S31" s="665" t="e">
        <f t="shared" si="12"/>
        <v>#N/A</v>
      </c>
      <c r="T31" s="664" t="s">
        <v>14</v>
      </c>
      <c r="U31" s="665" t="e">
        <f t="shared" si="13"/>
        <v>#N/A</v>
      </c>
      <c r="V31" s="664" t="s">
        <v>14</v>
      </c>
      <c r="W31" s="665" t="e">
        <f t="shared" si="14"/>
        <v>#N/A</v>
      </c>
      <c r="X31" s="666"/>
      <c r="Y31" s="3428"/>
      <c r="Z31" s="50" t="str">
        <f t="shared" si="15"/>
        <v>停车位面积</v>
      </c>
      <c r="AA31" s="50" t="e">
        <f t="shared" si="3"/>
        <v>#N/A</v>
      </c>
      <c r="AB31" s="50" t="e">
        <f t="shared" si="4"/>
        <v>#N/A</v>
      </c>
      <c r="AC31" s="50" t="e">
        <f t="shared" si="5"/>
        <v>#N/A</v>
      </c>
    </row>
    <row r="32" spans="1:29" ht="15.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8" t="s">
        <v>1695</v>
      </c>
      <c r="Q32" s="1263" t="str">
        <f t="shared" si="11"/>
        <v>车位类型</v>
      </c>
      <c r="R32" s="667" t="s">
        <v>14</v>
      </c>
      <c r="S32" s="668">
        <f t="shared" si="12"/>
        <v>100</v>
      </c>
      <c r="T32" s="667" t="s">
        <v>14</v>
      </c>
      <c r="U32" s="668">
        <f t="shared" si="13"/>
        <v>100</v>
      </c>
      <c r="V32" s="667" t="s">
        <v>14</v>
      </c>
      <c r="W32" s="668">
        <f t="shared" si="14"/>
        <v>100</v>
      </c>
      <c r="X32" s="1265"/>
      <c r="Y32" s="3428" t="s">
        <v>1695</v>
      </c>
      <c r="Z32" s="1264" t="str">
        <f t="shared" si="15"/>
        <v>车位类型</v>
      </c>
      <c r="AA32" s="1264">
        <f t="shared" si="3"/>
        <v>1</v>
      </c>
      <c r="AB32" s="1264">
        <f t="shared" si="4"/>
        <v>1</v>
      </c>
      <c r="AC32" s="1264">
        <f t="shared" si="5"/>
        <v>1</v>
      </c>
    </row>
    <row r="33" spans="1:29" ht="15.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8"/>
      <c r="Q33" s="1263" t="str">
        <f t="shared" si="11"/>
        <v>是否直接入户</v>
      </c>
      <c r="R33" s="667" t="s">
        <v>14</v>
      </c>
      <c r="S33" s="668">
        <f t="shared" si="12"/>
        <v>100</v>
      </c>
      <c r="T33" s="667" t="s">
        <v>14</v>
      </c>
      <c r="U33" s="668">
        <f t="shared" si="13"/>
        <v>100</v>
      </c>
      <c r="V33" s="667" t="s">
        <v>14</v>
      </c>
      <c r="W33" s="668">
        <f t="shared" si="14"/>
        <v>100</v>
      </c>
      <c r="X33" s="1265"/>
      <c r="Y33" s="342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8"/>
      <c r="Q35" s="531">
        <f t="shared" si="11"/>
        <v>111</v>
      </c>
      <c r="R35" s="669" t="s">
        <v>14</v>
      </c>
      <c r="S35" s="670">
        <f t="shared" si="12"/>
        <v>100</v>
      </c>
      <c r="T35" s="669" t="s">
        <v>14</v>
      </c>
      <c r="U35" s="670">
        <f t="shared" si="13"/>
        <v>100</v>
      </c>
      <c r="V35" s="669" t="s">
        <v>14</v>
      </c>
      <c r="W35" s="670">
        <f t="shared" si="14"/>
        <v>100</v>
      </c>
      <c r="X35" s="671"/>
      <c r="Y35" s="342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8"/>
      <c r="Q36" s="1263">
        <f t="shared" si="11"/>
        <v>111</v>
      </c>
      <c r="R36" s="667" t="s">
        <v>14</v>
      </c>
      <c r="S36" s="668">
        <f t="shared" si="12"/>
        <v>100</v>
      </c>
      <c r="T36" s="667" t="s">
        <v>14</v>
      </c>
      <c r="U36" s="668">
        <f t="shared" si="13"/>
        <v>100</v>
      </c>
      <c r="V36" s="667" t="s">
        <v>14</v>
      </c>
      <c r="W36" s="668">
        <f t="shared" si="14"/>
        <v>100</v>
      </c>
      <c r="X36" s="1265"/>
      <c r="Y36" s="3428"/>
      <c r="Z36" s="1264">
        <f t="shared" si="15"/>
        <v>111</v>
      </c>
      <c r="AA36" s="1264">
        <f t="shared" si="3"/>
        <v>1</v>
      </c>
      <c r="AB36" s="1264">
        <f t="shared" si="4"/>
        <v>1</v>
      </c>
      <c r="AC36" s="1264">
        <f t="shared" si="5"/>
        <v>1</v>
      </c>
    </row>
    <row r="37" spans="1:29">
      <c r="A37" s="416" t="s">
        <v>1843</v>
      </c>
      <c r="B37" s="1821" t="s">
        <v>3351</v>
      </c>
      <c r="C37" s="1081" t="s">
        <v>0</v>
      </c>
      <c r="D37" s="418"/>
      <c r="E37" s="419"/>
      <c r="F37" s="420"/>
      <c r="G37" s="421"/>
      <c r="H37" s="422"/>
      <c r="I37" s="419"/>
      <c r="J37" s="422"/>
      <c r="K37" s="545"/>
      <c r="L37" s="2492"/>
      <c r="M37" s="2485"/>
      <c r="N37" s="2485"/>
      <c r="O37" s="2485"/>
      <c r="P37" s="3421" t="str">
        <f>A37</f>
        <v>成交单价</v>
      </c>
      <c r="Q37" s="3421"/>
      <c r="R37" s="3422">
        <f>E37</f>
        <v>0</v>
      </c>
      <c r="S37" s="3422"/>
      <c r="T37" s="3422">
        <f>G37</f>
        <v>0</v>
      </c>
      <c r="U37" s="3422"/>
      <c r="V37" s="3422">
        <f>I37</f>
        <v>0</v>
      </c>
      <c r="W37" s="3422"/>
      <c r="X37" s="385"/>
      <c r="Y37" s="673"/>
      <c r="Z37" s="385"/>
      <c r="AA37" s="385"/>
      <c r="AB37" s="385"/>
      <c r="AC37" s="385"/>
    </row>
    <row r="38" spans="1:29" ht="14.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2"/>
      <c r="M38" s="2485"/>
      <c r="N38" s="2485"/>
      <c r="O38" s="2485"/>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4.5" thickBot="1">
      <c r="A39" s="427" t="s">
        <v>1845</v>
      </c>
      <c r="B39" s="428"/>
      <c r="C39" s="351" t="e">
        <f>R39</f>
        <v>#DIV/0!</v>
      </c>
      <c r="D39" s="351"/>
      <c r="E39" s="351"/>
      <c r="F39" s="351"/>
      <c r="G39" s="351"/>
      <c r="H39" s="351"/>
      <c r="I39" s="351"/>
      <c r="J39" s="351"/>
      <c r="K39" s="546"/>
      <c r="L39" s="2492"/>
      <c r="M39" s="2485"/>
      <c r="N39" s="2485"/>
      <c r="O39" s="2485"/>
      <c r="P39" s="3418" t="str">
        <f>A39</f>
        <v>估价对象XX用房的比较价值（楼面单价，元/平方米）</v>
      </c>
      <c r="Q39" s="3419"/>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1849</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1850</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1715</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1680</v>
      </c>
      <c r="B51" s="444"/>
      <c r="C51" s="456" t="s">
        <v>1775</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1718</v>
      </c>
      <c r="B53" s="460" t="s">
        <v>1684</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1687</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1689</v>
      </c>
      <c r="B63" s="460" t="s">
        <v>1725</v>
      </c>
      <c r="C63" s="504" t="s">
        <v>1720</v>
      </c>
      <c r="D63" s="504" t="s">
        <v>1721</v>
      </c>
      <c r="E63" s="504" t="s">
        <v>1722</v>
      </c>
      <c r="F63" s="504" t="s">
        <v>1723</v>
      </c>
      <c r="G63" s="504" t="s">
        <v>1724</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1726</v>
      </c>
      <c r="C65" s="509" t="s">
        <v>1720</v>
      </c>
      <c r="D65" s="509" t="s">
        <v>1721</v>
      </c>
      <c r="E65" s="509" t="s">
        <v>1722</v>
      </c>
      <c r="F65" s="509" t="s">
        <v>1723</v>
      </c>
      <c r="G65" s="509" t="s">
        <v>1724</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1812</v>
      </c>
      <c r="C67" s="581" t="s">
        <v>1798</v>
      </c>
      <c r="D67" s="581" t="s">
        <v>1799</v>
      </c>
      <c r="E67" s="581" t="s">
        <v>1800</v>
      </c>
      <c r="F67" s="581" t="s">
        <v>1801</v>
      </c>
      <c r="G67" s="581" t="s">
        <v>1802</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1732</v>
      </c>
      <c r="C69" s="509" t="s">
        <v>1720</v>
      </c>
      <c r="D69" s="509" t="s">
        <v>1721</v>
      </c>
      <c r="E69" s="509" t="s">
        <v>1722</v>
      </c>
      <c r="F69" s="509" t="s">
        <v>1723</v>
      </c>
      <c r="G69" s="509" t="s">
        <v>1724</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1851</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1693</v>
      </c>
      <c r="B79" s="460" t="s">
        <v>1852</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1853</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1739</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1855</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1857</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1858</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3331</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46" t="s">
        <v>1770</v>
      </c>
      <c r="S4" s="3447"/>
      <c r="T4" s="3446" t="s">
        <v>1771</v>
      </c>
      <c r="U4" s="3447"/>
      <c r="V4" s="3422" t="s">
        <v>1772</v>
      </c>
      <c r="W4" s="3422"/>
      <c r="X4" s="1265"/>
      <c r="Y4" s="3446" t="s">
        <v>1774</v>
      </c>
      <c r="Z4" s="3447"/>
      <c r="AA4" s="3433" t="s">
        <v>1770</v>
      </c>
      <c r="AB4" s="3434" t="s">
        <v>1771</v>
      </c>
      <c r="AC4" s="3433" t="s">
        <v>1772</v>
      </c>
    </row>
    <row r="5" spans="1:29">
      <c r="A5" s="348"/>
      <c r="B5" s="349"/>
      <c r="C5" s="3454" t="s">
        <v>1672</v>
      </c>
      <c r="D5" s="3455"/>
      <c r="E5" s="3461" t="s">
        <v>1673</v>
      </c>
      <c r="F5" s="3462"/>
      <c r="G5" s="3454" t="s">
        <v>1674</v>
      </c>
      <c r="H5" s="3455"/>
      <c r="I5" s="3454" t="s">
        <v>1675</v>
      </c>
      <c r="J5" s="3455"/>
      <c r="K5" s="537"/>
      <c r="L5" s="2484"/>
      <c r="M5" s="2485"/>
      <c r="N5" s="2485"/>
      <c r="O5" s="2485"/>
      <c r="P5" s="3442"/>
      <c r="Q5" s="3443"/>
      <c r="R5" s="3448"/>
      <c r="S5" s="3449"/>
      <c r="T5" s="3448"/>
      <c r="U5" s="3449"/>
      <c r="V5" s="3422"/>
      <c r="W5" s="3422"/>
      <c r="X5" s="1265"/>
      <c r="Y5" s="3448"/>
      <c r="Z5" s="3449"/>
      <c r="AA5" s="3434"/>
      <c r="AB5" s="3434"/>
      <c r="AC5" s="3434"/>
    </row>
    <row r="6" spans="1:29" ht="15" thickBot="1">
      <c r="A6" s="350"/>
      <c r="B6" s="351"/>
      <c r="C6" s="3452" t="s">
        <v>1676</v>
      </c>
      <c r="D6" s="3453"/>
      <c r="E6" s="3459" t="s">
        <v>1676</v>
      </c>
      <c r="F6" s="3460"/>
      <c r="G6" s="3452" t="s">
        <v>1676</v>
      </c>
      <c r="H6" s="3453"/>
      <c r="I6" s="3452" t="s">
        <v>1676</v>
      </c>
      <c r="J6" s="3453"/>
      <c r="K6" s="537" t="s">
        <v>1677</v>
      </c>
      <c r="L6" s="2484"/>
      <c r="M6" s="2485"/>
      <c r="N6" s="2485"/>
      <c r="O6" s="2485"/>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56" t="s">
        <v>1679</v>
      </c>
      <c r="Q7" s="3458"/>
      <c r="R7" s="664" t="s">
        <v>14</v>
      </c>
      <c r="S7" s="665">
        <f t="shared" ref="S7:S14" si="0">F7</f>
        <v>0</v>
      </c>
      <c r="T7" s="664" t="s">
        <v>14</v>
      </c>
      <c r="U7" s="665">
        <f t="shared" ref="U7:U14" si="1">H7</f>
        <v>0</v>
      </c>
      <c r="V7" s="664" t="s">
        <v>14</v>
      </c>
      <c r="W7" s="665">
        <f t="shared" ref="W7:W14" si="2">J7</f>
        <v>0</v>
      </c>
      <c r="X7" s="666"/>
      <c r="Y7" s="3456" t="s">
        <v>1679</v>
      </c>
      <c r="Z7" s="3457"/>
      <c r="AA7" s="50" t="e">
        <f>D7/F7</f>
        <v>#DIV/0!</v>
      </c>
      <c r="AB7" s="50" t="e">
        <f>D7/H7</f>
        <v>#DIV/0!</v>
      </c>
      <c r="AC7" s="50" t="e">
        <f>D7/J7</f>
        <v>#DIV/0!</v>
      </c>
    </row>
    <row r="8" spans="1:29" s="102" customFormat="1" ht="14.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56" t="s">
        <v>1682</v>
      </c>
      <c r="Q8" s="3457"/>
      <c r="R8" s="664" t="s">
        <v>14</v>
      </c>
      <c r="S8" s="665">
        <f t="shared" si="0"/>
        <v>100</v>
      </c>
      <c r="T8" s="664" t="s">
        <v>14</v>
      </c>
      <c r="U8" s="665">
        <f t="shared" si="1"/>
        <v>100</v>
      </c>
      <c r="V8" s="664" t="s">
        <v>14</v>
      </c>
      <c r="W8" s="665">
        <f t="shared" si="2"/>
        <v>100</v>
      </c>
      <c r="X8" s="666"/>
      <c r="Y8" s="3456" t="s">
        <v>1682</v>
      </c>
      <c r="Z8" s="345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1" t="s">
        <v>1685</v>
      </c>
      <c r="Q9" s="530" t="str">
        <f t="shared" ref="Q9:Q14" si="6">B9</f>
        <v>用途</v>
      </c>
      <c r="R9" s="664" t="s">
        <v>14</v>
      </c>
      <c r="S9" s="665">
        <f t="shared" si="0"/>
        <v>100</v>
      </c>
      <c r="T9" s="664" t="s">
        <v>14</v>
      </c>
      <c r="U9" s="665">
        <f t="shared" si="1"/>
        <v>100</v>
      </c>
      <c r="V9" s="664" t="s">
        <v>14</v>
      </c>
      <c r="W9" s="665">
        <f t="shared" si="2"/>
        <v>100</v>
      </c>
      <c r="X9" s="666"/>
      <c r="Y9" s="3277" t="s">
        <v>1686</v>
      </c>
      <c r="Z9" s="50" t="str">
        <f t="shared" ref="Z9:Z14" si="7">Q9</f>
        <v>用途</v>
      </c>
      <c r="AA9" s="50">
        <f t="shared" si="3"/>
        <v>1</v>
      </c>
      <c r="AB9" s="50">
        <f t="shared" si="4"/>
        <v>1</v>
      </c>
      <c r="AC9" s="50">
        <f t="shared" si="5"/>
        <v>1</v>
      </c>
    </row>
    <row r="10" spans="1:29" s="366" customFormat="1" ht="28">
      <c r="A10" s="363"/>
      <c r="B10" s="364" t="s">
        <v>1687</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1"/>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1"/>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1"/>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8">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3" t="s">
        <v>1690</v>
      </c>
      <c r="Q14" s="1263" t="str">
        <f t="shared" si="6"/>
        <v>交通便捷度</v>
      </c>
      <c r="R14" s="667" t="s">
        <v>14</v>
      </c>
      <c r="S14" s="668">
        <f t="shared" si="0"/>
        <v>100</v>
      </c>
      <c r="T14" s="667" t="s">
        <v>14</v>
      </c>
      <c r="U14" s="668">
        <f t="shared" si="1"/>
        <v>100</v>
      </c>
      <c r="V14" s="667" t="s">
        <v>14</v>
      </c>
      <c r="W14" s="668">
        <f t="shared" si="2"/>
        <v>100</v>
      </c>
      <c r="X14" s="1265"/>
      <c r="Y14" s="3423" t="s">
        <v>1690</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24"/>
      <c r="Q15" s="1263"/>
      <c r="R15" s="667"/>
      <c r="S15" s="668"/>
      <c r="T15" s="667"/>
      <c r="U15" s="668"/>
      <c r="V15" s="667"/>
      <c r="W15" s="668"/>
      <c r="X15" s="1265"/>
      <c r="Y15" s="3424"/>
      <c r="Z15" s="1264"/>
      <c r="AA15" s="1264">
        <v>1</v>
      </c>
      <c r="AB15" s="1264">
        <v>1</v>
      </c>
      <c r="AC15" s="1264">
        <v>1</v>
      </c>
    </row>
    <row r="16" spans="1:29" ht="42">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24"/>
      <c r="Q17" s="1263"/>
      <c r="R17" s="667"/>
      <c r="S17" s="668"/>
      <c r="T17" s="667"/>
      <c r="U17" s="668"/>
      <c r="V17" s="667"/>
      <c r="W17" s="668"/>
      <c r="X17" s="1265"/>
      <c r="Y17" s="3424"/>
      <c r="Z17" s="1264"/>
      <c r="AA17" s="1264">
        <v>1</v>
      </c>
      <c r="AB17" s="1264">
        <v>1</v>
      </c>
      <c r="AC17" s="1264">
        <v>1</v>
      </c>
    </row>
    <row r="18" spans="1:29" ht="42">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24"/>
      <c r="Q19" s="1263"/>
      <c r="R19" s="667"/>
      <c r="S19" s="668"/>
      <c r="T19" s="667"/>
      <c r="U19" s="668"/>
      <c r="V19" s="667"/>
      <c r="W19" s="668"/>
      <c r="X19" s="1265"/>
      <c r="Y19" s="3424"/>
      <c r="Z19" s="1264"/>
      <c r="AA19" s="1264">
        <v>1</v>
      </c>
      <c r="AB19" s="1264">
        <v>1</v>
      </c>
      <c r="AC19" s="1264">
        <v>1</v>
      </c>
    </row>
    <row r="20" spans="1:29" ht="56">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24"/>
      <c r="Q21" s="1263"/>
      <c r="R21" s="667"/>
      <c r="S21" s="668"/>
      <c r="T21" s="667"/>
      <c r="U21" s="668"/>
      <c r="V21" s="667"/>
      <c r="W21" s="668"/>
      <c r="X21" s="1265"/>
      <c r="Y21" s="3424"/>
      <c r="Z21" s="1264"/>
      <c r="AA21" s="1264">
        <v>1</v>
      </c>
      <c r="AB21" s="1264">
        <v>1</v>
      </c>
      <c r="AC21" s="1264">
        <v>1</v>
      </c>
    </row>
    <row r="22" spans="1:29" ht="15.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4"/>
      <c r="Q24" s="1263">
        <f t="shared" ref="Q24:Q34"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9">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8"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8" t="s">
        <v>1695</v>
      </c>
      <c r="Z26" s="1264" t="str">
        <f t="shared" ref="Z26:Z34" si="15">Q26</f>
        <v>公共部分装修</v>
      </c>
      <c r="AA26" s="1264">
        <f t="shared" si="3"/>
        <v>1</v>
      </c>
      <c r="AB26" s="1264">
        <f t="shared" si="4"/>
        <v>1</v>
      </c>
      <c r="AC26" s="1264">
        <f t="shared" si="5"/>
        <v>1</v>
      </c>
    </row>
    <row r="27" spans="1:29" s="408" customFormat="1" ht="15.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8"/>
      <c r="Q27" s="531" t="str">
        <f t="shared" si="11"/>
        <v>成新率</v>
      </c>
      <c r="R27" s="669" t="s">
        <v>14</v>
      </c>
      <c r="S27" s="670" t="e">
        <f t="shared" si="12"/>
        <v>#N/A</v>
      </c>
      <c r="T27" s="669" t="s">
        <v>14</v>
      </c>
      <c r="U27" s="670" t="e">
        <f t="shared" si="13"/>
        <v>#N/A</v>
      </c>
      <c r="V27" s="669" t="s">
        <v>14</v>
      </c>
      <c r="W27" s="670" t="e">
        <f t="shared" si="14"/>
        <v>#N/A</v>
      </c>
      <c r="X27" s="671"/>
      <c r="Y27" s="3428"/>
      <c r="Z27" s="672" t="str">
        <f t="shared" si="15"/>
        <v>成新率</v>
      </c>
      <c r="AA27" s="1264" t="e">
        <f t="shared" si="3"/>
        <v>#N/A</v>
      </c>
      <c r="AB27" s="1264" t="e">
        <f t="shared" si="4"/>
        <v>#N/A</v>
      </c>
      <c r="AC27" s="1264" t="e">
        <f t="shared" si="5"/>
        <v>#N/A</v>
      </c>
    </row>
    <row r="28" spans="1:29" ht="15.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8"/>
      <c r="Q28" s="1263" t="str">
        <f t="shared" si="11"/>
        <v>物业等级</v>
      </c>
      <c r="R28" s="667" t="s">
        <v>14</v>
      </c>
      <c r="S28" s="668">
        <f t="shared" si="12"/>
        <v>100</v>
      </c>
      <c r="T28" s="667" t="s">
        <v>14</v>
      </c>
      <c r="U28" s="668">
        <f t="shared" si="13"/>
        <v>100</v>
      </c>
      <c r="V28" s="667" t="s">
        <v>14</v>
      </c>
      <c r="W28" s="668">
        <f t="shared" si="14"/>
        <v>100</v>
      </c>
      <c r="X28" s="1265"/>
      <c r="Y28" s="3428"/>
      <c r="Z28" s="1264" t="str">
        <f t="shared" si="15"/>
        <v>物业等级</v>
      </c>
      <c r="AA28" s="1264">
        <f t="shared" si="3"/>
        <v>1</v>
      </c>
      <c r="AB28" s="1264">
        <f t="shared" si="4"/>
        <v>1</v>
      </c>
      <c r="AC28" s="1264">
        <f t="shared" si="5"/>
        <v>1</v>
      </c>
    </row>
    <row r="29" spans="1:29" ht="15.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8"/>
      <c r="Q29" s="1263" t="str">
        <f t="shared" si="11"/>
        <v>有无电梯</v>
      </c>
      <c r="R29" s="667" t="s">
        <v>14</v>
      </c>
      <c r="S29" s="668">
        <f t="shared" si="12"/>
        <v>100</v>
      </c>
      <c r="T29" s="667" t="s">
        <v>14</v>
      </c>
      <c r="U29" s="668">
        <f t="shared" si="13"/>
        <v>100</v>
      </c>
      <c r="V29" s="667" t="s">
        <v>14</v>
      </c>
      <c r="W29" s="668">
        <f t="shared" si="14"/>
        <v>100</v>
      </c>
      <c r="X29" s="1265"/>
      <c r="Y29" s="3428"/>
      <c r="Z29" s="1264" t="str">
        <f t="shared" si="15"/>
        <v>有无电梯</v>
      </c>
      <c r="AA29" s="1264">
        <f t="shared" si="3"/>
        <v>1</v>
      </c>
      <c r="AB29" s="1264">
        <f t="shared" si="4"/>
        <v>1</v>
      </c>
      <c r="AC29" s="1264">
        <f t="shared" si="5"/>
        <v>1</v>
      </c>
    </row>
    <row r="30" spans="1:29" ht="15.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8"/>
      <c r="Q30" s="1263" t="str">
        <f t="shared" si="11"/>
        <v>建筑面积</v>
      </c>
      <c r="R30" s="667" t="s">
        <v>14</v>
      </c>
      <c r="S30" s="668" t="e">
        <f t="shared" si="12"/>
        <v>#N/A</v>
      </c>
      <c r="T30" s="667" t="s">
        <v>14</v>
      </c>
      <c r="U30" s="668" t="e">
        <f t="shared" si="13"/>
        <v>#N/A</v>
      </c>
      <c r="V30" s="667" t="s">
        <v>14</v>
      </c>
      <c r="W30" s="668" t="e">
        <f t="shared" si="14"/>
        <v>#N/A</v>
      </c>
      <c r="X30" s="1265"/>
      <c r="Y30" s="3428"/>
      <c r="Z30" s="1264" t="str">
        <f t="shared" si="15"/>
        <v>建筑面积</v>
      </c>
      <c r="AA30" s="1264" t="e">
        <f t="shared" si="3"/>
        <v>#N/A</v>
      </c>
      <c r="AB30" s="1264" t="e">
        <f t="shared" si="4"/>
        <v>#N/A</v>
      </c>
      <c r="AC30" s="1264" t="e">
        <f t="shared" si="5"/>
        <v>#N/A</v>
      </c>
    </row>
    <row r="31" spans="1:29" s="102" customFormat="1" ht="15.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8"/>
      <c r="Q31" s="530" t="str">
        <f t="shared" si="11"/>
        <v>是否封闭</v>
      </c>
      <c r="R31" s="664" t="s">
        <v>14</v>
      </c>
      <c r="S31" s="665">
        <f t="shared" si="12"/>
        <v>100</v>
      </c>
      <c r="T31" s="664" t="s">
        <v>14</v>
      </c>
      <c r="U31" s="665">
        <f t="shared" si="13"/>
        <v>100</v>
      </c>
      <c r="V31" s="664" t="s">
        <v>14</v>
      </c>
      <c r="W31" s="665">
        <f t="shared" si="14"/>
        <v>100</v>
      </c>
      <c r="X31" s="666"/>
      <c r="Y31" s="342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8" t="s">
        <v>1695</v>
      </c>
      <c r="Q32" s="1263">
        <f t="shared" si="11"/>
        <v>111</v>
      </c>
      <c r="R32" s="667" t="s">
        <v>14</v>
      </c>
      <c r="S32" s="668">
        <f t="shared" si="12"/>
        <v>100</v>
      </c>
      <c r="T32" s="667" t="s">
        <v>14</v>
      </c>
      <c r="U32" s="668">
        <f t="shared" si="13"/>
        <v>100</v>
      </c>
      <c r="V32" s="667" t="s">
        <v>14</v>
      </c>
      <c r="W32" s="668">
        <f t="shared" si="14"/>
        <v>100</v>
      </c>
      <c r="X32" s="1265"/>
      <c r="Y32" s="3428" t="s">
        <v>1695</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8"/>
      <c r="Q33" s="1263">
        <f t="shared" si="11"/>
        <v>111</v>
      </c>
      <c r="R33" s="667" t="s">
        <v>14</v>
      </c>
      <c r="S33" s="668">
        <f t="shared" si="12"/>
        <v>100</v>
      </c>
      <c r="T33" s="667" t="s">
        <v>14</v>
      </c>
      <c r="U33" s="668">
        <f t="shared" si="13"/>
        <v>100</v>
      </c>
      <c r="V33" s="667" t="s">
        <v>14</v>
      </c>
      <c r="W33" s="668">
        <f t="shared" si="14"/>
        <v>100</v>
      </c>
      <c r="X33" s="1265"/>
      <c r="Y33" s="342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30">
      <c r="A35" s="416" t="s">
        <v>1707</v>
      </c>
      <c r="B35" s="417"/>
      <c r="C35" s="1081" t="s">
        <v>0</v>
      </c>
      <c r="D35" s="418"/>
      <c r="E35" s="419"/>
      <c r="F35" s="420"/>
      <c r="G35" s="421"/>
      <c r="H35" s="422"/>
      <c r="I35" s="419"/>
      <c r="J35" s="422"/>
      <c r="K35" s="674"/>
      <c r="L35" s="2492"/>
      <c r="M35" s="2485"/>
      <c r="N35" s="2485"/>
      <c r="O35" s="2485"/>
      <c r="P35" s="3421" t="str">
        <f>A35</f>
        <v>成交单价（元/平方米）</v>
      </c>
      <c r="Q35" s="3421"/>
      <c r="R35" s="3422">
        <f>E35</f>
        <v>0</v>
      </c>
      <c r="S35" s="3422"/>
      <c r="T35" s="3422">
        <f>G35</f>
        <v>0</v>
      </c>
      <c r="U35" s="3422"/>
      <c r="V35" s="3422">
        <f>I35</f>
        <v>0</v>
      </c>
      <c r="W35" s="3422"/>
      <c r="X35" s="385"/>
      <c r="Y35" s="673"/>
      <c r="Z35" s="385"/>
      <c r="AA35" s="385"/>
      <c r="AB35" s="385"/>
      <c r="AC35" s="385"/>
    </row>
    <row r="36" spans="1:30" ht="14.5" thickBot="1">
      <c r="A36" s="423" t="s">
        <v>1792</v>
      </c>
      <c r="B36" s="424"/>
      <c r="C36" s="1082" t="e">
        <f>R37</f>
        <v>#DIV/0!</v>
      </c>
      <c r="D36" s="2140" t="s">
        <v>2137</v>
      </c>
      <c r="E36" s="1083" t="e">
        <f>R36</f>
        <v>#DIV/0!</v>
      </c>
      <c r="F36" s="2141"/>
      <c r="G36" s="1082" t="e">
        <f>T36</f>
        <v>#DIV/0!</v>
      </c>
      <c r="H36" s="2141"/>
      <c r="I36" s="1083" t="e">
        <f>V36</f>
        <v>#DIV/0!</v>
      </c>
      <c r="J36" s="2141"/>
      <c r="K36" s="2143">
        <f>F36+H36+J36</f>
        <v>0</v>
      </c>
      <c r="L36" s="2492"/>
      <c r="M36" s="2485"/>
      <c r="N36" s="2485"/>
      <c r="O36" s="2485"/>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4.5" thickBot="1">
      <c r="A37" s="427" t="s">
        <v>1793</v>
      </c>
      <c r="B37" s="428"/>
      <c r="C37" s="351" t="e">
        <f>R37</f>
        <v>#DIV/0!</v>
      </c>
      <c r="D37" s="351"/>
      <c r="E37" s="351"/>
      <c r="F37" s="351"/>
      <c r="G37" s="351"/>
      <c r="H37" s="351"/>
      <c r="I37" s="351"/>
      <c r="J37" s="351"/>
      <c r="K37" s="675"/>
      <c r="L37" s="2492"/>
      <c r="M37" s="2485"/>
      <c r="N37" s="2485"/>
      <c r="O37" s="2485"/>
      <c r="P37" s="3418" t="str">
        <f>A37</f>
        <v>估价对象XX用房的比较价值（楼面单价，元/平方米）</v>
      </c>
      <c r="Q37" s="3419"/>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1797</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1678</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1715</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1680</v>
      </c>
      <c r="B49" s="444"/>
      <c r="C49" s="456" t="s">
        <v>1775</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1718</v>
      </c>
      <c r="B51" s="460" t="s">
        <v>1684</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1687</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1689</v>
      </c>
      <c r="B61" s="460" t="s">
        <v>1725</v>
      </c>
      <c r="C61" s="504" t="s">
        <v>1720</v>
      </c>
      <c r="D61" s="504" t="s">
        <v>1721</v>
      </c>
      <c r="E61" s="504" t="s">
        <v>1722</v>
      </c>
      <c r="F61" s="504" t="s">
        <v>1723</v>
      </c>
      <c r="G61" s="504" t="s">
        <v>1724</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1862</v>
      </c>
      <c r="C63" s="509" t="s">
        <v>1720</v>
      </c>
      <c r="D63" s="509" t="s">
        <v>1721</v>
      </c>
      <c r="E63" s="509" t="s">
        <v>1722</v>
      </c>
      <c r="F63" s="509" t="s">
        <v>1723</v>
      </c>
      <c r="G63" s="509" t="s">
        <v>1724</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1812</v>
      </c>
      <c r="C65" s="581" t="s">
        <v>1798</v>
      </c>
      <c r="D65" s="581" t="s">
        <v>1799</v>
      </c>
      <c r="E65" s="581" t="s">
        <v>1800</v>
      </c>
      <c r="F65" s="581" t="s">
        <v>1801</v>
      </c>
      <c r="G65" s="581" t="s">
        <v>1802</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1732</v>
      </c>
      <c r="C67" s="509" t="s">
        <v>1720</v>
      </c>
      <c r="D67" s="509" t="s">
        <v>1721</v>
      </c>
      <c r="E67" s="509" t="s">
        <v>1722</v>
      </c>
      <c r="F67" s="509" t="s">
        <v>1723</v>
      </c>
      <c r="G67" s="509" t="s">
        <v>1724</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1851</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1693</v>
      </c>
      <c r="B77" s="460" t="s">
        <v>1739</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1855</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1863</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1865</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46" t="s">
        <v>1770</v>
      </c>
      <c r="S4" s="3447"/>
      <c r="T4" s="3446" t="s">
        <v>1771</v>
      </c>
      <c r="U4" s="3447"/>
      <c r="V4" s="3422" t="s">
        <v>1772</v>
      </c>
      <c r="W4" s="3422"/>
      <c r="X4" s="1265"/>
      <c r="Y4" s="3446" t="s">
        <v>1774</v>
      </c>
      <c r="Z4" s="3447"/>
      <c r="AA4" s="3433" t="s">
        <v>1770</v>
      </c>
      <c r="AB4" s="3434" t="s">
        <v>1771</v>
      </c>
      <c r="AC4" s="3433" t="s">
        <v>1772</v>
      </c>
    </row>
    <row r="5" spans="1:29">
      <c r="A5" s="348"/>
      <c r="B5" s="349"/>
      <c r="C5" s="3454" t="s">
        <v>1672</v>
      </c>
      <c r="D5" s="3455"/>
      <c r="E5" s="3461" t="s">
        <v>1673</v>
      </c>
      <c r="F5" s="3462"/>
      <c r="G5" s="3454" t="s">
        <v>1674</v>
      </c>
      <c r="H5" s="3455"/>
      <c r="I5" s="3454" t="s">
        <v>1675</v>
      </c>
      <c r="J5" s="3455"/>
      <c r="K5" s="537"/>
      <c r="L5" s="2484"/>
      <c r="M5" s="2485"/>
      <c r="N5" s="2485"/>
      <c r="O5" s="2485"/>
      <c r="P5" s="3442"/>
      <c r="Q5" s="3443"/>
      <c r="R5" s="3448"/>
      <c r="S5" s="3449"/>
      <c r="T5" s="3448"/>
      <c r="U5" s="3449"/>
      <c r="V5" s="3422"/>
      <c r="W5" s="3422"/>
      <c r="X5" s="1265"/>
      <c r="Y5" s="3448"/>
      <c r="Z5" s="3449"/>
      <c r="AA5" s="3434"/>
      <c r="AB5" s="3434"/>
      <c r="AC5" s="3434"/>
    </row>
    <row r="6" spans="1:29" ht="15" thickBot="1">
      <c r="A6" s="350"/>
      <c r="B6" s="351"/>
      <c r="C6" s="3452" t="s">
        <v>1676</v>
      </c>
      <c r="D6" s="3453"/>
      <c r="E6" s="3459" t="s">
        <v>1676</v>
      </c>
      <c r="F6" s="3460"/>
      <c r="G6" s="3452" t="s">
        <v>1676</v>
      </c>
      <c r="H6" s="3453"/>
      <c r="I6" s="3452" t="s">
        <v>1676</v>
      </c>
      <c r="J6" s="3453"/>
      <c r="K6" s="537" t="s">
        <v>1677</v>
      </c>
      <c r="L6" s="2484"/>
      <c r="M6" s="2485"/>
      <c r="N6" s="2485"/>
      <c r="O6" s="2485"/>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6" t="s">
        <v>1679</v>
      </c>
      <c r="Q7" s="3458"/>
      <c r="R7" s="664" t="s">
        <v>14</v>
      </c>
      <c r="S7" s="665">
        <f t="shared" ref="S7:S15" si="0">F7</f>
        <v>0</v>
      </c>
      <c r="T7" s="664" t="s">
        <v>14</v>
      </c>
      <c r="U7" s="665">
        <f t="shared" ref="U7:U15" si="1">H7</f>
        <v>0</v>
      </c>
      <c r="V7" s="664" t="s">
        <v>14</v>
      </c>
      <c r="W7" s="665">
        <f t="shared" ref="W7:W15" si="2">J7</f>
        <v>0</v>
      </c>
      <c r="X7" s="666"/>
      <c r="Y7" s="3456" t="s">
        <v>1679</v>
      </c>
      <c r="Z7" s="3457"/>
      <c r="AA7" s="50" t="e">
        <f>D7/F7</f>
        <v>#DIV/0!</v>
      </c>
      <c r="AB7" s="50" t="e">
        <f>D7/H7</f>
        <v>#DIV/0!</v>
      </c>
      <c r="AC7" s="50" t="e">
        <f>D7/J7</f>
        <v>#DIV/0!</v>
      </c>
    </row>
    <row r="8" spans="1:29" s="102" customFormat="1" ht="14.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6" t="s">
        <v>1682</v>
      </c>
      <c r="Q8" s="3457"/>
      <c r="R8" s="664" t="s">
        <v>14</v>
      </c>
      <c r="S8" s="665">
        <f t="shared" si="0"/>
        <v>0</v>
      </c>
      <c r="T8" s="664" t="s">
        <v>14</v>
      </c>
      <c r="U8" s="665">
        <f t="shared" si="1"/>
        <v>0</v>
      </c>
      <c r="V8" s="664" t="s">
        <v>14</v>
      </c>
      <c r="W8" s="665">
        <f t="shared" si="2"/>
        <v>0</v>
      </c>
      <c r="X8" s="666"/>
      <c r="Y8" s="3456" t="s">
        <v>1682</v>
      </c>
      <c r="Z8" s="3457"/>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1"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50">
        <f t="shared" si="5"/>
        <v>1</v>
      </c>
    </row>
    <row r="10" spans="1:29" s="366" customFormat="1" ht="28">
      <c r="A10" s="363"/>
      <c r="B10" s="364" t="s">
        <v>1687</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21"/>
      <c r="Q10" s="530" t="str">
        <f t="shared" si="6"/>
        <v>土地使用年限（年）</v>
      </c>
      <c r="R10" s="664" t="s">
        <v>14</v>
      </c>
      <c r="S10" s="665" t="e">
        <f t="shared" si="0"/>
        <v>#DIV/0!</v>
      </c>
      <c r="T10" s="664" t="s">
        <v>14</v>
      </c>
      <c r="U10" s="665" t="e">
        <f t="shared" si="1"/>
        <v>#DIV/0!</v>
      </c>
      <c r="V10" s="664" t="s">
        <v>14</v>
      </c>
      <c r="W10" s="665" t="e">
        <f t="shared" si="2"/>
        <v>#DIV/0!</v>
      </c>
      <c r="X10" s="666"/>
      <c r="Y10" s="3277"/>
      <c r="Z10" s="50" t="str">
        <f t="shared" si="7"/>
        <v>土地使用年限（年）</v>
      </c>
      <c r="AA10" s="50" t="e">
        <f t="shared" si="3"/>
        <v>#DIV/0!</v>
      </c>
      <c r="AB10" s="50" t="e">
        <f t="shared" si="4"/>
        <v>#DIV/0!</v>
      </c>
      <c r="AC10" s="50" t="e">
        <f t="shared" si="5"/>
        <v>#DIV/0!</v>
      </c>
    </row>
    <row r="11" spans="1:29" ht="15.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1"/>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1"/>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1"/>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98">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3" t="s">
        <v>1690</v>
      </c>
      <c r="Q15" s="1263" t="str">
        <f t="shared" si="6"/>
        <v>居住社区成熟度</v>
      </c>
      <c r="R15" s="667" t="s">
        <v>14</v>
      </c>
      <c r="S15" s="668">
        <f t="shared" si="0"/>
        <v>100</v>
      </c>
      <c r="T15" s="667" t="s">
        <v>14</v>
      </c>
      <c r="U15" s="668">
        <f t="shared" si="1"/>
        <v>100</v>
      </c>
      <c r="V15" s="667" t="s">
        <v>14</v>
      </c>
      <c r="W15" s="668">
        <f t="shared" si="2"/>
        <v>100</v>
      </c>
      <c r="X15" s="1265"/>
      <c r="Y15" s="3423" t="s">
        <v>1690</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24"/>
      <c r="Q16" s="1263"/>
      <c r="R16" s="667"/>
      <c r="S16" s="668"/>
      <c r="T16" s="667"/>
      <c r="U16" s="668"/>
      <c r="V16" s="667"/>
      <c r="W16" s="668"/>
      <c r="X16" s="1265"/>
      <c r="Y16" s="3424"/>
      <c r="Z16" s="1264"/>
      <c r="AA16" s="1264">
        <v>1</v>
      </c>
      <c r="AB16" s="1264">
        <v>1</v>
      </c>
      <c r="AC16" s="1264">
        <v>1</v>
      </c>
    </row>
    <row r="17" spans="1:29" ht="84">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4"/>
      <c r="Q17" s="1263" t="str">
        <f>B17</f>
        <v>商业繁华度</v>
      </c>
      <c r="R17" s="667" t="s">
        <v>14</v>
      </c>
      <c r="S17" s="668">
        <f>F17</f>
        <v>100</v>
      </c>
      <c r="T17" s="667" t="s">
        <v>14</v>
      </c>
      <c r="U17" s="668">
        <f>H17</f>
        <v>100</v>
      </c>
      <c r="V17" s="667" t="s">
        <v>14</v>
      </c>
      <c r="W17" s="668">
        <f>J17</f>
        <v>100</v>
      </c>
      <c r="X17" s="1265"/>
      <c r="Y17" s="342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24"/>
      <c r="Q18" s="1263"/>
      <c r="R18" s="667"/>
      <c r="S18" s="668"/>
      <c r="T18" s="667"/>
      <c r="U18" s="668"/>
      <c r="V18" s="667"/>
      <c r="W18" s="668"/>
      <c r="X18" s="1265"/>
      <c r="Y18" s="3424"/>
      <c r="Z18" s="1264"/>
      <c r="AA18" s="1264">
        <v>1</v>
      </c>
      <c r="AB18" s="1264">
        <v>1</v>
      </c>
      <c r="AC18" s="1264">
        <v>1</v>
      </c>
    </row>
    <row r="19" spans="1:29" ht="84">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4"/>
      <c r="Q19" s="1263" t="str">
        <f>B19</f>
        <v>办公集聚程度</v>
      </c>
      <c r="R19" s="667" t="s">
        <v>14</v>
      </c>
      <c r="S19" s="668">
        <f>F19</f>
        <v>100</v>
      </c>
      <c r="T19" s="667" t="s">
        <v>14</v>
      </c>
      <c r="U19" s="668">
        <f>H19</f>
        <v>100</v>
      </c>
      <c r="V19" s="667" t="s">
        <v>14</v>
      </c>
      <c r="W19" s="668">
        <f>J19</f>
        <v>100</v>
      </c>
      <c r="X19" s="1265"/>
      <c r="Y19" s="342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24"/>
      <c r="Q20" s="1263"/>
      <c r="R20" s="667"/>
      <c r="S20" s="668"/>
      <c r="T20" s="667"/>
      <c r="U20" s="668"/>
      <c r="V20" s="667"/>
      <c r="W20" s="668"/>
      <c r="X20" s="1265"/>
      <c r="Y20" s="3424"/>
      <c r="Z20" s="1264"/>
      <c r="AA20" s="1264">
        <v>1</v>
      </c>
      <c r="AB20" s="1264">
        <v>1</v>
      </c>
      <c r="AC20" s="1264">
        <v>1</v>
      </c>
    </row>
    <row r="21" spans="1:29" ht="98">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4"/>
      <c r="Q21" s="1263" t="str">
        <f>B21</f>
        <v>交通便捷度</v>
      </c>
      <c r="R21" s="667" t="s">
        <v>14</v>
      </c>
      <c r="S21" s="668">
        <f>F21</f>
        <v>100</v>
      </c>
      <c r="T21" s="667" t="s">
        <v>14</v>
      </c>
      <c r="U21" s="668">
        <f>H21</f>
        <v>100</v>
      </c>
      <c r="V21" s="667" t="s">
        <v>14</v>
      </c>
      <c r="W21" s="668">
        <f>J21</f>
        <v>100</v>
      </c>
      <c r="X21" s="1265"/>
      <c r="Y21" s="342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24"/>
      <c r="Q22" s="1263"/>
      <c r="R22" s="667"/>
      <c r="S22" s="668"/>
      <c r="T22" s="667"/>
      <c r="U22" s="668"/>
      <c r="V22" s="667"/>
      <c r="W22" s="668"/>
      <c r="X22" s="1265"/>
      <c r="Y22" s="3424"/>
      <c r="Z22" s="1264"/>
      <c r="AA22" s="1264">
        <v>1</v>
      </c>
      <c r="AB22" s="1264">
        <v>1</v>
      </c>
      <c r="AC22" s="1264">
        <v>1</v>
      </c>
    </row>
    <row r="23" spans="1:29" ht="2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4"/>
      <c r="Q23" s="1263" t="str">
        <f t="shared" ref="Q23:Q37" si="8">B23</f>
        <v>区域土地利用方向</v>
      </c>
      <c r="R23" s="667" t="s">
        <v>14</v>
      </c>
      <c r="S23" s="668">
        <f>F23</f>
        <v>100</v>
      </c>
      <c r="T23" s="667" t="s">
        <v>14</v>
      </c>
      <c r="U23" s="668">
        <f>H23</f>
        <v>100</v>
      </c>
      <c r="V23" s="667" t="s">
        <v>14</v>
      </c>
      <c r="W23" s="668">
        <f>J23</f>
        <v>100</v>
      </c>
      <c r="X23" s="1265"/>
      <c r="Y23" s="342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24"/>
      <c r="Q24" s="1263"/>
      <c r="R24" s="667"/>
      <c r="S24" s="668"/>
      <c r="T24" s="667"/>
      <c r="U24" s="668"/>
      <c r="V24" s="667"/>
      <c r="W24" s="668"/>
      <c r="X24" s="1265"/>
      <c r="Y24" s="3424"/>
      <c r="Z24" s="1264"/>
      <c r="AA24" s="1264"/>
      <c r="AB24" s="1264"/>
      <c r="AC24" s="1264"/>
    </row>
    <row r="25" spans="1:29" ht="56">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4"/>
      <c r="Q25" s="1263" t="str">
        <f t="shared" si="8"/>
        <v>自然及人文环境状况</v>
      </c>
      <c r="R25" s="667" t="s">
        <v>14</v>
      </c>
      <c r="S25" s="668">
        <f>F25</f>
        <v>100</v>
      </c>
      <c r="T25" s="667" t="s">
        <v>14</v>
      </c>
      <c r="U25" s="668">
        <f>H25</f>
        <v>100</v>
      </c>
      <c r="V25" s="667" t="s">
        <v>14</v>
      </c>
      <c r="W25" s="668">
        <f>J25</f>
        <v>100</v>
      </c>
      <c r="X25" s="1265"/>
      <c r="Y25" s="342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24"/>
      <c r="Q26" s="1263"/>
      <c r="R26" s="667"/>
      <c r="S26" s="668"/>
      <c r="T26" s="667"/>
      <c r="U26" s="668"/>
      <c r="V26" s="667"/>
      <c r="W26" s="668"/>
      <c r="X26" s="1265"/>
      <c r="Y26" s="3424"/>
      <c r="Z26" s="1264"/>
      <c r="AA26" s="1264">
        <v>1</v>
      </c>
      <c r="AB26" s="1264">
        <v>1</v>
      </c>
      <c r="AC26" s="1264">
        <v>1</v>
      </c>
    </row>
    <row r="27" spans="1:29" s="102" customFormat="1" ht="42">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4"/>
      <c r="Q27" s="530" t="str">
        <f t="shared" si="8"/>
        <v>公共配套设施</v>
      </c>
      <c r="R27" s="664" t="s">
        <v>14</v>
      </c>
      <c r="S27" s="665">
        <f>F27</f>
        <v>100</v>
      </c>
      <c r="T27" s="664" t="s">
        <v>14</v>
      </c>
      <c r="U27" s="665">
        <f>H27</f>
        <v>100</v>
      </c>
      <c r="V27" s="664" t="s">
        <v>14</v>
      </c>
      <c r="W27" s="665">
        <f>J27</f>
        <v>100</v>
      </c>
      <c r="X27" s="666"/>
      <c r="Y27" s="342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24"/>
      <c r="Q28" s="530"/>
      <c r="R28" s="664"/>
      <c r="S28" s="665"/>
      <c r="T28" s="664"/>
      <c r="U28" s="665"/>
      <c r="V28" s="664"/>
      <c r="W28" s="665"/>
      <c r="X28" s="666"/>
      <c r="Y28" s="3424"/>
      <c r="Z28" s="50"/>
      <c r="AA28" s="1264">
        <v>1</v>
      </c>
      <c r="AB28" s="1264">
        <v>1</v>
      </c>
      <c r="AC28" s="1264">
        <v>1</v>
      </c>
    </row>
    <row r="29" spans="1:29" s="102" customFormat="1" ht="42">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4"/>
      <c r="Q29" s="530" t="str">
        <f t="shared" ref="Q29" si="9">B29</f>
        <v>基础设施水平</v>
      </c>
      <c r="R29" s="664" t="s">
        <v>14</v>
      </c>
      <c r="S29" s="665">
        <f>F29</f>
        <v>100</v>
      </c>
      <c r="T29" s="664" t="s">
        <v>14</v>
      </c>
      <c r="U29" s="665">
        <f>H29</f>
        <v>100</v>
      </c>
      <c r="V29" s="664" t="s">
        <v>14</v>
      </c>
      <c r="W29" s="665">
        <f>J29</f>
        <v>100</v>
      </c>
      <c r="X29" s="666"/>
      <c r="Y29" s="342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24"/>
      <c r="Q30" s="530"/>
      <c r="R30" s="664"/>
      <c r="S30" s="665"/>
      <c r="T30" s="664"/>
      <c r="U30" s="665"/>
      <c r="V30" s="664"/>
      <c r="W30" s="665"/>
      <c r="X30" s="666"/>
      <c r="Y30" s="3424"/>
      <c r="Z30" s="50"/>
      <c r="AA30" s="1264">
        <v>1</v>
      </c>
      <c r="AB30" s="1264">
        <v>1</v>
      </c>
      <c r="AC30" s="1264">
        <v>1</v>
      </c>
    </row>
    <row r="31" spans="1:29" ht="15.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4"/>
      <c r="Z31" s="1264" t="str">
        <f t="shared" ref="Z31:Z45" si="13">Q31</f>
        <v>临街状况</v>
      </c>
      <c r="AA31" s="1264">
        <f t="shared" si="3"/>
        <v>1</v>
      </c>
      <c r="AB31" s="1264">
        <f t="shared" si="4"/>
        <v>1</v>
      </c>
      <c r="AC31" s="1264">
        <f t="shared" si="5"/>
        <v>1</v>
      </c>
    </row>
    <row r="32" spans="1:29" ht="2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4"/>
      <c r="Q32" s="1263" t="str">
        <f t="shared" si="8"/>
        <v>毗邻道路的类型与等级</v>
      </c>
      <c r="R32" s="667" t="s">
        <v>14</v>
      </c>
      <c r="S32" s="668">
        <f t="shared" si="10"/>
        <v>100</v>
      </c>
      <c r="T32" s="667" t="s">
        <v>14</v>
      </c>
      <c r="U32" s="668">
        <f t="shared" si="11"/>
        <v>100</v>
      </c>
      <c r="V32" s="667" t="s">
        <v>14</v>
      </c>
      <c r="W32" s="668">
        <f t="shared" si="12"/>
        <v>100</v>
      </c>
      <c r="X32" s="1265"/>
      <c r="Y32" s="342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24"/>
      <c r="Q33" s="1263"/>
      <c r="R33" s="667"/>
      <c r="S33" s="668"/>
      <c r="T33" s="667"/>
      <c r="U33" s="668"/>
      <c r="V33" s="667"/>
      <c r="W33" s="668"/>
      <c r="X33" s="1265"/>
      <c r="Y33" s="3424"/>
      <c r="Z33" s="1264"/>
      <c r="AA33" s="1264">
        <v>1</v>
      </c>
      <c r="AB33" s="1264">
        <v>1</v>
      </c>
      <c r="AC33" s="1264">
        <v>1</v>
      </c>
    </row>
    <row r="34" spans="1:29" ht="15.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4"/>
      <c r="Q34" s="1263" t="str">
        <f t="shared" si="8"/>
        <v>土地级别</v>
      </c>
      <c r="R34" s="667" t="s">
        <v>14</v>
      </c>
      <c r="S34" s="668">
        <f t="shared" si="10"/>
        <v>100</v>
      </c>
      <c r="T34" s="667" t="s">
        <v>14</v>
      </c>
      <c r="U34" s="668">
        <f t="shared" si="11"/>
        <v>100</v>
      </c>
      <c r="V34" s="667" t="s">
        <v>14</v>
      </c>
      <c r="W34" s="668">
        <f t="shared" si="12"/>
        <v>100</v>
      </c>
      <c r="X34" s="1265"/>
      <c r="Y34" s="342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4"/>
      <c r="Q35" s="1263">
        <f t="shared" si="8"/>
        <v>111</v>
      </c>
      <c r="R35" s="667" t="s">
        <v>14</v>
      </c>
      <c r="S35" s="668">
        <f t="shared" si="10"/>
        <v>100</v>
      </c>
      <c r="T35" s="667" t="s">
        <v>14</v>
      </c>
      <c r="U35" s="668">
        <f t="shared" si="11"/>
        <v>100</v>
      </c>
      <c r="V35" s="667" t="s">
        <v>14</v>
      </c>
      <c r="W35" s="668">
        <f t="shared" si="12"/>
        <v>100</v>
      </c>
      <c r="X35" s="1265"/>
      <c r="Y35" s="342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8" t="s">
        <v>1695</v>
      </c>
      <c r="Q36" s="1263">
        <f t="shared" si="8"/>
        <v>111</v>
      </c>
      <c r="R36" s="667" t="s">
        <v>14</v>
      </c>
      <c r="S36" s="668">
        <f t="shared" si="10"/>
        <v>100</v>
      </c>
      <c r="T36" s="667" t="s">
        <v>14</v>
      </c>
      <c r="U36" s="668">
        <f t="shared" si="11"/>
        <v>100</v>
      </c>
      <c r="V36" s="667" t="s">
        <v>14</v>
      </c>
      <c r="W36" s="668">
        <f t="shared" si="12"/>
        <v>100</v>
      </c>
      <c r="X36" s="1265"/>
      <c r="Y36" s="3428" t="s">
        <v>1695</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8"/>
      <c r="Q37" s="1263">
        <f t="shared" si="8"/>
        <v>111</v>
      </c>
      <c r="R37" s="669" t="s">
        <v>14</v>
      </c>
      <c r="S37" s="670">
        <f t="shared" si="10"/>
        <v>100</v>
      </c>
      <c r="T37" s="669" t="s">
        <v>14</v>
      </c>
      <c r="U37" s="670">
        <f t="shared" si="11"/>
        <v>100</v>
      </c>
      <c r="V37" s="669" t="s">
        <v>14</v>
      </c>
      <c r="W37" s="670">
        <f t="shared" si="12"/>
        <v>100</v>
      </c>
      <c r="X37" s="671"/>
      <c r="Y37" s="3428"/>
      <c r="Z37" s="672">
        <f t="shared" si="13"/>
        <v>111</v>
      </c>
      <c r="AA37" s="1264">
        <f t="shared" si="3"/>
        <v>1</v>
      </c>
      <c r="AB37" s="1264">
        <f t="shared" si="4"/>
        <v>1</v>
      </c>
      <c r="AC37" s="1264">
        <f t="shared" si="5"/>
        <v>1</v>
      </c>
    </row>
    <row r="38" spans="1:29" ht="15.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8"/>
      <c r="Q38" s="1263" t="str">
        <f>B38</f>
        <v>宗地面积</v>
      </c>
      <c r="R38" s="667" t="s">
        <v>14</v>
      </c>
      <c r="S38" s="668" t="e">
        <f t="shared" si="10"/>
        <v>#N/A</v>
      </c>
      <c r="T38" s="667" t="s">
        <v>14</v>
      </c>
      <c r="U38" s="668" t="e">
        <f t="shared" si="11"/>
        <v>#N/A</v>
      </c>
      <c r="V38" s="667" t="s">
        <v>14</v>
      </c>
      <c r="W38" s="668" t="e">
        <f t="shared" si="12"/>
        <v>#N/A</v>
      </c>
      <c r="X38" s="1265"/>
      <c r="Y38" s="3428"/>
      <c r="Z38" s="1264" t="str">
        <f t="shared" si="13"/>
        <v>宗地面积</v>
      </c>
      <c r="AA38" s="1264" t="e">
        <f t="shared" si="3"/>
        <v>#N/A</v>
      </c>
      <c r="AB38" s="1264" t="e">
        <f t="shared" si="4"/>
        <v>#N/A</v>
      </c>
      <c r="AC38" s="1264" t="e">
        <f t="shared" si="5"/>
        <v>#N/A</v>
      </c>
    </row>
    <row r="39" spans="1:29" ht="15.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8"/>
      <c r="Q39" s="1263" t="str">
        <f t="shared" ref="Q39:Q45" si="14">B39</f>
        <v>宗地形状</v>
      </c>
      <c r="R39" s="667" t="s">
        <v>14</v>
      </c>
      <c r="S39" s="668">
        <f t="shared" si="10"/>
        <v>100</v>
      </c>
      <c r="T39" s="667" t="s">
        <v>14</v>
      </c>
      <c r="U39" s="668">
        <f t="shared" si="11"/>
        <v>100</v>
      </c>
      <c r="V39" s="667" t="s">
        <v>14</v>
      </c>
      <c r="W39" s="668">
        <f t="shared" si="12"/>
        <v>100</v>
      </c>
      <c r="X39" s="1265"/>
      <c r="Y39" s="3428"/>
      <c r="Z39" s="1264" t="str">
        <f t="shared" si="13"/>
        <v>宗地形状</v>
      </c>
      <c r="AA39" s="1264">
        <f t="shared" si="3"/>
        <v>1</v>
      </c>
      <c r="AB39" s="1264">
        <f t="shared" si="4"/>
        <v>1</v>
      </c>
      <c r="AC39" s="1264">
        <f t="shared" si="5"/>
        <v>1</v>
      </c>
    </row>
    <row r="40" spans="1:29" ht="15.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8"/>
      <c r="Q40" s="1263" t="str">
        <f t="shared" si="14"/>
        <v>临街宽度及深度</v>
      </c>
      <c r="R40" s="667" t="s">
        <v>14</v>
      </c>
      <c r="S40" s="668">
        <f t="shared" si="10"/>
        <v>100</v>
      </c>
      <c r="T40" s="667" t="s">
        <v>14</v>
      </c>
      <c r="U40" s="668">
        <f t="shared" si="11"/>
        <v>100</v>
      </c>
      <c r="V40" s="667" t="s">
        <v>14</v>
      </c>
      <c r="W40" s="668">
        <f t="shared" si="12"/>
        <v>100</v>
      </c>
      <c r="X40" s="1265"/>
      <c r="Y40" s="3428"/>
      <c r="Z40" s="1264" t="str">
        <f t="shared" si="13"/>
        <v>临街宽度及深度</v>
      </c>
      <c r="AA40" s="1264">
        <f t="shared" si="3"/>
        <v>1</v>
      </c>
      <c r="AB40" s="1264">
        <f t="shared" si="4"/>
        <v>1</v>
      </c>
      <c r="AC40" s="1264">
        <f t="shared" si="5"/>
        <v>1</v>
      </c>
    </row>
    <row r="41" spans="1:29" s="102" customFormat="1" ht="15.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8"/>
      <c r="Q41" s="1263" t="str">
        <f t="shared" si="14"/>
        <v>宗地开发程度</v>
      </c>
      <c r="R41" s="664" t="s">
        <v>14</v>
      </c>
      <c r="S41" s="665">
        <f t="shared" si="10"/>
        <v>100</v>
      </c>
      <c r="T41" s="664" t="s">
        <v>14</v>
      </c>
      <c r="U41" s="665">
        <f t="shared" si="11"/>
        <v>100</v>
      </c>
      <c r="V41" s="664" t="s">
        <v>14</v>
      </c>
      <c r="W41" s="665">
        <f t="shared" si="12"/>
        <v>100</v>
      </c>
      <c r="X41" s="666"/>
      <c r="Y41" s="3428"/>
      <c r="Z41" s="50" t="str">
        <f t="shared" si="13"/>
        <v>宗地开发程度</v>
      </c>
      <c r="AA41" s="50">
        <f t="shared" si="3"/>
        <v>1</v>
      </c>
      <c r="AB41" s="50">
        <f t="shared" si="4"/>
        <v>1</v>
      </c>
      <c r="AC41" s="50">
        <f t="shared" si="5"/>
        <v>1</v>
      </c>
    </row>
    <row r="42" spans="1:29" ht="15.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8" t="s">
        <v>1695</v>
      </c>
      <c r="Q42" s="1263" t="str">
        <f t="shared" si="14"/>
        <v>工程地质条件</v>
      </c>
      <c r="R42" s="667" t="s">
        <v>14</v>
      </c>
      <c r="S42" s="668">
        <f t="shared" si="10"/>
        <v>100</v>
      </c>
      <c r="T42" s="667" t="s">
        <v>14</v>
      </c>
      <c r="U42" s="668">
        <f t="shared" si="11"/>
        <v>100</v>
      </c>
      <c r="V42" s="667" t="s">
        <v>14</v>
      </c>
      <c r="W42" s="668">
        <f t="shared" si="12"/>
        <v>100</v>
      </c>
      <c r="X42" s="1265"/>
      <c r="Y42" s="3428" t="s">
        <v>1695</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8"/>
      <c r="Q43" s="1263">
        <f t="shared" si="14"/>
        <v>111</v>
      </c>
      <c r="R43" s="667" t="s">
        <v>14</v>
      </c>
      <c r="S43" s="668">
        <f t="shared" si="10"/>
        <v>100</v>
      </c>
      <c r="T43" s="667" t="s">
        <v>14</v>
      </c>
      <c r="U43" s="668">
        <f t="shared" si="11"/>
        <v>100</v>
      </c>
      <c r="V43" s="667" t="s">
        <v>14</v>
      </c>
      <c r="W43" s="668">
        <f t="shared" si="12"/>
        <v>100</v>
      </c>
      <c r="X43" s="1265"/>
      <c r="Y43" s="342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8"/>
      <c r="Q44" s="1263">
        <f t="shared" si="14"/>
        <v>111</v>
      </c>
      <c r="R44" s="667" t="s">
        <v>14</v>
      </c>
      <c r="S44" s="668">
        <f t="shared" si="10"/>
        <v>100</v>
      </c>
      <c r="T44" s="667" t="s">
        <v>14</v>
      </c>
      <c r="U44" s="668">
        <f t="shared" si="11"/>
        <v>100</v>
      </c>
      <c r="V44" s="667" t="s">
        <v>14</v>
      </c>
      <c r="W44" s="668">
        <f t="shared" si="12"/>
        <v>100</v>
      </c>
      <c r="X44" s="1265"/>
      <c r="Y44" s="342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8"/>
      <c r="Q45" s="1263">
        <f t="shared" si="14"/>
        <v>111</v>
      </c>
      <c r="R45" s="669" t="s">
        <v>14</v>
      </c>
      <c r="S45" s="670">
        <f t="shared" si="10"/>
        <v>100</v>
      </c>
      <c r="T45" s="669" t="s">
        <v>14</v>
      </c>
      <c r="U45" s="670">
        <f t="shared" si="11"/>
        <v>100</v>
      </c>
      <c r="V45" s="669" t="s">
        <v>14</v>
      </c>
      <c r="W45" s="670">
        <f t="shared" si="12"/>
        <v>100</v>
      </c>
      <c r="X45" s="671"/>
      <c r="Y45" s="3428"/>
      <c r="Z45" s="672">
        <f t="shared" si="13"/>
        <v>111</v>
      </c>
      <c r="AA45" s="1264">
        <f t="shared" si="3"/>
        <v>1</v>
      </c>
      <c r="AB45" s="1264">
        <f t="shared" si="4"/>
        <v>1</v>
      </c>
      <c r="AC45" s="1264">
        <f t="shared" si="5"/>
        <v>1</v>
      </c>
    </row>
    <row r="46" spans="1:29">
      <c r="A46" s="416" t="s">
        <v>1843</v>
      </c>
      <c r="B46" s="1830" t="s">
        <v>1878</v>
      </c>
      <c r="C46" s="602" t="s">
        <v>0</v>
      </c>
      <c r="D46" s="418"/>
      <c r="E46" s="419"/>
      <c r="F46" s="420"/>
      <c r="G46" s="421"/>
      <c r="H46" s="422"/>
      <c r="I46" s="419"/>
      <c r="J46" s="422"/>
      <c r="K46" s="674"/>
      <c r="L46" s="2492"/>
      <c r="M46" s="2485"/>
      <c r="N46" s="2485"/>
      <c r="O46" s="2485"/>
      <c r="P46" s="3421" t="str">
        <f>A46</f>
        <v>成交单价</v>
      </c>
      <c r="Q46" s="3421"/>
      <c r="R46" s="3422">
        <f>E46</f>
        <v>0</v>
      </c>
      <c r="S46" s="3422"/>
      <c r="T46" s="3422">
        <f>G46</f>
        <v>0</v>
      </c>
      <c r="U46" s="3422"/>
      <c r="V46" s="3422">
        <f>I46</f>
        <v>0</v>
      </c>
      <c r="W46" s="3422"/>
      <c r="X46" s="385"/>
      <c r="Y46" s="673"/>
      <c r="Z46" s="385"/>
      <c r="AA46" s="385"/>
      <c r="AB46" s="385"/>
      <c r="AC46" s="385"/>
    </row>
    <row r="47" spans="1:29" ht="14.5" thickBot="1">
      <c r="A47" s="423" t="s">
        <v>1792</v>
      </c>
      <c r="B47" s="603"/>
      <c r="C47" s="426" t="e">
        <f>R48</f>
        <v>#DIV/0!</v>
      </c>
      <c r="D47" s="2140" t="s">
        <v>2137</v>
      </c>
      <c r="E47" s="426" t="e">
        <f>R47</f>
        <v>#DIV/0!</v>
      </c>
      <c r="F47" s="2141"/>
      <c r="G47" s="425" t="e">
        <f>T47</f>
        <v>#DIV/0!</v>
      </c>
      <c r="H47" s="2141"/>
      <c r="I47" s="426" t="e">
        <f>V47</f>
        <v>#DIV/0!</v>
      </c>
      <c r="J47" s="2141"/>
      <c r="K47" s="2143">
        <f>F47+H47+J47</f>
        <v>0</v>
      </c>
      <c r="L47" s="2492"/>
      <c r="M47" s="2485"/>
      <c r="N47" s="2485"/>
      <c r="O47" s="2485"/>
      <c r="P47" s="3421" t="str">
        <f>A47</f>
        <v>比较价值（元/平方米）</v>
      </c>
      <c r="Q47" s="3421"/>
      <c r="R47" s="3480" t="e">
        <f>ROUND(PRODUCT(R46,AA7:AA45),0)</f>
        <v>#DIV/0!</v>
      </c>
      <c r="S47" s="3480"/>
      <c r="T47" s="3480" t="e">
        <f>ROUND(PRODUCT(T46,AB7:AB45),0)</f>
        <v>#DIV/0!</v>
      </c>
      <c r="U47" s="3480"/>
      <c r="V47" s="3480" t="e">
        <f>ROUND(PRODUCT(V46,AC7:AC45),0)</f>
        <v>#DIV/0!</v>
      </c>
      <c r="W47" s="3480"/>
      <c r="X47" s="385"/>
      <c r="Y47" s="385"/>
      <c r="Z47" s="385"/>
      <c r="AA47" s="385"/>
      <c r="AB47" s="385"/>
      <c r="AC47" s="385"/>
    </row>
    <row r="48" spans="1:29" ht="14.5" thickBot="1">
      <c r="A48" s="427" t="s">
        <v>1879</v>
      </c>
      <c r="B48" s="428"/>
      <c r="C48" s="429" t="e">
        <f>R48</f>
        <v>#DIV/0!</v>
      </c>
      <c r="D48" s="429"/>
      <c r="E48" s="429"/>
      <c r="F48" s="429"/>
      <c r="G48" s="429"/>
      <c r="H48" s="429"/>
      <c r="I48" s="429"/>
      <c r="J48" s="429"/>
      <c r="K48" s="675"/>
      <c r="L48" s="2492"/>
      <c r="M48" s="2485"/>
      <c r="N48" s="2485"/>
      <c r="O48" s="2485"/>
      <c r="P48" s="3418" t="str">
        <f>A48</f>
        <v>估价对象XX用房的比较价值（楼面单价，元/平方米）</v>
      </c>
      <c r="Q48" s="3419"/>
      <c r="R48" s="3481" t="e">
        <f>ROUND(IF(D47="简单平均",AVERAGE(R47:W47),R47*F47+T47*H47+V47*J47),0)</f>
        <v>#DIV/0!</v>
      </c>
      <c r="S48" s="3481"/>
      <c r="T48" s="3481"/>
      <c r="U48" s="3481"/>
      <c r="V48" s="3481"/>
      <c r="W48" s="348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1880</v>
      </c>
      <c r="B55" s="605" t="s">
        <v>1881</v>
      </c>
      <c r="C55" s="1831" t="s">
        <v>1882</v>
      </c>
      <c r="D55" s="1832" t="s">
        <v>1883</v>
      </c>
      <c r="E55" s="606" t="s">
        <v>1884</v>
      </c>
      <c r="F55" s="837" t="s">
        <v>1885</v>
      </c>
      <c r="G55" s="3436" t="s">
        <v>1886</v>
      </c>
      <c r="H55" s="3482"/>
      <c r="I55" s="127" t="s">
        <v>1887</v>
      </c>
      <c r="J55" s="1833">
        <f>项目基本情况!F35</f>
        <v>0</v>
      </c>
      <c r="K55" s="1834" t="s">
        <v>1888</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1889</v>
      </c>
      <c r="B56" s="609" t="e">
        <f>C48</f>
        <v>#DIV/0!</v>
      </c>
      <c r="C56" s="610">
        <v>1</v>
      </c>
      <c r="D56" s="890">
        <v>1</v>
      </c>
      <c r="E56" s="610">
        <f>'数据-汇总表'!E8+'数据-汇总表'!E9</f>
        <v>2256.4</v>
      </c>
      <c r="F56" s="833" t="e">
        <f t="shared" ref="F56:F64" si="15">ROUND(B56*E56/10000,0)</f>
        <v>#DIV/0!</v>
      </c>
      <c r="G56" s="3432"/>
      <c r="H56" s="342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1890</v>
      </c>
      <c r="B57" s="210" t="e">
        <f>ROUND($C$48*C57*D57,0)</f>
        <v>#DIV/0!</v>
      </c>
      <c r="C57" s="163">
        <f t="shared" ref="C57:C64" si="16">IF($C$55="北京市系数",I57,J57)</f>
        <v>0</v>
      </c>
      <c r="D57" s="891">
        <v>0.25</v>
      </c>
      <c r="E57" s="614"/>
      <c r="F57" s="833" t="e">
        <f t="shared" si="15"/>
        <v>#DIV/0!</v>
      </c>
      <c r="G57" s="2748" t="s">
        <v>1891</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1892</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1893</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1894</v>
      </c>
      <c r="B60" s="210" t="e">
        <f t="shared" si="17"/>
        <v>#DIV/0!</v>
      </c>
      <c r="C60" s="163">
        <f t="shared" si="16"/>
        <v>0.2</v>
      </c>
      <c r="D60" s="891">
        <v>0.25</v>
      </c>
      <c r="E60" s="209">
        <f>'数据-汇总表'!E11</f>
        <v>0</v>
      </c>
      <c r="F60" s="833" t="e">
        <f t="shared" si="15"/>
        <v>#DIV/0!</v>
      </c>
      <c r="G60" s="1835" t="s">
        <v>1895</v>
      </c>
      <c r="H60" s="834" t="str">
        <f>项目基本情况!C37</f>
        <v>八级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1896</v>
      </c>
      <c r="B61" s="210" t="e">
        <f t="shared" si="17"/>
        <v>#DIV/0!</v>
      </c>
      <c r="C61" s="163">
        <f t="shared" si="16"/>
        <v>0.2</v>
      </c>
      <c r="D61" s="891">
        <v>0.25</v>
      </c>
      <c r="E61" s="209">
        <f>'数据-汇总表'!E12</f>
        <v>0</v>
      </c>
      <c r="F61" s="833" t="e">
        <f t="shared" si="15"/>
        <v>#DIV/0!</v>
      </c>
      <c r="G61" s="839" t="s">
        <v>1897</v>
      </c>
      <c r="H61" s="834" t="str">
        <f>IF(G61="商业",项目基本情况!B37,IF(G61="办公",项目基本情况!C37,IF(G61="住宅",项目基本情况!D37,项目基本情况!E37)))</f>
        <v>八级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1901</v>
      </c>
      <c r="B64" s="210" t="e">
        <f t="shared" si="17"/>
        <v>#DIV/0!</v>
      </c>
      <c r="C64" s="163">
        <f t="shared" si="16"/>
        <v>0.1</v>
      </c>
      <c r="D64" s="891">
        <v>0.25</v>
      </c>
      <c r="E64" s="209">
        <f>'数据-汇总表'!E15</f>
        <v>0</v>
      </c>
      <c r="F64" s="833" t="e">
        <f t="shared" si="15"/>
        <v>#DIV/0!</v>
      </c>
      <c r="G64" s="1836" t="s">
        <v>1895</v>
      </c>
      <c r="H64" s="844" t="str">
        <f>项目基本情况!C37</f>
        <v>八级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1902</v>
      </c>
      <c r="B65" s="616" t="s">
        <v>22</v>
      </c>
      <c r="C65" s="616" t="s">
        <v>23</v>
      </c>
      <c r="D65" s="616" t="s">
        <v>392</v>
      </c>
      <c r="E65" s="616">
        <f>IF(B46="楼面地价",SUM(E56:E64),'数据-汇总表'!D3)</f>
        <v>2256.4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1797</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1903</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1715</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1680</v>
      </c>
      <c r="B72" s="444"/>
      <c r="C72" s="456" t="s">
        <v>1775</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1718</v>
      </c>
      <c r="B74" s="460" t="s">
        <v>1684</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1687</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1689</v>
      </c>
      <c r="B87" s="460" t="s">
        <v>1719</v>
      </c>
      <c r="C87" s="504" t="s">
        <v>1720</v>
      </c>
      <c r="D87" s="504" t="s">
        <v>1721</v>
      </c>
      <c r="E87" s="504" t="s">
        <v>1722</v>
      </c>
      <c r="F87" s="504" t="s">
        <v>1723</v>
      </c>
      <c r="G87" s="504" t="s">
        <v>1724</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1905</v>
      </c>
      <c r="C89" s="509" t="s">
        <v>1720</v>
      </c>
      <c r="D89" s="509" t="s">
        <v>1721</v>
      </c>
      <c r="E89" s="509" t="s">
        <v>1722</v>
      </c>
      <c r="F89" s="509" t="s">
        <v>1723</v>
      </c>
      <c r="G89" s="509" t="s">
        <v>1724</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1820</v>
      </c>
      <c r="C91" s="509" t="s">
        <v>1720</v>
      </c>
      <c r="D91" s="509" t="s">
        <v>1721</v>
      </c>
      <c r="E91" s="509" t="s">
        <v>1722</v>
      </c>
      <c r="F91" s="509" t="s">
        <v>1723</v>
      </c>
      <c r="G91" s="509" t="s">
        <v>1724</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1725</v>
      </c>
      <c r="C93" s="509" t="s">
        <v>1720</v>
      </c>
      <c r="D93" s="509" t="s">
        <v>1721</v>
      </c>
      <c r="E93" s="509" t="s">
        <v>1722</v>
      </c>
      <c r="F93" s="509" t="s">
        <v>1723</v>
      </c>
      <c r="G93" s="509" t="s">
        <v>1724</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1906</v>
      </c>
      <c r="C95" s="509" t="s">
        <v>1720</v>
      </c>
      <c r="D95" s="509" t="s">
        <v>1721</v>
      </c>
      <c r="E95" s="509" t="s">
        <v>1722</v>
      </c>
      <c r="F95" s="509" t="s">
        <v>1723</v>
      </c>
      <c r="G95" s="509" t="s">
        <v>1724</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1907</v>
      </c>
      <c r="C97" s="504" t="s">
        <v>1720</v>
      </c>
      <c r="D97" s="504" t="s">
        <v>1721</v>
      </c>
      <c r="E97" s="504" t="s">
        <v>1722</v>
      </c>
      <c r="F97" s="504" t="s">
        <v>1723</v>
      </c>
      <c r="G97" s="504" t="s">
        <v>1724</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1777</v>
      </c>
      <c r="C99" s="504" t="s">
        <v>1720</v>
      </c>
      <c r="D99" s="504" t="s">
        <v>1721</v>
      </c>
      <c r="E99" s="504" t="s">
        <v>1722</v>
      </c>
      <c r="F99" s="504" t="s">
        <v>1723</v>
      </c>
      <c r="G99" s="504" t="s">
        <v>1724</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1778</v>
      </c>
      <c r="C101" s="581" t="s">
        <v>1798</v>
      </c>
      <c r="D101" s="581" t="s">
        <v>1799</v>
      </c>
      <c r="E101" s="581" t="s">
        <v>1800</v>
      </c>
      <c r="F101" s="581" t="s">
        <v>1801</v>
      </c>
      <c r="G101" s="581" t="s">
        <v>1802</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1908</v>
      </c>
      <c r="D103" s="470" t="s">
        <v>1909</v>
      </c>
      <c r="E103" s="470" t="s">
        <v>1910</v>
      </c>
      <c r="F103" s="470" t="s">
        <v>1911</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1814</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1872</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1913</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1914</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1915</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1916</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46" t="s">
        <v>1770</v>
      </c>
      <c r="S4" s="3447"/>
      <c r="T4" s="3446" t="s">
        <v>1771</v>
      </c>
      <c r="U4" s="3447"/>
      <c r="V4" s="3422" t="s">
        <v>1772</v>
      </c>
      <c r="W4" s="3422"/>
      <c r="X4" s="1265"/>
      <c r="Y4" s="3446" t="s">
        <v>1774</v>
      </c>
      <c r="Z4" s="3447"/>
      <c r="AA4" s="3433" t="s">
        <v>1770</v>
      </c>
      <c r="AB4" s="3434" t="s">
        <v>1771</v>
      </c>
      <c r="AC4" s="3433" t="s">
        <v>1772</v>
      </c>
    </row>
    <row r="5" spans="1:29">
      <c r="A5" s="348"/>
      <c r="B5" s="349"/>
      <c r="C5" s="3454" t="s">
        <v>1672</v>
      </c>
      <c r="D5" s="3455"/>
      <c r="E5" s="3461" t="s">
        <v>1673</v>
      </c>
      <c r="F5" s="3462"/>
      <c r="G5" s="3454" t="s">
        <v>1674</v>
      </c>
      <c r="H5" s="3455"/>
      <c r="I5" s="3454" t="s">
        <v>1675</v>
      </c>
      <c r="J5" s="3455"/>
      <c r="K5" s="537"/>
      <c r="L5" s="2484"/>
      <c r="M5" s="2485"/>
      <c r="N5" s="2485"/>
      <c r="O5" s="2485"/>
      <c r="P5" s="3442"/>
      <c r="Q5" s="3443"/>
      <c r="R5" s="3448"/>
      <c r="S5" s="3449"/>
      <c r="T5" s="3448"/>
      <c r="U5" s="3449"/>
      <c r="V5" s="3422"/>
      <c r="W5" s="3422"/>
      <c r="X5" s="1265"/>
      <c r="Y5" s="3448"/>
      <c r="Z5" s="3449"/>
      <c r="AA5" s="3434"/>
      <c r="AB5" s="3434"/>
      <c r="AC5" s="3434"/>
    </row>
    <row r="6" spans="1:29" ht="15" thickBot="1">
      <c r="A6" s="350"/>
      <c r="B6" s="351"/>
      <c r="C6" s="3483" t="s">
        <v>1918</v>
      </c>
      <c r="D6" s="3484"/>
      <c r="E6" s="3485" t="s">
        <v>1918</v>
      </c>
      <c r="F6" s="3486"/>
      <c r="G6" s="3483" t="s">
        <v>1918</v>
      </c>
      <c r="H6" s="3484"/>
      <c r="I6" s="3483" t="s">
        <v>1918</v>
      </c>
      <c r="J6" s="3484"/>
      <c r="K6" s="537" t="s">
        <v>1677</v>
      </c>
      <c r="L6" s="2484"/>
      <c r="M6" s="2485"/>
      <c r="N6" s="2485"/>
      <c r="O6" s="2485"/>
      <c r="P6" s="3444"/>
      <c r="Q6" s="3445"/>
      <c r="R6" s="3448"/>
      <c r="S6" s="3449"/>
      <c r="T6" s="3450"/>
      <c r="U6" s="3451"/>
      <c r="V6" s="3422"/>
      <c r="W6" s="3422"/>
      <c r="X6" s="1265"/>
      <c r="Y6" s="3450"/>
      <c r="Z6" s="3451"/>
      <c r="AA6" s="3435"/>
      <c r="AB6" s="3435"/>
      <c r="AC6" s="3435"/>
    </row>
    <row r="7" spans="1:29" s="102" customFormat="1" ht="14.5" thickBot="1">
      <c r="A7" s="352" t="s">
        <v>1678</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56" t="s">
        <v>1679</v>
      </c>
      <c r="Q7" s="3458"/>
      <c r="R7" s="664" t="s">
        <v>14</v>
      </c>
      <c r="S7" s="665">
        <f t="shared" ref="S7:S15" si="0">F7</f>
        <v>0</v>
      </c>
      <c r="T7" s="664" t="s">
        <v>14</v>
      </c>
      <c r="U7" s="665">
        <f t="shared" ref="U7:U15" si="1">H7</f>
        <v>0</v>
      </c>
      <c r="V7" s="664" t="s">
        <v>14</v>
      </c>
      <c r="W7" s="665">
        <f t="shared" ref="W7:W15" si="2">J7</f>
        <v>0</v>
      </c>
      <c r="X7" s="666"/>
      <c r="Y7" s="3456" t="s">
        <v>1679</v>
      </c>
      <c r="Z7" s="3457"/>
      <c r="AA7" s="50" t="e">
        <f>D7/F7</f>
        <v>#DIV/0!</v>
      </c>
      <c r="AB7" s="50" t="e">
        <f>D7/H7</f>
        <v>#DIV/0!</v>
      </c>
      <c r="AC7" s="50" t="e">
        <f>D7/J7</f>
        <v>#DIV/0!</v>
      </c>
    </row>
    <row r="8" spans="1:29" s="102" customFormat="1" ht="14.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56" t="s">
        <v>1682</v>
      </c>
      <c r="Q8" s="3457"/>
      <c r="R8" s="664" t="s">
        <v>14</v>
      </c>
      <c r="S8" s="665">
        <f t="shared" si="0"/>
        <v>0</v>
      </c>
      <c r="T8" s="664" t="s">
        <v>14</v>
      </c>
      <c r="U8" s="665">
        <f t="shared" si="1"/>
        <v>0</v>
      </c>
      <c r="V8" s="664" t="s">
        <v>14</v>
      </c>
      <c r="W8" s="665">
        <f t="shared" si="2"/>
        <v>0</v>
      </c>
      <c r="X8" s="666"/>
      <c r="Y8" s="3456" t="s">
        <v>1682</v>
      </c>
      <c r="Z8" s="3457"/>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1" t="s">
        <v>1685</v>
      </c>
      <c r="Q9" s="530" t="str">
        <f t="shared" ref="Q9:Q15" si="6">B9</f>
        <v>用途</v>
      </c>
      <c r="R9" s="664" t="s">
        <v>14</v>
      </c>
      <c r="S9" s="665">
        <f t="shared" si="0"/>
        <v>100</v>
      </c>
      <c r="T9" s="664" t="s">
        <v>14</v>
      </c>
      <c r="U9" s="665">
        <f t="shared" si="1"/>
        <v>100</v>
      </c>
      <c r="V9" s="664" t="s">
        <v>14</v>
      </c>
      <c r="W9" s="665">
        <f t="shared" si="2"/>
        <v>100</v>
      </c>
      <c r="X9" s="666"/>
      <c r="Y9" s="3277" t="s">
        <v>1686</v>
      </c>
      <c r="Z9" s="50" t="str">
        <f t="shared" ref="Z9:Z15" si="7">Q9</f>
        <v>用途</v>
      </c>
      <c r="AA9" s="50">
        <f t="shared" si="3"/>
        <v>1</v>
      </c>
      <c r="AB9" s="50">
        <f t="shared" si="4"/>
        <v>1</v>
      </c>
      <c r="AC9" s="50">
        <f t="shared" si="5"/>
        <v>1</v>
      </c>
    </row>
    <row r="10" spans="1:29" s="366" customFormat="1" ht="28">
      <c r="A10" s="363"/>
      <c r="B10" s="364" t="s">
        <v>1687</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21"/>
      <c r="Q10" s="530" t="str">
        <f t="shared" si="6"/>
        <v>土地使用年限（年）</v>
      </c>
      <c r="R10" s="664" t="s">
        <v>14</v>
      </c>
      <c r="S10" s="665" t="e">
        <f t="shared" si="0"/>
        <v>#DIV/0!</v>
      </c>
      <c r="T10" s="664" t="s">
        <v>14</v>
      </c>
      <c r="U10" s="665" t="e">
        <f t="shared" si="1"/>
        <v>#DIV/0!</v>
      </c>
      <c r="V10" s="664" t="s">
        <v>14</v>
      </c>
      <c r="W10" s="665" t="e">
        <f t="shared" si="2"/>
        <v>#DIV/0!</v>
      </c>
      <c r="X10" s="666"/>
      <c r="Y10" s="3277"/>
      <c r="Z10" s="50" t="str">
        <f t="shared" si="7"/>
        <v>土地使用年限（年）</v>
      </c>
      <c r="AA10" s="50" t="e">
        <f t="shared" si="3"/>
        <v>#DIV/0!</v>
      </c>
      <c r="AB10" s="50" t="e">
        <f t="shared" si="4"/>
        <v>#DIV/0!</v>
      </c>
      <c r="AC10" s="50" t="e">
        <f t="shared" si="5"/>
        <v>#DIV/0!</v>
      </c>
    </row>
    <row r="11" spans="1:29" ht="15.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1"/>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1"/>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1"/>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1"/>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0">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3" t="s">
        <v>1690</v>
      </c>
      <c r="Q15" s="1263" t="str">
        <f t="shared" si="6"/>
        <v>产业集聚程度</v>
      </c>
      <c r="R15" s="667" t="s">
        <v>14</v>
      </c>
      <c r="S15" s="668">
        <f t="shared" si="0"/>
        <v>100</v>
      </c>
      <c r="T15" s="667" t="s">
        <v>14</v>
      </c>
      <c r="U15" s="668">
        <f t="shared" si="1"/>
        <v>100</v>
      </c>
      <c r="V15" s="667" t="s">
        <v>14</v>
      </c>
      <c r="W15" s="668">
        <f t="shared" si="2"/>
        <v>100</v>
      </c>
      <c r="X15" s="1265"/>
      <c r="Y15" s="3423" t="s">
        <v>1690</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24"/>
      <c r="Q16" s="1263"/>
      <c r="R16" s="667"/>
      <c r="S16" s="668"/>
      <c r="T16" s="667"/>
      <c r="U16" s="668"/>
      <c r="V16" s="667"/>
      <c r="W16" s="668"/>
      <c r="X16" s="1265"/>
      <c r="Y16" s="3424"/>
      <c r="Z16" s="1264"/>
      <c r="AA16" s="1264">
        <v>1</v>
      </c>
      <c r="AB16" s="1264">
        <v>1</v>
      </c>
      <c r="AC16" s="1264">
        <v>1</v>
      </c>
    </row>
    <row r="17" spans="1:29" ht="98">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24"/>
      <c r="Q18" s="1263"/>
      <c r="R18" s="667"/>
      <c r="S18" s="668"/>
      <c r="T18" s="667"/>
      <c r="U18" s="668"/>
      <c r="V18" s="667"/>
      <c r="W18" s="668"/>
      <c r="X18" s="1265"/>
      <c r="Y18" s="3424"/>
      <c r="Z18" s="1264"/>
      <c r="AA18" s="1264">
        <v>1</v>
      </c>
      <c r="AB18" s="1264">
        <v>1</v>
      </c>
      <c r="AC18" s="1264">
        <v>1</v>
      </c>
    </row>
    <row r="19" spans="1:29" ht="2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4"/>
      <c r="Q19" s="1263" t="str">
        <f t="shared" ref="Q19:Q33" si="8">B19</f>
        <v>区域土地利用方向</v>
      </c>
      <c r="R19" s="667" t="s">
        <v>14</v>
      </c>
      <c r="S19" s="668">
        <f>F19</f>
        <v>100</v>
      </c>
      <c r="T19" s="667" t="s">
        <v>14</v>
      </c>
      <c r="U19" s="668">
        <f>H19</f>
        <v>100</v>
      </c>
      <c r="V19" s="667" t="s">
        <v>14</v>
      </c>
      <c r="W19" s="668">
        <f>J19</f>
        <v>100</v>
      </c>
      <c r="X19" s="1265"/>
      <c r="Y19" s="342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24"/>
      <c r="Q20" s="1263"/>
      <c r="R20" s="667"/>
      <c r="S20" s="668"/>
      <c r="T20" s="667"/>
      <c r="U20" s="668"/>
      <c r="V20" s="667"/>
      <c r="W20" s="668"/>
      <c r="X20" s="1265"/>
      <c r="Y20" s="3424"/>
      <c r="Z20" s="1264"/>
      <c r="AA20" s="1264"/>
      <c r="AB20" s="1264"/>
      <c r="AC20" s="1264"/>
    </row>
    <row r="21" spans="1:29" ht="84">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4"/>
      <c r="Q21" s="1263" t="str">
        <f t="shared" si="8"/>
        <v>环境状况</v>
      </c>
      <c r="R21" s="667" t="s">
        <v>14</v>
      </c>
      <c r="S21" s="668">
        <f>F21</f>
        <v>100</v>
      </c>
      <c r="T21" s="667" t="s">
        <v>14</v>
      </c>
      <c r="U21" s="668">
        <f>H21</f>
        <v>100</v>
      </c>
      <c r="V21" s="667" t="s">
        <v>14</v>
      </c>
      <c r="W21" s="668">
        <f>J21</f>
        <v>100</v>
      </c>
      <c r="X21" s="1265"/>
      <c r="Y21" s="342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24"/>
      <c r="Q22" s="1263"/>
      <c r="R22" s="667"/>
      <c r="S22" s="668"/>
      <c r="T22" s="667"/>
      <c r="U22" s="668"/>
      <c r="V22" s="667"/>
      <c r="W22" s="668"/>
      <c r="X22" s="1265"/>
      <c r="Y22" s="3424"/>
      <c r="Z22" s="1264"/>
      <c r="AA22" s="1264">
        <v>1</v>
      </c>
      <c r="AB22" s="1264">
        <v>1</v>
      </c>
      <c r="AC22" s="1264">
        <v>1</v>
      </c>
    </row>
    <row r="23" spans="1:29" s="102" customFormat="1" ht="42">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4"/>
      <c r="Q23" s="530" t="str">
        <f t="shared" si="8"/>
        <v>公共配套设施</v>
      </c>
      <c r="R23" s="664" t="s">
        <v>14</v>
      </c>
      <c r="S23" s="665">
        <f>F23</f>
        <v>100</v>
      </c>
      <c r="T23" s="664" t="s">
        <v>14</v>
      </c>
      <c r="U23" s="665">
        <f>H23</f>
        <v>100</v>
      </c>
      <c r="V23" s="664" t="s">
        <v>14</v>
      </c>
      <c r="W23" s="665">
        <f>J23</f>
        <v>100</v>
      </c>
      <c r="X23" s="666"/>
      <c r="Y23" s="342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24"/>
      <c r="Q24" s="530"/>
      <c r="R24" s="664"/>
      <c r="S24" s="665"/>
      <c r="T24" s="664"/>
      <c r="U24" s="665"/>
      <c r="V24" s="664"/>
      <c r="W24" s="665"/>
      <c r="X24" s="666"/>
      <c r="Y24" s="3424"/>
      <c r="Z24" s="50"/>
      <c r="AA24" s="50">
        <v>1</v>
      </c>
      <c r="AB24" s="50">
        <v>1</v>
      </c>
      <c r="AC24" s="50">
        <v>1</v>
      </c>
    </row>
    <row r="25" spans="1:29" s="102" customFormat="1" ht="42">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4"/>
      <c r="Q25" s="530" t="str">
        <f t="shared" ref="Q25" si="9">B25</f>
        <v>基础设施水平</v>
      </c>
      <c r="R25" s="664" t="s">
        <v>14</v>
      </c>
      <c r="S25" s="665">
        <f>F25</f>
        <v>100</v>
      </c>
      <c r="T25" s="664" t="s">
        <v>14</v>
      </c>
      <c r="U25" s="665">
        <f>H25</f>
        <v>100</v>
      </c>
      <c r="V25" s="664" t="s">
        <v>14</v>
      </c>
      <c r="W25" s="665">
        <f>J25</f>
        <v>100</v>
      </c>
      <c r="X25" s="666"/>
      <c r="Y25" s="342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24"/>
      <c r="Q26" s="530"/>
      <c r="R26" s="664"/>
      <c r="S26" s="665"/>
      <c r="T26" s="664"/>
      <c r="U26" s="665"/>
      <c r="V26" s="664"/>
      <c r="W26" s="665"/>
      <c r="X26" s="666"/>
      <c r="Y26" s="3424"/>
      <c r="Z26" s="50"/>
      <c r="AA26" s="50">
        <v>1</v>
      </c>
      <c r="AB26" s="50">
        <v>1</v>
      </c>
      <c r="AC26" s="50">
        <v>1</v>
      </c>
    </row>
    <row r="27" spans="1:29" ht="15.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4"/>
      <c r="Z27" s="1264" t="str">
        <f t="shared" ref="Z27:Z40" si="13">Q27</f>
        <v>临街状况</v>
      </c>
      <c r="AA27" s="1264">
        <f t="shared" si="3"/>
        <v>1</v>
      </c>
      <c r="AB27" s="1264">
        <f t="shared" si="4"/>
        <v>1</v>
      </c>
      <c r="AC27" s="1264">
        <f t="shared" si="5"/>
        <v>1</v>
      </c>
    </row>
    <row r="28" spans="1:29" ht="2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4"/>
      <c r="Q28" s="1263" t="str">
        <f t="shared" si="8"/>
        <v>毗邻道路的类型与等级</v>
      </c>
      <c r="R28" s="667" t="s">
        <v>14</v>
      </c>
      <c r="S28" s="668">
        <f t="shared" si="10"/>
        <v>100</v>
      </c>
      <c r="T28" s="667" t="s">
        <v>14</v>
      </c>
      <c r="U28" s="668">
        <f t="shared" si="11"/>
        <v>100</v>
      </c>
      <c r="V28" s="667" t="s">
        <v>14</v>
      </c>
      <c r="W28" s="668">
        <f t="shared" si="12"/>
        <v>100</v>
      </c>
      <c r="X28" s="1265"/>
      <c r="Y28" s="342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24"/>
      <c r="Q29" s="1263"/>
      <c r="R29" s="667"/>
      <c r="S29" s="668"/>
      <c r="T29" s="667"/>
      <c r="U29" s="668"/>
      <c r="V29" s="667"/>
      <c r="W29" s="668"/>
      <c r="X29" s="1265"/>
      <c r="Y29" s="3424"/>
      <c r="Z29" s="1264"/>
      <c r="AA29" s="1264">
        <v>1</v>
      </c>
      <c r="AB29" s="1264">
        <v>1</v>
      </c>
      <c r="AC29" s="1264">
        <v>1</v>
      </c>
    </row>
    <row r="30" spans="1:29" ht="15.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4"/>
      <c r="Q30" s="1263" t="str">
        <f t="shared" si="8"/>
        <v>土地级别</v>
      </c>
      <c r="R30" s="667" t="s">
        <v>14</v>
      </c>
      <c r="S30" s="668">
        <f t="shared" si="10"/>
        <v>100</v>
      </c>
      <c r="T30" s="667" t="s">
        <v>14</v>
      </c>
      <c r="U30" s="668">
        <f t="shared" si="11"/>
        <v>100</v>
      </c>
      <c r="V30" s="667" t="s">
        <v>14</v>
      </c>
      <c r="W30" s="668">
        <f t="shared" si="12"/>
        <v>100</v>
      </c>
      <c r="X30" s="1265"/>
      <c r="Y30" s="342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4"/>
      <c r="Q31" s="1263">
        <f t="shared" si="8"/>
        <v>111</v>
      </c>
      <c r="R31" s="667" t="s">
        <v>14</v>
      </c>
      <c r="S31" s="668">
        <f t="shared" si="10"/>
        <v>100</v>
      </c>
      <c r="T31" s="667" t="s">
        <v>14</v>
      </c>
      <c r="U31" s="668">
        <f t="shared" si="11"/>
        <v>100</v>
      </c>
      <c r="V31" s="667" t="s">
        <v>14</v>
      </c>
      <c r="W31" s="668">
        <f t="shared" si="12"/>
        <v>100</v>
      </c>
      <c r="X31" s="1265"/>
      <c r="Y31" s="342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8" t="s">
        <v>1695</v>
      </c>
      <c r="Q32" s="1263">
        <f t="shared" si="8"/>
        <v>111</v>
      </c>
      <c r="R32" s="667" t="s">
        <v>14</v>
      </c>
      <c r="S32" s="668">
        <f t="shared" si="10"/>
        <v>100</v>
      </c>
      <c r="T32" s="667" t="s">
        <v>14</v>
      </c>
      <c r="U32" s="668">
        <f t="shared" si="11"/>
        <v>100</v>
      </c>
      <c r="V32" s="667" t="s">
        <v>14</v>
      </c>
      <c r="W32" s="668">
        <f t="shared" si="12"/>
        <v>100</v>
      </c>
      <c r="X32" s="1265"/>
      <c r="Y32" s="3428" t="s">
        <v>1695</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8"/>
      <c r="Q33" s="1263">
        <f t="shared" si="8"/>
        <v>111</v>
      </c>
      <c r="R33" s="669" t="s">
        <v>14</v>
      </c>
      <c r="S33" s="670">
        <f t="shared" si="10"/>
        <v>100</v>
      </c>
      <c r="T33" s="669" t="s">
        <v>14</v>
      </c>
      <c r="U33" s="670">
        <f t="shared" si="11"/>
        <v>100</v>
      </c>
      <c r="V33" s="669" t="s">
        <v>14</v>
      </c>
      <c r="W33" s="670">
        <f t="shared" si="12"/>
        <v>100</v>
      </c>
      <c r="X33" s="671"/>
      <c r="Y33" s="3428"/>
      <c r="Z33" s="672">
        <f t="shared" si="13"/>
        <v>111</v>
      </c>
      <c r="AA33" s="1264">
        <f t="shared" si="3"/>
        <v>1</v>
      </c>
      <c r="AB33" s="1264">
        <f t="shared" si="4"/>
        <v>1</v>
      </c>
      <c r="AC33" s="1264">
        <f t="shared" si="5"/>
        <v>1</v>
      </c>
    </row>
    <row r="34" spans="1:31" ht="15.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8"/>
      <c r="Q34" s="1263" t="str">
        <f>B34</f>
        <v>宗地面积</v>
      </c>
      <c r="R34" s="667" t="s">
        <v>14</v>
      </c>
      <c r="S34" s="668" t="e">
        <f t="shared" si="10"/>
        <v>#N/A</v>
      </c>
      <c r="T34" s="667" t="s">
        <v>14</v>
      </c>
      <c r="U34" s="668" t="e">
        <f t="shared" si="11"/>
        <v>#N/A</v>
      </c>
      <c r="V34" s="667" t="s">
        <v>14</v>
      </c>
      <c r="W34" s="668" t="e">
        <f t="shared" si="12"/>
        <v>#N/A</v>
      </c>
      <c r="X34" s="1265"/>
      <c r="Y34" s="3428"/>
      <c r="Z34" s="1264" t="str">
        <f t="shared" si="13"/>
        <v>宗地面积</v>
      </c>
      <c r="AA34" s="1264" t="e">
        <f t="shared" si="3"/>
        <v>#N/A</v>
      </c>
      <c r="AB34" s="1264" t="e">
        <f t="shared" si="4"/>
        <v>#N/A</v>
      </c>
      <c r="AC34" s="1264" t="e">
        <f t="shared" si="5"/>
        <v>#N/A</v>
      </c>
    </row>
    <row r="35" spans="1:31" ht="15.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8"/>
      <c r="Q35" s="1263" t="str">
        <f t="shared" ref="Q35:Q40" si="14">B35</f>
        <v>宗地形状</v>
      </c>
      <c r="R35" s="667" t="s">
        <v>14</v>
      </c>
      <c r="S35" s="668">
        <f t="shared" si="10"/>
        <v>100</v>
      </c>
      <c r="T35" s="667" t="s">
        <v>14</v>
      </c>
      <c r="U35" s="668">
        <f t="shared" si="11"/>
        <v>100</v>
      </c>
      <c r="V35" s="667" t="s">
        <v>14</v>
      </c>
      <c r="W35" s="668">
        <f t="shared" si="12"/>
        <v>100</v>
      </c>
      <c r="X35" s="1265"/>
      <c r="Y35" s="3428"/>
      <c r="Z35" s="1264" t="str">
        <f t="shared" si="13"/>
        <v>宗地形状</v>
      </c>
      <c r="AA35" s="1264">
        <f t="shared" si="3"/>
        <v>1</v>
      </c>
      <c r="AB35" s="1264">
        <f t="shared" si="4"/>
        <v>1</v>
      </c>
      <c r="AC35" s="1264">
        <f t="shared" si="5"/>
        <v>1</v>
      </c>
    </row>
    <row r="36" spans="1:31" s="102" customFormat="1" ht="15.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8"/>
      <c r="Q36" s="1263" t="str">
        <f t="shared" si="14"/>
        <v>宗地开发程度</v>
      </c>
      <c r="R36" s="664" t="s">
        <v>14</v>
      </c>
      <c r="S36" s="665">
        <f t="shared" si="10"/>
        <v>100</v>
      </c>
      <c r="T36" s="664" t="s">
        <v>14</v>
      </c>
      <c r="U36" s="665">
        <f t="shared" si="11"/>
        <v>100</v>
      </c>
      <c r="V36" s="664" t="s">
        <v>14</v>
      </c>
      <c r="W36" s="665">
        <f t="shared" si="12"/>
        <v>100</v>
      </c>
      <c r="X36" s="666"/>
      <c r="Y36" s="3428"/>
      <c r="Z36" s="50" t="str">
        <f t="shared" si="13"/>
        <v>宗地开发程度</v>
      </c>
      <c r="AA36" s="50">
        <f t="shared" si="3"/>
        <v>1</v>
      </c>
      <c r="AB36" s="50">
        <f t="shared" si="4"/>
        <v>1</v>
      </c>
      <c r="AC36" s="50">
        <f t="shared" si="5"/>
        <v>1</v>
      </c>
    </row>
    <row r="37" spans="1:31" ht="15.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8" t="s">
        <v>1695</v>
      </c>
      <c r="Q37" s="1263" t="str">
        <f t="shared" si="14"/>
        <v>工程地质条件</v>
      </c>
      <c r="R37" s="667" t="s">
        <v>14</v>
      </c>
      <c r="S37" s="668">
        <f t="shared" si="10"/>
        <v>100</v>
      </c>
      <c r="T37" s="667" t="s">
        <v>14</v>
      </c>
      <c r="U37" s="668">
        <f t="shared" si="11"/>
        <v>100</v>
      </c>
      <c r="V37" s="667" t="s">
        <v>14</v>
      </c>
      <c r="W37" s="668">
        <f t="shared" si="12"/>
        <v>100</v>
      </c>
      <c r="X37" s="1265"/>
      <c r="Y37" s="3428" t="s">
        <v>1695</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8"/>
      <c r="Q38" s="1263">
        <f t="shared" si="14"/>
        <v>111</v>
      </c>
      <c r="R38" s="667" t="s">
        <v>14</v>
      </c>
      <c r="S38" s="668">
        <f t="shared" si="10"/>
        <v>100</v>
      </c>
      <c r="T38" s="667" t="s">
        <v>14</v>
      </c>
      <c r="U38" s="668">
        <f t="shared" si="11"/>
        <v>100</v>
      </c>
      <c r="V38" s="667" t="s">
        <v>14</v>
      </c>
      <c r="W38" s="668">
        <f t="shared" si="12"/>
        <v>100</v>
      </c>
      <c r="X38" s="1265"/>
      <c r="Y38" s="342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8"/>
      <c r="Q39" s="1263">
        <f t="shared" si="14"/>
        <v>111</v>
      </c>
      <c r="R39" s="667" t="s">
        <v>14</v>
      </c>
      <c r="S39" s="668">
        <f t="shared" si="10"/>
        <v>100</v>
      </c>
      <c r="T39" s="667" t="s">
        <v>14</v>
      </c>
      <c r="U39" s="668">
        <f t="shared" si="11"/>
        <v>100</v>
      </c>
      <c r="V39" s="667" t="s">
        <v>14</v>
      </c>
      <c r="W39" s="668">
        <f t="shared" si="12"/>
        <v>100</v>
      </c>
      <c r="X39" s="1265"/>
      <c r="Y39" s="342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8"/>
      <c r="Q40" s="1263">
        <f t="shared" si="14"/>
        <v>111</v>
      </c>
      <c r="R40" s="669" t="s">
        <v>14</v>
      </c>
      <c r="S40" s="670">
        <f t="shared" si="10"/>
        <v>100</v>
      </c>
      <c r="T40" s="669" t="s">
        <v>14</v>
      </c>
      <c r="U40" s="670">
        <f t="shared" si="11"/>
        <v>100</v>
      </c>
      <c r="V40" s="669" t="s">
        <v>14</v>
      </c>
      <c r="W40" s="670">
        <f t="shared" si="12"/>
        <v>100</v>
      </c>
      <c r="X40" s="671"/>
      <c r="Y40" s="3428"/>
      <c r="Z40" s="672">
        <f t="shared" si="13"/>
        <v>111</v>
      </c>
      <c r="AA40" s="1264">
        <f t="shared" si="3"/>
        <v>1</v>
      </c>
      <c r="AB40" s="1264">
        <f t="shared" si="4"/>
        <v>1</v>
      </c>
      <c r="AC40" s="1264">
        <f t="shared" si="5"/>
        <v>1</v>
      </c>
    </row>
    <row r="41" spans="1:31">
      <c r="A41" s="416" t="s">
        <v>1843</v>
      </c>
      <c r="B41" s="1830" t="s">
        <v>1921</v>
      </c>
      <c r="C41" s="602" t="s">
        <v>0</v>
      </c>
      <c r="D41" s="418"/>
      <c r="E41" s="419"/>
      <c r="F41" s="420"/>
      <c r="G41" s="421"/>
      <c r="H41" s="422"/>
      <c r="I41" s="419"/>
      <c r="J41" s="422"/>
      <c r="K41" s="674"/>
      <c r="L41" s="2492"/>
      <c r="M41" s="2485"/>
      <c r="N41" s="2485"/>
      <c r="O41" s="2485"/>
      <c r="P41" s="3421" t="str">
        <f>A41</f>
        <v>成交单价</v>
      </c>
      <c r="Q41" s="3421"/>
      <c r="R41" s="3422">
        <f>E41</f>
        <v>0</v>
      </c>
      <c r="S41" s="3422"/>
      <c r="T41" s="3422">
        <f>G41</f>
        <v>0</v>
      </c>
      <c r="U41" s="3422"/>
      <c r="V41" s="3422">
        <f>I41</f>
        <v>0</v>
      </c>
      <c r="W41" s="3422"/>
      <c r="X41" s="385"/>
      <c r="Y41" s="673"/>
      <c r="Z41" s="385"/>
      <c r="AA41" s="385"/>
      <c r="AB41" s="385"/>
      <c r="AC41" s="385"/>
    </row>
    <row r="42" spans="1:31" ht="14.5" thickBot="1">
      <c r="A42" s="423" t="s">
        <v>1792</v>
      </c>
      <c r="B42" s="603"/>
      <c r="C42" s="426" t="e">
        <f>R43</f>
        <v>#DIV/0!</v>
      </c>
      <c r="D42" s="2140" t="s">
        <v>2137</v>
      </c>
      <c r="E42" s="426" t="e">
        <f>R42</f>
        <v>#DIV/0!</v>
      </c>
      <c r="F42" s="2141"/>
      <c r="G42" s="425" t="e">
        <f>T42</f>
        <v>#DIV/0!</v>
      </c>
      <c r="H42" s="2141"/>
      <c r="I42" s="426" t="e">
        <f>V42</f>
        <v>#DIV/0!</v>
      </c>
      <c r="J42" s="2141"/>
      <c r="K42" s="2143">
        <f>F42+H42+J42</f>
        <v>0</v>
      </c>
      <c r="L42" s="2492"/>
      <c r="M42" s="2485"/>
      <c r="N42" s="2485"/>
      <c r="O42" s="2485"/>
      <c r="P42" s="3421" t="str">
        <f>A42</f>
        <v>比较价值（元/平方米）</v>
      </c>
      <c r="Q42" s="3421"/>
      <c r="R42" s="3480" t="e">
        <f>ROUND(PRODUCT(R41,AA7:AA40),0)</f>
        <v>#DIV/0!</v>
      </c>
      <c r="S42" s="3480"/>
      <c r="T42" s="3480" t="e">
        <f>ROUND(PRODUCT(T41,AB7:AB40),0)</f>
        <v>#DIV/0!</v>
      </c>
      <c r="U42" s="3480"/>
      <c r="V42" s="3480" t="e">
        <f>ROUND(PRODUCT(V41,AC7:AC40),0)</f>
        <v>#DIV/0!</v>
      </c>
      <c r="W42" s="3480"/>
      <c r="X42" s="385"/>
      <c r="Y42" s="385"/>
      <c r="Z42" s="385"/>
      <c r="AA42" s="385"/>
      <c r="AB42" s="385"/>
      <c r="AC42" s="385"/>
    </row>
    <row r="43" spans="1:31" ht="14.5" thickBot="1">
      <c r="A43" s="427" t="s">
        <v>1793</v>
      </c>
      <c r="B43" s="428"/>
      <c r="C43" s="429" t="e">
        <f>R43</f>
        <v>#DIV/0!</v>
      </c>
      <c r="D43" s="429"/>
      <c r="E43" s="429"/>
      <c r="F43" s="429"/>
      <c r="G43" s="429"/>
      <c r="H43" s="429"/>
      <c r="I43" s="429"/>
      <c r="J43" s="429"/>
      <c r="K43" s="675"/>
      <c r="L43" s="2492"/>
      <c r="M43" s="2485"/>
      <c r="N43" s="2485"/>
      <c r="O43" s="2485"/>
      <c r="P43" s="3418" t="str">
        <f>A43</f>
        <v>估价对象XX用房的比较价值（楼面单价，元/平方米）</v>
      </c>
      <c r="Q43" s="3419"/>
      <c r="R43" s="3481" t="e">
        <f>ROUND(IF(D42="简单平均",AVERAGE(R42:W42),R42*F42+T42*H42+V42*J42),0)</f>
        <v>#DIV/0!</v>
      </c>
      <c r="S43" s="3481"/>
      <c r="T43" s="3481"/>
      <c r="U43" s="3481"/>
      <c r="V43" s="3481"/>
      <c r="W43" s="348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1880</v>
      </c>
      <c r="B50" s="605" t="s">
        <v>1881</v>
      </c>
      <c r="C50" s="1831" t="s">
        <v>1882</v>
      </c>
      <c r="D50" s="1832" t="s">
        <v>1883</v>
      </c>
      <c r="E50" s="606" t="s">
        <v>1884</v>
      </c>
      <c r="F50" s="607" t="s">
        <v>1885</v>
      </c>
      <c r="G50" s="3436" t="s">
        <v>1886</v>
      </c>
      <c r="H50" s="3482"/>
      <c r="I50" s="1264" t="s">
        <v>1922</v>
      </c>
      <c r="J50" s="1264">
        <f>项目基本情况!F35</f>
        <v>0</v>
      </c>
      <c r="K50" s="1834"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1889</v>
      </c>
      <c r="B51" s="609" t="e">
        <f>C43</f>
        <v>#DIV/0!</v>
      </c>
      <c r="C51" s="610">
        <v>1</v>
      </c>
      <c r="D51" s="890">
        <v>1</v>
      </c>
      <c r="E51" s="610">
        <f>'数据-汇总表'!E8+'数据-汇总表'!E9</f>
        <v>2256.4</v>
      </c>
      <c r="F51" s="611" t="e">
        <f t="shared" ref="F51:F60" si="15">ROUND(B51*E51/10000,0)</f>
        <v>#DIV/0!</v>
      </c>
      <c r="G51" s="3432"/>
      <c r="H51" s="342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1890</v>
      </c>
      <c r="B52" s="210" t="e">
        <f>ROUND($C$43*C52*D52,0)</f>
        <v>#DIV/0!</v>
      </c>
      <c r="C52" s="163">
        <f t="shared" ref="C52:C60" si="16">IF($C$50="北京市系数",I52,J52)</f>
        <v>0</v>
      </c>
      <c r="D52" s="891">
        <v>0.25</v>
      </c>
      <c r="E52" s="614"/>
      <c r="F52" s="611" t="e">
        <f t="shared" si="15"/>
        <v>#DIV/0!</v>
      </c>
      <c r="G52" s="2748" t="s">
        <v>1891</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1892</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1893</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1894</v>
      </c>
      <c r="B56" s="210" t="e">
        <f t="shared" si="17"/>
        <v>#DIV/0!</v>
      </c>
      <c r="C56" s="163">
        <f t="shared" si="16"/>
        <v>0.2</v>
      </c>
      <c r="D56" s="891">
        <v>0.25</v>
      </c>
      <c r="E56" s="209">
        <f>'数据-汇总表'!E11</f>
        <v>0</v>
      </c>
      <c r="F56" s="611" t="e">
        <f t="shared" si="15"/>
        <v>#DIV/0!</v>
      </c>
      <c r="G56" s="1835" t="s">
        <v>1895</v>
      </c>
      <c r="H56" s="834" t="str">
        <f>项目基本情况!C37</f>
        <v>八级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1896</v>
      </c>
      <c r="B57" s="210" t="e">
        <f t="shared" si="17"/>
        <v>#DIV/0!</v>
      </c>
      <c r="C57" s="163">
        <f t="shared" si="16"/>
        <v>0.2</v>
      </c>
      <c r="D57" s="891">
        <v>0.25</v>
      </c>
      <c r="E57" s="209">
        <f>'数据-汇总表'!E12</f>
        <v>0</v>
      </c>
      <c r="F57" s="611" t="e">
        <f t="shared" si="15"/>
        <v>#DIV/0!</v>
      </c>
      <c r="G57" s="839" t="s">
        <v>1897</v>
      </c>
      <c r="H57" s="834" t="str">
        <f>IF(G57="商业",项目基本情况!B37,IF(G57="办公",项目基本情况!C37,IF(G57="住宅",项目基本情况!D37,项目基本情况!E37)))</f>
        <v>八级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1901</v>
      </c>
      <c r="B60" s="210" t="e">
        <f t="shared" si="17"/>
        <v>#DIV/0!</v>
      </c>
      <c r="C60" s="163">
        <f t="shared" si="16"/>
        <v>0.1</v>
      </c>
      <c r="D60" s="891">
        <v>0.25</v>
      </c>
      <c r="E60" s="209">
        <f>'数据-汇总表'!E15</f>
        <v>0</v>
      </c>
      <c r="F60" s="611" t="e">
        <f t="shared" si="15"/>
        <v>#DIV/0!</v>
      </c>
      <c r="G60" s="1836" t="s">
        <v>1895</v>
      </c>
      <c r="H60" s="844" t="str">
        <f>项目基本情况!C37</f>
        <v>八级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1902</v>
      </c>
      <c r="B61" s="616" t="s">
        <v>22</v>
      </c>
      <c r="C61" s="616" t="s">
        <v>23</v>
      </c>
      <c r="D61" s="616" t="s">
        <v>392</v>
      </c>
      <c r="E61" s="616">
        <f>IF(B41="楼面地价",SUM(E51:E60),'数据-汇总表'!D3)</f>
        <v>5851.68</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1797</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1903</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1715</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1680</v>
      </c>
      <c r="B68" s="444"/>
      <c r="C68" s="456" t="s">
        <v>1775</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1718</v>
      </c>
      <c r="B70" s="460" t="s">
        <v>1684</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1687</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1689</v>
      </c>
      <c r="B83" s="460" t="s">
        <v>1828</v>
      </c>
      <c r="C83" s="504" t="s">
        <v>1720</v>
      </c>
      <c r="D83" s="504" t="s">
        <v>1721</v>
      </c>
      <c r="E83" s="504" t="s">
        <v>1722</v>
      </c>
      <c r="F83" s="504" t="s">
        <v>1723</v>
      </c>
      <c r="G83" s="504" t="s">
        <v>1724</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1725</v>
      </c>
      <c r="C85" s="509" t="s">
        <v>1720</v>
      </c>
      <c r="D85" s="509" t="s">
        <v>1721</v>
      </c>
      <c r="E85" s="509" t="s">
        <v>1722</v>
      </c>
      <c r="F85" s="509" t="s">
        <v>1723</v>
      </c>
      <c r="G85" s="509" t="s">
        <v>1724</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1906</v>
      </c>
      <c r="C87" s="504" t="s">
        <v>1720</v>
      </c>
      <c r="D87" s="504" t="s">
        <v>1721</v>
      </c>
      <c r="E87" s="504" t="s">
        <v>1722</v>
      </c>
      <c r="F87" s="504" t="s">
        <v>1723</v>
      </c>
      <c r="G87" s="504" t="s">
        <v>1724</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1907</v>
      </c>
      <c r="C89" s="504" t="s">
        <v>1720</v>
      </c>
      <c r="D89" s="504" t="s">
        <v>1721</v>
      </c>
      <c r="E89" s="504" t="s">
        <v>1722</v>
      </c>
      <c r="F89" s="504" t="s">
        <v>1723</v>
      </c>
      <c r="G89" s="504" t="s">
        <v>1724</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1777</v>
      </c>
      <c r="C91" s="504" t="s">
        <v>1720</v>
      </c>
      <c r="D91" s="504" t="s">
        <v>1721</v>
      </c>
      <c r="E91" s="504" t="s">
        <v>1722</v>
      </c>
      <c r="F91" s="504" t="s">
        <v>1723</v>
      </c>
      <c r="G91" s="504" t="s">
        <v>1724</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1924</v>
      </c>
      <c r="C93" s="581" t="s">
        <v>1798</v>
      </c>
      <c r="D93" s="581" t="s">
        <v>1799</v>
      </c>
      <c r="E93" s="581" t="s">
        <v>1800</v>
      </c>
      <c r="F93" s="581" t="s">
        <v>1801</v>
      </c>
      <c r="G93" s="581" t="s">
        <v>1802</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1908</v>
      </c>
      <c r="D95" s="470" t="s">
        <v>1909</v>
      </c>
      <c r="E95" s="470" t="s">
        <v>1910</v>
      </c>
      <c r="F95" s="470" t="s">
        <v>1911</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1814</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1872</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1913</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1915</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1916</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90" t="s">
        <v>2083</v>
      </c>
      <c r="D1" s="3491"/>
      <c r="E1" s="3491"/>
      <c r="F1" s="3491"/>
      <c r="G1" s="3491"/>
      <c r="H1" s="3491"/>
      <c r="I1" s="3491"/>
      <c r="J1" s="3491"/>
      <c r="K1" s="3491"/>
      <c r="L1" s="3491"/>
      <c r="M1" s="3491"/>
      <c r="N1" s="3491"/>
      <c r="O1" s="3491"/>
      <c r="P1" s="3491"/>
      <c r="Q1" s="3491"/>
      <c r="R1" s="3491"/>
      <c r="S1" s="3492"/>
      <c r="T1" s="929" t="s">
        <v>2084</v>
      </c>
    </row>
    <row r="2" spans="1:45" s="625" customFormat="1" ht="13">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2094</v>
      </c>
      <c r="E19" s="1253"/>
      <c r="F19" s="1253"/>
      <c r="G19" s="1253"/>
      <c r="H19" s="996"/>
      <c r="I19" s="151"/>
      <c r="J19" s="151"/>
      <c r="K19" s="151"/>
      <c r="L19" s="151"/>
      <c r="M19" s="151"/>
      <c r="N19" s="151"/>
      <c r="O19" s="151"/>
      <c r="P19" s="151"/>
      <c r="Q19" s="151"/>
      <c r="R19" s="151"/>
      <c r="S19" s="121"/>
    </row>
    <row r="20" spans="1:45" ht="16"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2098</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6">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2104</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2080</v>
      </c>
      <c r="B1" s="4"/>
      <c r="C1" s="4"/>
      <c r="D1" s="4"/>
      <c r="E1" s="4"/>
      <c r="F1" s="2542"/>
      <c r="G1" s="2542"/>
      <c r="H1" s="2542"/>
      <c r="I1" s="2542"/>
      <c r="J1" s="2542"/>
      <c r="K1" s="2542"/>
      <c r="L1" s="2542"/>
      <c r="M1" s="2542"/>
      <c r="N1" s="2542"/>
      <c r="O1" s="2542"/>
      <c r="P1" s="2542"/>
    </row>
    <row r="2" spans="1:16" ht="15.5">
      <c r="A2" s="1984" t="s">
        <v>2072</v>
      </c>
      <c r="B2" s="2386">
        <f ca="1">SUMIF(B6:B13,"&lt;&gt;#ref!",B6:B13)</f>
        <v>4330</v>
      </c>
      <c r="C2" s="1984" t="s">
        <v>2073</v>
      </c>
      <c r="D2" s="1984" t="s">
        <v>2074</v>
      </c>
      <c r="E2" s="2396">
        <f ca="1">SUMIF(E6:E13,"&lt;&gt;#ref!",E6:E13)</f>
        <v>5851.68</v>
      </c>
      <c r="F2" s="2542"/>
      <c r="G2" s="2542"/>
      <c r="H2" s="2542"/>
      <c r="I2" s="2542"/>
      <c r="J2" s="2542"/>
      <c r="K2" s="2542"/>
      <c r="L2" s="2542"/>
      <c r="M2" s="2542"/>
      <c r="N2" s="2542"/>
      <c r="O2" s="2542"/>
      <c r="P2" s="2542"/>
    </row>
    <row r="3" spans="1:16" ht="15.5">
      <c r="A3" s="1984" t="s">
        <v>2075</v>
      </c>
      <c r="B3" s="2386">
        <f ca="1">ROUND(B2*10000/E2,0)</f>
        <v>7400</v>
      </c>
      <c r="C3" s="1984" t="s">
        <v>2081</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2076</v>
      </c>
      <c r="B5" s="2394" t="s">
        <v>2077</v>
      </c>
      <c r="C5" s="1985"/>
      <c r="D5" s="2542"/>
      <c r="E5" s="2395" t="s">
        <v>2078</v>
      </c>
      <c r="F5" s="2542"/>
      <c r="G5" s="2542"/>
      <c r="H5" s="2542"/>
      <c r="I5" s="2542"/>
      <c r="J5" s="2542"/>
      <c r="K5" s="2542"/>
      <c r="L5" s="2542"/>
      <c r="M5" s="2542"/>
      <c r="N5" s="2542"/>
      <c r="O5" s="2542"/>
      <c r="P5" s="2542"/>
    </row>
    <row r="6" spans="1:16" ht="15.5">
      <c r="A6" s="2393" t="s">
        <v>2079</v>
      </c>
      <c r="B6" s="2386">
        <f ca="1">SUMIF(INDIRECT("'"&amp;A6&amp;"'"&amp;"!A:A"),"总价",INDIRECT("'"&amp;A6&amp;"'"&amp;"!B:B"))</f>
        <v>4330</v>
      </c>
      <c r="C6" s="1984" t="s">
        <v>2073</v>
      </c>
      <c r="D6" s="2542"/>
      <c r="E6" s="2396">
        <f ca="1">SUMIF(INDIRECT("'"&amp;A6&amp;"'"&amp;"!C:C"),"建筑面积",INDIRECT("'"&amp;A6&amp;"'"&amp;"!D:D"))</f>
        <v>5851.68</v>
      </c>
      <c r="F6" s="2542"/>
      <c r="G6" s="2542"/>
      <c r="H6" s="2542"/>
      <c r="I6" s="2542"/>
      <c r="J6" s="2542"/>
      <c r="K6" s="2542"/>
      <c r="L6" s="2542"/>
      <c r="M6" s="2542"/>
      <c r="N6" s="2542"/>
      <c r="O6" s="2542"/>
      <c r="P6" s="2542"/>
    </row>
    <row r="7" spans="1:16" ht="15.5">
      <c r="A7" s="2393"/>
      <c r="B7" s="2386" t="e">
        <f ca="1">SUMIF(INDIRECT("'"&amp;A7&amp;"'"&amp;"!A:A"),"总价",INDIRECT("'"&amp;A7&amp;"'"&amp;"!B:B"))</f>
        <v>#REF!</v>
      </c>
      <c r="C7" s="1984"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2073</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2073</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2073</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2073</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2073</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4" t="s">
        <v>2606</v>
      </c>
      <c r="B20" s="3497" t="s">
        <v>2627</v>
      </c>
      <c r="C20" s="3166" t="s">
        <v>2438</v>
      </c>
      <c r="D20" s="3166"/>
      <c r="E20" s="2842">
        <v>1</v>
      </c>
      <c r="F20" s="2843" t="s">
        <v>2439</v>
      </c>
      <c r="G20" s="2843"/>
    </row>
    <row r="21" spans="1:13" ht="19.5" customHeight="1">
      <c r="A21" s="3505"/>
      <c r="B21" s="3493"/>
      <c r="C21" s="2855" t="s">
        <v>2440</v>
      </c>
      <c r="D21" s="2855"/>
      <c r="E21" s="2846">
        <v>1</v>
      </c>
      <c r="F21" s="2843" t="s">
        <v>2441</v>
      </c>
      <c r="G21" s="2843"/>
    </row>
    <row r="22" spans="1:13" ht="19.5" customHeight="1">
      <c r="A22" s="3505"/>
      <c r="B22" s="3493"/>
      <c r="C22" s="2855" t="s">
        <v>2442</v>
      </c>
      <c r="D22" s="2855"/>
      <c r="E22" s="2846">
        <v>0.9</v>
      </c>
      <c r="F22" s="2843" t="s">
        <v>2443</v>
      </c>
      <c r="G22" s="2843"/>
    </row>
    <row r="23" spans="1:13" ht="19.5" customHeight="1">
      <c r="A23" s="3505"/>
      <c r="B23" s="3493"/>
      <c r="C23" s="2855" t="s">
        <v>2444</v>
      </c>
      <c r="D23" s="2855"/>
      <c r="E23" s="2846">
        <v>0.9</v>
      </c>
      <c r="F23" s="2843" t="s">
        <v>2445</v>
      </c>
      <c r="G23" s="2843"/>
    </row>
    <row r="24" spans="1:13" ht="19.5" customHeight="1">
      <c r="A24" s="3505"/>
      <c r="B24" s="3493"/>
      <c r="C24" s="2855" t="s">
        <v>2446</v>
      </c>
      <c r="D24" s="2855"/>
      <c r="E24" s="2846">
        <v>0.8</v>
      </c>
      <c r="F24" s="2843" t="s">
        <v>2447</v>
      </c>
      <c r="G24" s="2843"/>
    </row>
    <row r="25" spans="1:13" ht="19.5" customHeight="1">
      <c r="A25" s="3505"/>
      <c r="B25" s="3493"/>
      <c r="C25" s="2855" t="s">
        <v>2448</v>
      </c>
      <c r="D25" s="2855"/>
      <c r="E25" s="2846">
        <v>0.8</v>
      </c>
      <c r="F25" s="2843"/>
      <c r="G25" s="2843"/>
    </row>
    <row r="26" spans="1:13" ht="19.5" customHeight="1">
      <c r="A26" s="3505"/>
      <c r="B26" s="3493"/>
      <c r="C26" s="2855" t="s">
        <v>3409</v>
      </c>
      <c r="D26" s="2855"/>
      <c r="E26" s="2846">
        <v>0.43</v>
      </c>
      <c r="F26" s="2843"/>
      <c r="G26" s="2843"/>
    </row>
    <row r="27" spans="1:13" ht="19.5" customHeight="1" thickBot="1">
      <c r="A27" s="3506"/>
      <c r="B27" s="3498"/>
      <c r="C27" s="3162" t="s">
        <v>3410</v>
      </c>
      <c r="D27" s="3162"/>
      <c r="E27" s="2849">
        <f>E26*0.9</f>
        <v>0.38700000000000001</v>
      </c>
      <c r="F27" s="2843" t="s">
        <v>2449</v>
      </c>
      <c r="G27" s="2843"/>
    </row>
    <row r="28" spans="1:13" ht="19.5" customHeight="1" thickBot="1">
      <c r="A28" s="3161" t="s">
        <v>2628</v>
      </c>
      <c r="B28" s="3160" t="s">
        <v>2627</v>
      </c>
      <c r="C28" s="3163" t="s">
        <v>2629</v>
      </c>
      <c r="D28" s="3164"/>
      <c r="E28" s="3165">
        <v>1</v>
      </c>
      <c r="F28" s="2843" t="s">
        <v>2450</v>
      </c>
      <c r="G28" s="2843"/>
    </row>
    <row r="29" spans="1:13" ht="19.5" customHeight="1">
      <c r="A29" s="3499" t="s">
        <v>2630</v>
      </c>
      <c r="B29" s="3502" t="s">
        <v>2611</v>
      </c>
      <c r="C29" s="2840" t="s">
        <v>2451</v>
      </c>
      <c r="D29" s="2841"/>
      <c r="E29" s="2842">
        <v>1</v>
      </c>
      <c r="F29" s="2843" t="s">
        <v>2452</v>
      </c>
      <c r="G29" s="2843"/>
    </row>
    <row r="30" spans="1:13" ht="19.5" customHeight="1">
      <c r="A30" s="3500"/>
      <c r="B30" s="3496"/>
      <c r="C30" s="2844" t="s">
        <v>2453</v>
      </c>
      <c r="D30" s="2845"/>
      <c r="E30" s="2846">
        <v>1</v>
      </c>
      <c r="F30" s="2843" t="s">
        <v>2454</v>
      </c>
      <c r="G30" s="2843"/>
    </row>
    <row r="31" spans="1:13" ht="19.5" customHeight="1">
      <c r="A31" s="3500"/>
      <c r="B31" s="3496"/>
      <c r="C31" s="2844" t="s">
        <v>2455</v>
      </c>
      <c r="D31" s="2845"/>
      <c r="E31" s="2846">
        <v>0.8</v>
      </c>
      <c r="F31" s="2843" t="s">
        <v>2456</v>
      </c>
      <c r="G31" s="2843"/>
    </row>
    <row r="32" spans="1:13" ht="19.5" customHeight="1">
      <c r="A32" s="3500"/>
      <c r="B32" s="3496"/>
      <c r="C32" s="2844" t="s">
        <v>2457</v>
      </c>
      <c r="D32" s="2845"/>
      <c r="E32" s="2846">
        <v>0.8</v>
      </c>
      <c r="F32" s="2843" t="s">
        <v>2458</v>
      </c>
      <c r="G32" s="2843"/>
    </row>
    <row r="33" spans="1:7" ht="19.5" customHeight="1">
      <c r="A33" s="3500"/>
      <c r="B33" s="3496"/>
      <c r="C33" s="2844" t="s">
        <v>2459</v>
      </c>
      <c r="D33" s="2845"/>
      <c r="E33" s="2846">
        <v>0.8</v>
      </c>
      <c r="F33" s="2843" t="s">
        <v>2460</v>
      </c>
      <c r="G33" s="2843"/>
    </row>
    <row r="34" spans="1:7" ht="19.5" customHeight="1">
      <c r="A34" s="3500"/>
      <c r="B34" s="3496"/>
      <c r="C34" s="2844" t="s">
        <v>2461</v>
      </c>
      <c r="D34" s="2845"/>
      <c r="E34" s="2846">
        <v>0.7</v>
      </c>
      <c r="F34" s="2843" t="s">
        <v>2462</v>
      </c>
      <c r="G34" s="2843"/>
    </row>
    <row r="35" spans="1:7" ht="19.5" customHeight="1">
      <c r="A35" s="3500"/>
      <c r="B35" s="3496"/>
      <c r="C35" s="2844" t="s">
        <v>2463</v>
      </c>
      <c r="D35" s="2845"/>
      <c r="E35" s="2846">
        <v>0.8</v>
      </c>
      <c r="F35" s="2843" t="s">
        <v>2464</v>
      </c>
      <c r="G35" s="2843"/>
    </row>
    <row r="36" spans="1:7" ht="19.5" customHeight="1">
      <c r="A36" s="3500"/>
      <c r="B36" s="3496"/>
      <c r="C36" s="2844" t="s">
        <v>2465</v>
      </c>
      <c r="D36" s="2845"/>
      <c r="E36" s="2846">
        <v>0.6</v>
      </c>
      <c r="F36" s="2843" t="s">
        <v>2466</v>
      </c>
      <c r="G36" s="2843"/>
    </row>
    <row r="37" spans="1:7" ht="19.5" customHeight="1">
      <c r="A37" s="3500"/>
      <c r="B37" s="3496"/>
      <c r="C37" s="2844" t="s">
        <v>2467</v>
      </c>
      <c r="D37" s="2845"/>
      <c r="E37" s="2846">
        <v>0.2</v>
      </c>
      <c r="F37" s="2843" t="s">
        <v>2468</v>
      </c>
      <c r="G37" s="2843"/>
    </row>
    <row r="38" spans="1:7" ht="19.5" customHeight="1">
      <c r="A38" s="3500"/>
      <c r="B38" s="3496"/>
      <c r="C38" s="2844" t="s">
        <v>2469</v>
      </c>
      <c r="D38" s="2845"/>
      <c r="E38" s="2846">
        <v>0.2</v>
      </c>
      <c r="F38" s="2843" t="s">
        <v>2470</v>
      </c>
      <c r="G38" s="2843"/>
    </row>
    <row r="39" spans="1:7" ht="19.5" customHeight="1">
      <c r="A39" s="3500"/>
      <c r="B39" s="3494" t="s">
        <v>2631</v>
      </c>
      <c r="C39" s="2844" t="s">
        <v>2471</v>
      </c>
      <c r="D39" s="2845"/>
      <c r="E39" s="2846">
        <v>0.6</v>
      </c>
      <c r="F39" s="2843" t="s">
        <v>2472</v>
      </c>
      <c r="G39" s="2843"/>
    </row>
    <row r="40" spans="1:7" ht="19.5" customHeight="1">
      <c r="A40" s="3500"/>
      <c r="B40" s="3496"/>
      <c r="C40" s="2844" t="s">
        <v>2473</v>
      </c>
      <c r="D40" s="2845"/>
      <c r="E40" s="2846">
        <v>0.6</v>
      </c>
      <c r="F40" s="2843" t="s">
        <v>2474</v>
      </c>
      <c r="G40" s="2843"/>
    </row>
    <row r="41" spans="1:7" ht="19.5" customHeight="1" thickBot="1">
      <c r="A41" s="3501"/>
      <c r="B41" s="3503"/>
      <c r="C41" s="2847" t="s">
        <v>2475</v>
      </c>
      <c r="D41" s="2848"/>
      <c r="E41" s="2849">
        <v>0.6</v>
      </c>
      <c r="F41" s="2843" t="s">
        <v>2476</v>
      </c>
      <c r="G41" s="2843"/>
    </row>
    <row r="42" spans="1:7" ht="19.5" customHeight="1" thickBot="1">
      <c r="A42" s="2850" t="s">
        <v>2608</v>
      </c>
      <c r="B42" s="2851" t="s">
        <v>2608</v>
      </c>
      <c r="C42" s="2852" t="s">
        <v>2632</v>
      </c>
      <c r="D42" s="2853"/>
      <c r="E42" s="2854">
        <v>1</v>
      </c>
      <c r="F42" s="2843" t="s">
        <v>2477</v>
      </c>
      <c r="G42" s="2843"/>
    </row>
    <row r="43" spans="1:7" ht="19.5" customHeight="1">
      <c r="A43" s="3504" t="s">
        <v>2609</v>
      </c>
      <c r="B43" s="3502" t="s">
        <v>2633</v>
      </c>
      <c r="C43" s="2840" t="s">
        <v>2478</v>
      </c>
      <c r="D43" s="2841"/>
      <c r="E43" s="2842">
        <v>1</v>
      </c>
      <c r="F43" s="2843" t="s">
        <v>2479</v>
      </c>
      <c r="G43" s="2843"/>
    </row>
    <row r="44" spans="1:7" ht="19.5" customHeight="1">
      <c r="A44" s="3505"/>
      <c r="B44" s="3496"/>
      <c r="C44" s="2844" t="s">
        <v>2480</v>
      </c>
      <c r="D44" s="2845"/>
      <c r="E44" s="2846">
        <v>1</v>
      </c>
      <c r="F44" s="2843" t="s">
        <v>2481</v>
      </c>
      <c r="G44" s="2843"/>
    </row>
    <row r="45" spans="1:7" ht="19.5" customHeight="1">
      <c r="A45" s="3505"/>
      <c r="B45" s="3495"/>
      <c r="C45" s="2844" t="s">
        <v>2482</v>
      </c>
      <c r="D45" s="2845"/>
      <c r="E45" s="2846">
        <v>1.5</v>
      </c>
      <c r="F45" s="2843" t="s">
        <v>2483</v>
      </c>
      <c r="G45" s="2843"/>
    </row>
    <row r="46" spans="1:7" ht="19.5" customHeight="1">
      <c r="A46" s="3505"/>
      <c r="B46" s="2855" t="s">
        <v>2634</v>
      </c>
      <c r="C46" s="2844" t="s">
        <v>2635</v>
      </c>
      <c r="D46" s="2845"/>
      <c r="E46" s="2846">
        <v>2</v>
      </c>
      <c r="F46" s="2843" t="s">
        <v>2484</v>
      </c>
      <c r="G46" s="2843"/>
    </row>
    <row r="47" spans="1:7" ht="19.5" customHeight="1">
      <c r="A47" s="3505"/>
      <c r="B47" s="3494" t="s">
        <v>2636</v>
      </c>
      <c r="C47" s="2844" t="s">
        <v>2485</v>
      </c>
      <c r="D47" s="2845"/>
      <c r="E47" s="2846">
        <v>1</v>
      </c>
      <c r="F47" s="2843" t="s">
        <v>2486</v>
      </c>
      <c r="G47" s="2843"/>
    </row>
    <row r="48" spans="1:7" ht="19.5" customHeight="1">
      <c r="A48" s="3505"/>
      <c r="B48" s="3496"/>
      <c r="C48" s="2844" t="s">
        <v>2487</v>
      </c>
      <c r="D48" s="2845"/>
      <c r="E48" s="2846">
        <v>1</v>
      </c>
      <c r="F48" s="2843" t="s">
        <v>2488</v>
      </c>
      <c r="G48" s="2843"/>
    </row>
    <row r="49" spans="1:7" ht="19.5" customHeight="1">
      <c r="A49" s="3505"/>
      <c r="B49" s="3496"/>
      <c r="C49" s="2844" t="s">
        <v>2489</v>
      </c>
      <c r="D49" s="2845"/>
      <c r="E49" s="2846">
        <v>1</v>
      </c>
      <c r="F49" s="2843" t="s">
        <v>2490</v>
      </c>
      <c r="G49" s="2843"/>
    </row>
    <row r="50" spans="1:7" ht="19.5" customHeight="1">
      <c r="A50" s="3505"/>
      <c r="B50" s="3496"/>
      <c r="C50" s="2844" t="s">
        <v>2491</v>
      </c>
      <c r="D50" s="2845"/>
      <c r="E50" s="2846">
        <v>1</v>
      </c>
      <c r="F50" s="2843" t="s">
        <v>2492</v>
      </c>
      <c r="G50" s="2843"/>
    </row>
    <row r="51" spans="1:7" ht="19.5" customHeight="1">
      <c r="A51" s="3505"/>
      <c r="B51" s="3496"/>
      <c r="C51" s="2844" t="s">
        <v>2493</v>
      </c>
      <c r="D51" s="2845"/>
      <c r="E51" s="2846">
        <v>1</v>
      </c>
      <c r="F51" s="2843" t="s">
        <v>2494</v>
      </c>
      <c r="G51" s="2843"/>
    </row>
    <row r="52" spans="1:7" ht="19.5" customHeight="1">
      <c r="A52" s="3505"/>
      <c r="B52" s="3496"/>
      <c r="C52" s="2844" t="s">
        <v>2495</v>
      </c>
      <c r="D52" s="2845"/>
      <c r="E52" s="2846">
        <v>1</v>
      </c>
      <c r="F52" s="2843" t="s">
        <v>2496</v>
      </c>
      <c r="G52" s="2843"/>
    </row>
    <row r="53" spans="1:7" ht="19.5" customHeight="1" thickBot="1">
      <c r="A53" s="3506"/>
      <c r="B53" s="3503"/>
      <c r="C53" s="2847" t="s">
        <v>2497</v>
      </c>
      <c r="D53" s="2848"/>
      <c r="E53" s="2849">
        <v>1</v>
      </c>
      <c r="F53" s="2843" t="s">
        <v>2498</v>
      </c>
      <c r="G53" s="2843"/>
    </row>
    <row r="54" spans="1:7" ht="19.5" customHeight="1">
      <c r="A54" s="2856"/>
      <c r="B54" s="2856"/>
      <c r="C54" s="2856"/>
      <c r="D54" s="2856"/>
      <c r="E54" s="2856"/>
      <c r="F54" s="2856"/>
      <c r="G54" s="2856"/>
    </row>
    <row r="56" spans="1:7" ht="19.5" customHeight="1">
      <c r="A56" s="2857"/>
      <c r="B56" s="2829" t="s">
        <v>2637</v>
      </c>
      <c r="C56" s="2829" t="s">
        <v>2637</v>
      </c>
      <c r="D56" s="2829" t="s">
        <v>2637</v>
      </c>
      <c r="E56" s="2832" t="s">
        <v>2637</v>
      </c>
      <c r="F56" s="2832" t="s">
        <v>2638</v>
      </c>
      <c r="G56" s="2832" t="s">
        <v>2639</v>
      </c>
    </row>
    <row r="57" spans="1:7" ht="19.5" customHeight="1">
      <c r="A57" s="2858"/>
      <c r="B57" s="2832" t="s">
        <v>2606</v>
      </c>
      <c r="C57" s="2832" t="s">
        <v>2606</v>
      </c>
      <c r="D57" s="2832" t="s">
        <v>2606</v>
      </c>
      <c r="E57" s="2829" t="s">
        <v>2607</v>
      </c>
      <c r="F57" s="2829" t="s">
        <v>2609</v>
      </c>
      <c r="G57" s="2829" t="s">
        <v>2640</v>
      </c>
    </row>
    <row r="58" spans="1:7" ht="19.5" customHeight="1">
      <c r="A58" s="2859"/>
      <c r="B58" s="2829">
        <v>1</v>
      </c>
      <c r="C58" s="2829">
        <v>2</v>
      </c>
      <c r="D58" s="2829">
        <v>3</v>
      </c>
      <c r="E58" s="2860" t="s">
        <v>2641</v>
      </c>
      <c r="F58" s="2860" t="s">
        <v>2641</v>
      </c>
      <c r="G58" s="2860" t="s">
        <v>2641</v>
      </c>
    </row>
    <row r="59" spans="1:7" ht="19.5" customHeight="1">
      <c r="A59" s="2861" t="s">
        <v>2594</v>
      </c>
      <c r="B59" s="2829">
        <v>0.7</v>
      </c>
      <c r="C59" s="2829">
        <v>0.4</v>
      </c>
      <c r="D59" s="2829">
        <v>0.3</v>
      </c>
      <c r="E59" s="2860">
        <v>0.3</v>
      </c>
      <c r="F59" s="2829">
        <v>0.3</v>
      </c>
      <c r="G59" s="2829">
        <v>0.2</v>
      </c>
    </row>
    <row r="60" spans="1:7" ht="19.5" customHeight="1">
      <c r="A60" s="2861" t="s">
        <v>2595</v>
      </c>
      <c r="B60" s="2829">
        <v>0.7</v>
      </c>
      <c r="C60" s="2829">
        <v>0.4</v>
      </c>
      <c r="D60" s="2829">
        <v>0.3</v>
      </c>
      <c r="E60" s="2829">
        <v>0.3</v>
      </c>
      <c r="F60" s="2829">
        <v>0.3</v>
      </c>
      <c r="G60" s="2829">
        <v>0.2</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0.6</v>
      </c>
      <c r="C64" s="2829">
        <v>0.3</v>
      </c>
      <c r="D64" s="2829">
        <v>0.25</v>
      </c>
      <c r="E64" s="2829">
        <v>0.25</v>
      </c>
      <c r="F64" s="2829">
        <v>0.25</v>
      </c>
      <c r="G64" s="2829">
        <v>0.15</v>
      </c>
    </row>
    <row r="65" spans="1:7" ht="19.5" customHeight="1">
      <c r="A65" s="2861" t="s">
        <v>2600</v>
      </c>
      <c r="B65" s="2829">
        <v>0.6</v>
      </c>
      <c r="C65" s="2829">
        <v>0.3</v>
      </c>
      <c r="D65" s="2829">
        <v>0.25</v>
      </c>
      <c r="E65" s="2829">
        <v>0.25</v>
      </c>
      <c r="F65" s="2829">
        <v>0.25</v>
      </c>
      <c r="G65" s="2829">
        <v>0.15</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69" spans="1:7" ht="19.5" customHeight="1">
      <c r="A69" s="2861" t="s">
        <v>2604</v>
      </c>
      <c r="B69" s="2829">
        <v>0.5</v>
      </c>
      <c r="C69" s="2829">
        <v>0.2</v>
      </c>
      <c r="D69" s="2829">
        <v>0.2</v>
      </c>
      <c r="E69" s="2829">
        <v>0.2</v>
      </c>
      <c r="F69" s="2829">
        <v>0.2</v>
      </c>
      <c r="G69" s="2829">
        <v>0.1</v>
      </c>
    </row>
    <row r="70" spans="1:7" ht="19.5" customHeight="1">
      <c r="A70" s="2861" t="s">
        <v>2605</v>
      </c>
      <c r="B70" s="2829">
        <v>0.5</v>
      </c>
      <c r="C70" s="2829">
        <v>0.2</v>
      </c>
      <c r="D70" s="2829">
        <v>0.2</v>
      </c>
      <c r="E70" s="2829">
        <v>0.2</v>
      </c>
      <c r="F70" s="2829">
        <v>0.2</v>
      </c>
      <c r="G70" s="2829">
        <v>0.1</v>
      </c>
    </row>
    <row r="72" spans="1:7" ht="19.5" customHeight="1">
      <c r="A72" s="2843"/>
      <c r="B72" s="2862"/>
      <c r="C72" s="2862"/>
      <c r="D72" s="2862" t="s">
        <v>2642</v>
      </c>
      <c r="E72" s="2862"/>
      <c r="F72" s="2862"/>
    </row>
    <row r="73" spans="1:7" ht="19.5" customHeight="1">
      <c r="A73" s="2855" t="s">
        <v>2643</v>
      </c>
      <c r="B73" s="2855" t="s">
        <v>2644</v>
      </c>
      <c r="C73" s="2855" t="s">
        <v>2645</v>
      </c>
      <c r="D73" s="2855" t="s">
        <v>2646</v>
      </c>
      <c r="E73" s="2855" t="s">
        <v>2647</v>
      </c>
      <c r="F73" s="2855" t="s">
        <v>2648</v>
      </c>
    </row>
    <row r="74" spans="1:7" ht="14">
      <c r="A74" s="2855"/>
      <c r="B74" s="2855"/>
      <c r="C74" s="2855" t="s">
        <v>2649</v>
      </c>
      <c r="D74" s="2855"/>
      <c r="E74" s="2855" t="s">
        <v>2620</v>
      </c>
      <c r="F74" s="2855" t="s">
        <v>2620</v>
      </c>
    </row>
    <row r="75" spans="1:7" ht="14">
      <c r="A75" s="2855">
        <v>1</v>
      </c>
      <c r="B75" s="3494" t="s">
        <v>2650</v>
      </c>
      <c r="C75" s="2829" t="s">
        <v>2651</v>
      </c>
      <c r="D75" s="2829" t="s">
        <v>2652</v>
      </c>
      <c r="E75" s="2855">
        <v>0.2</v>
      </c>
      <c r="F75" s="2855">
        <v>25</v>
      </c>
    </row>
    <row r="76" spans="1:7" ht="26">
      <c r="A76" s="2855">
        <v>2</v>
      </c>
      <c r="B76" s="3496"/>
      <c r="C76" s="2829" t="s">
        <v>2653</v>
      </c>
      <c r="D76" s="2829" t="s">
        <v>2654</v>
      </c>
      <c r="E76" s="2855">
        <v>0.2</v>
      </c>
      <c r="F76" s="2855">
        <v>25</v>
      </c>
    </row>
    <row r="77" spans="1:7" ht="26">
      <c r="A77" s="2855">
        <v>3</v>
      </c>
      <c r="B77" s="3496"/>
      <c r="C77" s="2829" t="s">
        <v>2655</v>
      </c>
      <c r="D77" s="2829" t="s">
        <v>2656</v>
      </c>
      <c r="E77" s="2855">
        <v>0.2</v>
      </c>
      <c r="F77" s="2855">
        <v>25</v>
      </c>
    </row>
    <row r="78" spans="1:7" ht="14">
      <c r="A78" s="2855">
        <v>4</v>
      </c>
      <c r="B78" s="3496"/>
      <c r="C78" s="2829" t="s">
        <v>2657</v>
      </c>
      <c r="D78" s="2829" t="s">
        <v>2658</v>
      </c>
      <c r="E78" s="2855">
        <v>0.15</v>
      </c>
      <c r="F78" s="2855">
        <v>20</v>
      </c>
    </row>
    <row r="79" spans="1:7" ht="26">
      <c r="A79" s="2855">
        <v>5</v>
      </c>
      <c r="B79" s="3496"/>
      <c r="C79" s="2829" t="s">
        <v>2659</v>
      </c>
      <c r="D79" s="2829" t="s">
        <v>2660</v>
      </c>
      <c r="E79" s="2855">
        <v>0.15</v>
      </c>
      <c r="F79" s="2855">
        <v>20</v>
      </c>
    </row>
    <row r="80" spans="1:7" ht="26">
      <c r="A80" s="2855">
        <v>6</v>
      </c>
      <c r="B80" s="3496"/>
      <c r="C80" s="2829" t="s">
        <v>2661</v>
      </c>
      <c r="D80" s="2829" t="s">
        <v>2662</v>
      </c>
      <c r="E80" s="2855">
        <v>0.15</v>
      </c>
      <c r="F80" s="2855">
        <v>20</v>
      </c>
    </row>
    <row r="81" spans="1:6" ht="26">
      <c r="A81" s="2855">
        <v>7</v>
      </c>
      <c r="B81" s="3496"/>
      <c r="C81" s="2829" t="s">
        <v>2663</v>
      </c>
      <c r="D81" s="2829" t="s">
        <v>2664</v>
      </c>
      <c r="E81" s="2855">
        <v>0.15</v>
      </c>
      <c r="F81" s="2855">
        <v>20</v>
      </c>
    </row>
    <row r="82" spans="1:6" ht="26">
      <c r="A82" s="2855">
        <v>8</v>
      </c>
      <c r="B82" s="3496"/>
      <c r="C82" s="2829" t="s">
        <v>2665</v>
      </c>
      <c r="D82" s="2829" t="s">
        <v>2666</v>
      </c>
      <c r="E82" s="2855">
        <v>0.1</v>
      </c>
      <c r="F82" s="2855">
        <v>15</v>
      </c>
    </row>
    <row r="83" spans="1:6" ht="26">
      <c r="A83" s="2855">
        <v>9</v>
      </c>
      <c r="B83" s="3496"/>
      <c r="C83" s="2829" t="s">
        <v>2667</v>
      </c>
      <c r="D83" s="2829" t="s">
        <v>2668</v>
      </c>
      <c r="E83" s="2855">
        <v>0.1</v>
      </c>
      <c r="F83" s="2855">
        <v>15</v>
      </c>
    </row>
    <row r="84" spans="1:6" ht="26">
      <c r="A84" s="2855">
        <v>10</v>
      </c>
      <c r="B84" s="3496"/>
      <c r="C84" s="2829" t="s">
        <v>2669</v>
      </c>
      <c r="D84" s="2829" t="s">
        <v>2670</v>
      </c>
      <c r="E84" s="2855">
        <v>0.1</v>
      </c>
      <c r="F84" s="2855">
        <v>15</v>
      </c>
    </row>
    <row r="85" spans="1:6" ht="26">
      <c r="A85" s="2855">
        <v>11</v>
      </c>
      <c r="B85" s="3496"/>
      <c r="C85" s="2829" t="s">
        <v>2671</v>
      </c>
      <c r="D85" s="2829" t="s">
        <v>2672</v>
      </c>
      <c r="E85" s="2855">
        <v>0.1</v>
      </c>
      <c r="F85" s="2855">
        <v>15</v>
      </c>
    </row>
    <row r="86" spans="1:6" ht="26">
      <c r="A86" s="2855">
        <v>12</v>
      </c>
      <c r="B86" s="3496"/>
      <c r="C86" s="2829" t="s">
        <v>2673</v>
      </c>
      <c r="D86" s="2829" t="s">
        <v>2674</v>
      </c>
      <c r="E86" s="2855">
        <v>0.1</v>
      </c>
      <c r="F86" s="2855">
        <v>15</v>
      </c>
    </row>
    <row r="87" spans="1:6" ht="14">
      <c r="A87" s="2855">
        <v>13</v>
      </c>
      <c r="B87" s="3496"/>
      <c r="C87" s="2829" t="s">
        <v>2675</v>
      </c>
      <c r="D87" s="2829" t="s">
        <v>2676</v>
      </c>
      <c r="E87" s="2855">
        <v>0.1</v>
      </c>
      <c r="F87" s="2855">
        <v>15</v>
      </c>
    </row>
    <row r="88" spans="1:6" ht="14">
      <c r="A88" s="2855">
        <v>14</v>
      </c>
      <c r="B88" s="3496"/>
      <c r="C88" s="2829" t="s">
        <v>2677</v>
      </c>
      <c r="D88" s="2829" t="s">
        <v>2678</v>
      </c>
      <c r="E88" s="2855">
        <v>0.1</v>
      </c>
      <c r="F88" s="2855">
        <v>15</v>
      </c>
    </row>
    <row r="89" spans="1:6" ht="14">
      <c r="A89" s="2855">
        <v>15</v>
      </c>
      <c r="B89" s="3496"/>
      <c r="C89" s="2829" t="s">
        <v>2679</v>
      </c>
      <c r="D89" s="2829" t="s">
        <v>2680</v>
      </c>
      <c r="E89" s="2855">
        <v>0.1</v>
      </c>
      <c r="F89" s="2855">
        <v>15</v>
      </c>
    </row>
    <row r="90" spans="1:6" ht="26">
      <c r="A90" s="2855">
        <v>16</v>
      </c>
      <c r="B90" s="3496"/>
      <c r="C90" s="2829" t="s">
        <v>2681</v>
      </c>
      <c r="D90" s="2829" t="s">
        <v>2682</v>
      </c>
      <c r="E90" s="2855">
        <v>0.1</v>
      </c>
      <c r="F90" s="2855">
        <v>15</v>
      </c>
    </row>
    <row r="91" spans="1:6" ht="26">
      <c r="A91" s="2855">
        <v>17</v>
      </c>
      <c r="B91" s="3495"/>
      <c r="C91" s="2829" t="s">
        <v>2683</v>
      </c>
      <c r="D91" s="2829" t="s">
        <v>2684</v>
      </c>
      <c r="E91" s="2855">
        <v>0.1</v>
      </c>
      <c r="F91" s="2855">
        <v>15</v>
      </c>
    </row>
    <row r="92" spans="1:6" ht="14">
      <c r="A92" s="2855">
        <v>18</v>
      </c>
      <c r="B92" s="3494" t="s">
        <v>2685</v>
      </c>
      <c r="C92" s="2829" t="s">
        <v>2686</v>
      </c>
      <c r="D92" s="2829" t="s">
        <v>2687</v>
      </c>
      <c r="E92" s="2855">
        <v>0.2</v>
      </c>
      <c r="F92" s="2855">
        <v>25</v>
      </c>
    </row>
    <row r="93" spans="1:6" ht="26">
      <c r="A93" s="2855">
        <v>19</v>
      </c>
      <c r="B93" s="3496"/>
      <c r="C93" s="2829" t="s">
        <v>2688</v>
      </c>
      <c r="D93" s="2829" t="s">
        <v>2689</v>
      </c>
      <c r="E93" s="2855">
        <v>0.2</v>
      </c>
      <c r="F93" s="2855">
        <v>25</v>
      </c>
    </row>
    <row r="94" spans="1:6" ht="14">
      <c r="A94" s="2855">
        <v>20</v>
      </c>
      <c r="B94" s="3496"/>
      <c r="C94" s="2829" t="s">
        <v>2690</v>
      </c>
      <c r="D94" s="2829" t="s">
        <v>2691</v>
      </c>
      <c r="E94" s="2855">
        <v>0.15</v>
      </c>
      <c r="F94" s="2855">
        <v>20</v>
      </c>
    </row>
    <row r="95" spans="1:6" ht="26">
      <c r="A95" s="2855">
        <v>21</v>
      </c>
      <c r="B95" s="3496"/>
      <c r="C95" s="2829" t="s">
        <v>2692</v>
      </c>
      <c r="D95" s="2829" t="s">
        <v>2693</v>
      </c>
      <c r="E95" s="2855">
        <v>0.15</v>
      </c>
      <c r="F95" s="2855">
        <v>20</v>
      </c>
    </row>
    <row r="96" spans="1:6" ht="26">
      <c r="A96" s="2855">
        <v>22</v>
      </c>
      <c r="B96" s="3496"/>
      <c r="C96" s="2829" t="s">
        <v>2694</v>
      </c>
      <c r="D96" s="2829" t="s">
        <v>2695</v>
      </c>
      <c r="E96" s="2855">
        <v>0.15</v>
      </c>
      <c r="F96" s="2855">
        <v>20</v>
      </c>
    </row>
    <row r="97" spans="1:6" ht="39">
      <c r="A97" s="2855">
        <v>23</v>
      </c>
      <c r="B97" s="3496"/>
      <c r="C97" s="2829" t="s">
        <v>2696</v>
      </c>
      <c r="D97" s="2829" t="s">
        <v>2697</v>
      </c>
      <c r="E97" s="2855">
        <v>0.15</v>
      </c>
      <c r="F97" s="2855">
        <v>20</v>
      </c>
    </row>
    <row r="98" spans="1:6" ht="14">
      <c r="A98" s="2855">
        <v>24</v>
      </c>
      <c r="B98" s="3496"/>
      <c r="C98" s="2829" t="s">
        <v>2698</v>
      </c>
      <c r="D98" s="2829" t="s">
        <v>2699</v>
      </c>
      <c r="E98" s="2855">
        <v>0.1</v>
      </c>
      <c r="F98" s="2855">
        <v>15</v>
      </c>
    </row>
    <row r="99" spans="1:6" ht="26">
      <c r="A99" s="2855">
        <v>25</v>
      </c>
      <c r="B99" s="3496"/>
      <c r="C99" s="2829" t="s">
        <v>2700</v>
      </c>
      <c r="D99" s="2829" t="s">
        <v>2701</v>
      </c>
      <c r="E99" s="2855">
        <v>0.1</v>
      </c>
      <c r="F99" s="2855">
        <v>15</v>
      </c>
    </row>
    <row r="100" spans="1:6" ht="26">
      <c r="A100" s="2855">
        <v>26</v>
      </c>
      <c r="B100" s="3496"/>
      <c r="C100" s="2829" t="s">
        <v>2702</v>
      </c>
      <c r="D100" s="2829" t="s">
        <v>2703</v>
      </c>
      <c r="E100" s="2855">
        <v>0.1</v>
      </c>
      <c r="F100" s="2855">
        <v>15</v>
      </c>
    </row>
    <row r="101" spans="1:6" ht="26">
      <c r="A101" s="2855">
        <v>27</v>
      </c>
      <c r="B101" s="3496"/>
      <c r="C101" s="2829" t="s">
        <v>2704</v>
      </c>
      <c r="D101" s="2829" t="s">
        <v>2705</v>
      </c>
      <c r="E101" s="2855">
        <v>0.1</v>
      </c>
      <c r="F101" s="2855">
        <v>15</v>
      </c>
    </row>
    <row r="102" spans="1:6" ht="26">
      <c r="A102" s="2855">
        <v>28</v>
      </c>
      <c r="B102" s="3496"/>
      <c r="C102" s="2829" t="s">
        <v>2706</v>
      </c>
      <c r="D102" s="2829" t="s">
        <v>2707</v>
      </c>
      <c r="E102" s="2855">
        <v>0.1</v>
      </c>
      <c r="F102" s="2855">
        <v>15</v>
      </c>
    </row>
    <row r="103" spans="1:6" ht="26">
      <c r="A103" s="2855">
        <v>29</v>
      </c>
      <c r="B103" s="3496"/>
      <c r="C103" s="2829" t="s">
        <v>2708</v>
      </c>
      <c r="D103" s="2829" t="s">
        <v>2709</v>
      </c>
      <c r="E103" s="2855">
        <v>0.1</v>
      </c>
      <c r="F103" s="2855">
        <v>15</v>
      </c>
    </row>
    <row r="104" spans="1:6" ht="26">
      <c r="A104" s="2855">
        <v>30</v>
      </c>
      <c r="B104" s="3496"/>
      <c r="C104" s="2829" t="s">
        <v>2710</v>
      </c>
      <c r="D104" s="2829" t="s">
        <v>2711</v>
      </c>
      <c r="E104" s="2855">
        <v>0.1</v>
      </c>
      <c r="F104" s="2855">
        <v>15</v>
      </c>
    </row>
    <row r="105" spans="1:6" ht="26">
      <c r="A105" s="2855">
        <v>31</v>
      </c>
      <c r="B105" s="3496"/>
      <c r="C105" s="2829" t="s">
        <v>2712</v>
      </c>
      <c r="D105" s="2829" t="s">
        <v>2713</v>
      </c>
      <c r="E105" s="2855">
        <v>0.1</v>
      </c>
      <c r="F105" s="2855">
        <v>15</v>
      </c>
    </row>
    <row r="106" spans="1:6" ht="26">
      <c r="A106" s="2855">
        <v>32</v>
      </c>
      <c r="B106" s="3496"/>
      <c r="C106" s="2829" t="s">
        <v>2714</v>
      </c>
      <c r="D106" s="2829" t="s">
        <v>2715</v>
      </c>
      <c r="E106" s="2855">
        <v>0.1</v>
      </c>
      <c r="F106" s="2855">
        <v>15</v>
      </c>
    </row>
    <row r="107" spans="1:6" ht="26">
      <c r="A107" s="2855">
        <v>33</v>
      </c>
      <c r="B107" s="3496"/>
      <c r="C107" s="2829" t="s">
        <v>2716</v>
      </c>
      <c r="D107" s="2829" t="s">
        <v>2717</v>
      </c>
      <c r="E107" s="2855">
        <v>0.1</v>
      </c>
      <c r="F107" s="2855">
        <v>15</v>
      </c>
    </row>
    <row r="108" spans="1:6" ht="26">
      <c r="A108" s="2855">
        <v>34</v>
      </c>
      <c r="B108" s="3495"/>
      <c r="C108" s="2829" t="s">
        <v>2718</v>
      </c>
      <c r="D108" s="2829" t="s">
        <v>2719</v>
      </c>
      <c r="E108" s="2855">
        <v>0.1</v>
      </c>
      <c r="F108" s="2855">
        <v>15</v>
      </c>
    </row>
    <row r="109" spans="1:6" ht="26">
      <c r="A109" s="2855">
        <v>35</v>
      </c>
      <c r="B109" s="3494" t="s">
        <v>2720</v>
      </c>
      <c r="C109" s="2855" t="s">
        <v>2721</v>
      </c>
      <c r="D109" s="2829" t="s">
        <v>2722</v>
      </c>
      <c r="E109" s="2855">
        <v>0.15</v>
      </c>
      <c r="F109" s="2855">
        <v>20</v>
      </c>
    </row>
    <row r="110" spans="1:6" ht="26">
      <c r="A110" s="2855">
        <v>36</v>
      </c>
      <c r="B110" s="3496"/>
      <c r="C110" s="2855" t="s">
        <v>2723</v>
      </c>
      <c r="D110" s="2829" t="s">
        <v>2724</v>
      </c>
      <c r="E110" s="2855">
        <v>0.15</v>
      </c>
      <c r="F110" s="2855">
        <v>20</v>
      </c>
    </row>
    <row r="111" spans="1:6" ht="26">
      <c r="A111" s="2855">
        <v>37</v>
      </c>
      <c r="B111" s="3496"/>
      <c r="C111" s="2855" t="s">
        <v>2725</v>
      </c>
      <c r="D111" s="2829" t="s">
        <v>2726</v>
      </c>
      <c r="E111" s="2855">
        <v>0.15</v>
      </c>
      <c r="F111" s="2855">
        <v>20</v>
      </c>
    </row>
    <row r="112" spans="1:6" ht="14">
      <c r="A112" s="2855">
        <v>38</v>
      </c>
      <c r="B112" s="3496"/>
      <c r="C112" s="2855" t="s">
        <v>2727</v>
      </c>
      <c r="D112" s="2829" t="s">
        <v>2728</v>
      </c>
      <c r="E112" s="2855">
        <v>0.1</v>
      </c>
      <c r="F112" s="2855">
        <v>15</v>
      </c>
    </row>
    <row r="113" spans="1:6" ht="26">
      <c r="A113" s="2855">
        <v>39</v>
      </c>
      <c r="B113" s="3496"/>
      <c r="C113" s="2855" t="s">
        <v>2729</v>
      </c>
      <c r="D113" s="2829" t="s">
        <v>2730</v>
      </c>
      <c r="E113" s="2855">
        <v>0.1</v>
      </c>
      <c r="F113" s="2855">
        <v>15</v>
      </c>
    </row>
    <row r="114" spans="1:6" ht="26">
      <c r="A114" s="2855">
        <v>40</v>
      </c>
      <c r="B114" s="3495"/>
      <c r="C114" s="2855" t="s">
        <v>2731</v>
      </c>
      <c r="D114" s="2829" t="s">
        <v>2732</v>
      </c>
      <c r="E114" s="2855">
        <v>0.1</v>
      </c>
      <c r="F114" s="2855">
        <v>15</v>
      </c>
    </row>
    <row r="115" spans="1:6" ht="26">
      <c r="A115" s="2855">
        <v>41</v>
      </c>
      <c r="B115" s="3493" t="s">
        <v>2733</v>
      </c>
      <c r="C115" s="2855" t="s">
        <v>2734</v>
      </c>
      <c r="D115" s="2829" t="s">
        <v>2735</v>
      </c>
      <c r="E115" s="2855">
        <v>0.1</v>
      </c>
      <c r="F115" s="2855">
        <v>15</v>
      </c>
    </row>
    <row r="116" spans="1:6" ht="14">
      <c r="A116" s="2855">
        <v>42</v>
      </c>
      <c r="B116" s="3493"/>
      <c r="C116" s="2855" t="s">
        <v>2736</v>
      </c>
      <c r="D116" s="2829" t="s">
        <v>2737</v>
      </c>
      <c r="E116" s="2855">
        <v>0.1</v>
      </c>
      <c r="F116" s="2855">
        <v>15</v>
      </c>
    </row>
    <row r="117" spans="1:6" ht="26">
      <c r="A117" s="2855">
        <v>43</v>
      </c>
      <c r="B117" s="3493"/>
      <c r="C117" s="2855" t="s">
        <v>2738</v>
      </c>
      <c r="D117" s="2829" t="s">
        <v>2739</v>
      </c>
      <c r="E117" s="2855">
        <v>0.1</v>
      </c>
      <c r="F117" s="2855">
        <v>15</v>
      </c>
    </row>
    <row r="118" spans="1:6" ht="26">
      <c r="A118" s="2855">
        <v>44</v>
      </c>
      <c r="B118" s="3494" t="s">
        <v>2740</v>
      </c>
      <c r="C118" s="2855" t="s">
        <v>2741</v>
      </c>
      <c r="D118" s="2829" t="s">
        <v>2742</v>
      </c>
      <c r="E118" s="2855">
        <v>0.1</v>
      </c>
      <c r="F118" s="2855">
        <v>15</v>
      </c>
    </row>
    <row r="119" spans="1:6" ht="26">
      <c r="A119" s="2855">
        <v>45</v>
      </c>
      <c r="B119" s="3495"/>
      <c r="C119" s="2829" t="s">
        <v>2743</v>
      </c>
      <c r="D119" s="2829" t="s">
        <v>2744</v>
      </c>
      <c r="E119" s="2855">
        <v>0.1</v>
      </c>
      <c r="F119" s="2855">
        <v>15</v>
      </c>
    </row>
    <row r="120" spans="1:6" ht="26">
      <c r="A120" s="2855">
        <v>46</v>
      </c>
      <c r="B120" s="3494" t="s">
        <v>2745</v>
      </c>
      <c r="C120" s="2855" t="s">
        <v>2746</v>
      </c>
      <c r="D120" s="2829" t="s">
        <v>2747</v>
      </c>
      <c r="E120" s="2855">
        <v>0.1</v>
      </c>
      <c r="F120" s="2855">
        <v>15</v>
      </c>
    </row>
    <row r="121" spans="1:6" ht="26">
      <c r="A121" s="2855">
        <v>47</v>
      </c>
      <c r="B121" s="3495"/>
      <c r="C121" s="2855" t="s">
        <v>2748</v>
      </c>
      <c r="D121" s="2829" t="s">
        <v>2749</v>
      </c>
      <c r="E121" s="2855">
        <v>0.1</v>
      </c>
      <c r="F121" s="2855">
        <v>15</v>
      </c>
    </row>
    <row r="122" spans="1:6" ht="26">
      <c r="A122" s="2855">
        <v>48</v>
      </c>
      <c r="B122" s="3494" t="s">
        <v>2750</v>
      </c>
      <c r="C122" s="2855" t="s">
        <v>2751</v>
      </c>
      <c r="D122" s="2829" t="s">
        <v>2752</v>
      </c>
      <c r="E122" s="2855">
        <v>0.1</v>
      </c>
      <c r="F122" s="2855">
        <v>15</v>
      </c>
    </row>
    <row r="123" spans="1:6" ht="14">
      <c r="A123" s="2855">
        <v>49</v>
      </c>
      <c r="B123" s="3495"/>
      <c r="C123" s="2855" t="s">
        <v>2753</v>
      </c>
      <c r="D123" s="2829" t="s">
        <v>2754</v>
      </c>
      <c r="E123" s="2855">
        <v>0.1</v>
      </c>
      <c r="F123" s="2855">
        <v>15</v>
      </c>
    </row>
    <row r="124" spans="1:6" ht="26">
      <c r="A124" s="2855">
        <v>50</v>
      </c>
      <c r="B124" s="3493" t="s">
        <v>2755</v>
      </c>
      <c r="C124" s="2855" t="s">
        <v>2756</v>
      </c>
      <c r="D124" s="2829" t="s">
        <v>2757</v>
      </c>
      <c r="E124" s="2855">
        <v>0.1</v>
      </c>
      <c r="F124" s="2855">
        <v>15</v>
      </c>
    </row>
    <row r="125" spans="1:6" ht="26">
      <c r="A125" s="2855">
        <v>51</v>
      </c>
      <c r="B125" s="3493"/>
      <c r="C125" s="2855" t="s">
        <v>2758</v>
      </c>
      <c r="D125" s="2829" t="s">
        <v>2759</v>
      </c>
      <c r="E125" s="2855">
        <v>0.1</v>
      </c>
      <c r="F125" s="2855">
        <v>15</v>
      </c>
    </row>
    <row r="126" spans="1:6" ht="26">
      <c r="A126" s="2855">
        <v>52</v>
      </c>
      <c r="B126" s="3493" t="s">
        <v>2760</v>
      </c>
      <c r="C126" s="2855" t="s">
        <v>2761</v>
      </c>
      <c r="D126" s="2829" t="s">
        <v>2762</v>
      </c>
      <c r="E126" s="2855">
        <v>0.1</v>
      </c>
      <c r="F126" s="2855">
        <v>15</v>
      </c>
    </row>
    <row r="127" spans="1:6" ht="26">
      <c r="A127" s="2855">
        <v>53</v>
      </c>
      <c r="B127" s="3493"/>
      <c r="C127" s="2855" t="s">
        <v>2763</v>
      </c>
      <c r="D127" s="2829" t="s">
        <v>2764</v>
      </c>
      <c r="E127" s="2855">
        <v>0.1</v>
      </c>
      <c r="F127" s="2855">
        <v>15</v>
      </c>
    </row>
    <row r="128" spans="1:6" ht="26">
      <c r="A128" s="2855">
        <v>54</v>
      </c>
      <c r="B128" s="2855" t="s">
        <v>2765</v>
      </c>
      <c r="C128" s="2855" t="s">
        <v>2766</v>
      </c>
      <c r="D128" s="2829" t="s">
        <v>2767</v>
      </c>
      <c r="E128" s="2855">
        <v>0.1</v>
      </c>
      <c r="F128" s="2855">
        <v>15</v>
      </c>
    </row>
    <row r="129" spans="1:6" ht="14">
      <c r="A129" s="2855">
        <v>55</v>
      </c>
      <c r="B129" s="3493" t="s">
        <v>2768</v>
      </c>
      <c r="C129" s="2855" t="s">
        <v>2769</v>
      </c>
      <c r="D129" s="2829" t="s">
        <v>2770</v>
      </c>
      <c r="E129" s="2855">
        <v>0.1</v>
      </c>
      <c r="F129" s="2855">
        <v>15</v>
      </c>
    </row>
    <row r="130" spans="1:6" ht="14">
      <c r="A130" s="2855">
        <v>56</v>
      </c>
      <c r="B130" s="3493"/>
      <c r="C130" s="2855" t="s">
        <v>2771</v>
      </c>
      <c r="D130" s="2829" t="s">
        <v>2772</v>
      </c>
      <c r="E130" s="2855">
        <v>0.1</v>
      </c>
      <c r="F130" s="2855">
        <v>15</v>
      </c>
    </row>
    <row r="131" spans="1:6" ht="26">
      <c r="A131" s="2855">
        <v>57</v>
      </c>
      <c r="B131" s="3493"/>
      <c r="C131" s="2855" t="s">
        <v>2773</v>
      </c>
      <c r="D131" s="2829" t="s">
        <v>2774</v>
      </c>
      <c r="E131" s="2855">
        <v>0.1</v>
      </c>
      <c r="F131" s="2855">
        <v>15</v>
      </c>
    </row>
    <row r="132" spans="1:6" ht="26">
      <c r="A132" s="2855">
        <v>58</v>
      </c>
      <c r="B132" s="3493" t="s">
        <v>2775</v>
      </c>
      <c r="C132" s="2855" t="s">
        <v>2776</v>
      </c>
      <c r="D132" s="2829" t="s">
        <v>2777</v>
      </c>
      <c r="E132" s="2855">
        <v>0.1</v>
      </c>
      <c r="F132" s="2855">
        <v>15</v>
      </c>
    </row>
    <row r="133" spans="1:6" ht="26">
      <c r="A133" s="2855">
        <v>59</v>
      </c>
      <c r="B133" s="3493"/>
      <c r="C133" s="2855" t="s">
        <v>2778</v>
      </c>
      <c r="D133" s="2829" t="s">
        <v>2779</v>
      </c>
      <c r="E133" s="2855">
        <v>0.1</v>
      </c>
      <c r="F133" s="2855">
        <v>15</v>
      </c>
    </row>
    <row r="134" spans="1:6" ht="26">
      <c r="A134" s="2855">
        <v>60</v>
      </c>
      <c r="B134" s="3494" t="s">
        <v>2780</v>
      </c>
      <c r="C134" s="2855" t="s">
        <v>2781</v>
      </c>
      <c r="D134" s="2829" t="s">
        <v>2782</v>
      </c>
      <c r="E134" s="2855">
        <v>0.1</v>
      </c>
      <c r="F134" s="2855">
        <v>15</v>
      </c>
    </row>
    <row r="135" spans="1:6" ht="26">
      <c r="A135" s="2855">
        <v>61</v>
      </c>
      <c r="B135" s="3495"/>
      <c r="C135" s="2855" t="s">
        <v>2783</v>
      </c>
      <c r="D135" s="2829" t="s">
        <v>2784</v>
      </c>
      <c r="E135" s="2855">
        <v>0.1</v>
      </c>
      <c r="F135" s="2855">
        <v>15</v>
      </c>
    </row>
    <row r="136" spans="1:6" ht="26">
      <c r="A136" s="2855">
        <v>62</v>
      </c>
      <c r="B136" s="2855" t="s">
        <v>2785</v>
      </c>
      <c r="C136" s="2855" t="s">
        <v>2786</v>
      </c>
      <c r="D136" s="2829" t="s">
        <v>2787</v>
      </c>
      <c r="E136" s="2855">
        <v>0.1</v>
      </c>
      <c r="F136" s="2855">
        <v>15</v>
      </c>
    </row>
    <row r="137" spans="1:6" ht="26">
      <c r="A137" s="2855">
        <v>63</v>
      </c>
      <c r="B137" s="3493" t="s">
        <v>2788</v>
      </c>
      <c r="C137" s="2855" t="s">
        <v>2789</v>
      </c>
      <c r="D137" s="2829" t="s">
        <v>2790</v>
      </c>
      <c r="E137" s="2855">
        <v>0.1</v>
      </c>
      <c r="F137" s="2855">
        <v>15</v>
      </c>
    </row>
    <row r="138" spans="1:6" ht="14">
      <c r="A138" s="2855">
        <v>64</v>
      </c>
      <c r="B138" s="3493"/>
      <c r="C138" s="2855" t="s">
        <v>2791</v>
      </c>
      <c r="D138" s="2829" t="s">
        <v>2792</v>
      </c>
      <c r="E138" s="2855">
        <v>0.1</v>
      </c>
      <c r="F138" s="2855">
        <v>15</v>
      </c>
    </row>
    <row r="139" spans="1:6" ht="26">
      <c r="A139" s="2855">
        <v>65</v>
      </c>
      <c r="B139" s="2855" t="s">
        <v>2793</v>
      </c>
      <c r="C139" s="2855" t="s">
        <v>2794</v>
      </c>
      <c r="D139" s="2829" t="s">
        <v>2795</v>
      </c>
      <c r="E139" s="2855">
        <v>0.1</v>
      </c>
      <c r="F139" s="2855">
        <v>15</v>
      </c>
    </row>
    <row r="140" spans="1:6" ht="14">
      <c r="A140" s="2855"/>
      <c r="B140" s="2855"/>
      <c r="C140" s="2855"/>
      <c r="D140" s="2855"/>
      <c r="E140" s="2855" t="s">
        <v>2796</v>
      </c>
      <c r="F140" s="2855"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907</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8.5" thickBot="1">
      <c r="A4" s="1391"/>
      <c r="B4" s="3192" t="s">
        <v>916</v>
      </c>
      <c r="C4" s="3192"/>
      <c r="D4" s="3192"/>
      <c r="E4" s="1391"/>
    </row>
    <row r="5" spans="1:5" ht="16" thickTop="1">
      <c r="B5" s="3190" t="s">
        <v>908</v>
      </c>
      <c r="C5" s="1392" t="s">
        <v>909</v>
      </c>
      <c r="D5" s="797">
        <f ca="1">结果表!H101</f>
        <v>3498</v>
      </c>
    </row>
    <row r="6" spans="1:5" ht="15.5">
      <c r="B6" s="3190"/>
      <c r="C6" s="1392" t="s">
        <v>910</v>
      </c>
      <c r="D6" s="797" t="str">
        <f ca="1">NUMBERSTRING(INT(D5*10000),2)&amp;"元整"</f>
        <v>叁仟肆佰玖拾捌万元整</v>
      </c>
    </row>
    <row r="7" spans="1:5" ht="15.5">
      <c r="B7" s="3195"/>
      <c r="C7" s="1393" t="s">
        <v>911</v>
      </c>
      <c r="D7" s="798">
        <f ca="1">结果表!H102</f>
        <v>15503</v>
      </c>
    </row>
    <row r="8" spans="1:5" ht="15.5">
      <c r="B8" s="3196" t="str">
        <f>结果表!E103</f>
        <v>2.估价师知悉的法定优先受偿款</v>
      </c>
      <c r="C8" s="1394" t="s">
        <v>912</v>
      </c>
      <c r="D8" s="798">
        <f>结果表!H103</f>
        <v>0</v>
      </c>
    </row>
    <row r="9" spans="1:5" ht="15.5">
      <c r="B9" s="3198"/>
      <c r="C9" s="1392" t="s">
        <v>910</v>
      </c>
      <c r="D9" s="797" t="str">
        <f>NUMBERSTRING(INT(D8*10000),2)&amp;"元整"</f>
        <v>零元整</v>
      </c>
    </row>
    <row r="10" spans="1:5" ht="16">
      <c r="B10" s="1395" t="s">
        <v>915</v>
      </c>
      <c r="C10" s="1396" t="s">
        <v>913</v>
      </c>
      <c r="D10" s="799">
        <f>结果表!H104</f>
        <v>0</v>
      </c>
    </row>
    <row r="11" spans="1:5" ht="16">
      <c r="B11" s="1395" t="s">
        <v>917</v>
      </c>
      <c r="C11" s="1396" t="s">
        <v>918</v>
      </c>
      <c r="D11" s="799">
        <f>结果表!H105</f>
        <v>0</v>
      </c>
    </row>
    <row r="12" spans="1:5" ht="16">
      <c r="B12" s="1395" t="s">
        <v>919</v>
      </c>
      <c r="C12" s="1396" t="s">
        <v>918</v>
      </c>
      <c r="D12" s="799">
        <f>结果表!H106</f>
        <v>0</v>
      </c>
    </row>
    <row r="13" spans="1:5" ht="15.5">
      <c r="B13" s="3189" t="str">
        <f>结果表!E107</f>
        <v>3.房地产抵押价值</v>
      </c>
      <c r="C13" s="1397" t="s">
        <v>909</v>
      </c>
      <c r="D13" s="800">
        <f ca="1">结果表!H107</f>
        <v>3498</v>
      </c>
    </row>
    <row r="14" spans="1:5" ht="15.5">
      <c r="B14" s="3190"/>
      <c r="C14" s="1392" t="s">
        <v>910</v>
      </c>
      <c r="D14" s="797" t="str">
        <f ca="1">NUMBERSTRING(INT(D13*10000),2)&amp;"元整"</f>
        <v>叁仟肆佰玖拾捌万元整</v>
      </c>
    </row>
    <row r="15" spans="1:5" ht="15.5">
      <c r="B15" s="3195"/>
      <c r="C15" s="1393" t="s">
        <v>920</v>
      </c>
      <c r="D15" s="806">
        <f ca="1">结果表!H108</f>
        <v>15503</v>
      </c>
    </row>
    <row r="16" spans="1:5" ht="15">
      <c r="B16" s="3196" t="str">
        <f>结果表!E109</f>
        <v>——</v>
      </c>
      <c r="C16" s="1397" t="s">
        <v>921</v>
      </c>
      <c r="D16" s="1398" t="str">
        <f>结果表!H109</f>
        <v>——</v>
      </c>
    </row>
    <row r="17" spans="1:5" ht="15.5">
      <c r="B17" s="3197"/>
      <c r="C17" s="1392" t="s">
        <v>922</v>
      </c>
      <c r="D17" s="797" t="e">
        <f>NUMBERSTRING(INT(D16*10000),2)&amp;"元整"</f>
        <v>#VALUE!</v>
      </c>
    </row>
    <row r="18" spans="1:5" ht="15.5">
      <c r="B18" s="3198"/>
      <c r="C18" s="1393" t="s">
        <v>911</v>
      </c>
      <c r="D18" s="806" t="str">
        <f>结果表!H110</f>
        <v>——</v>
      </c>
    </row>
    <row r="19" spans="1:5" ht="15.5">
      <c r="B19" s="3189" t="str">
        <f>结果表!E111</f>
        <v>——</v>
      </c>
      <c r="C19" s="1397" t="s">
        <v>909</v>
      </c>
      <c r="D19" s="798" t="str">
        <f>结果表!H111</f>
        <v>——</v>
      </c>
    </row>
    <row r="20" spans="1:5" ht="15.5">
      <c r="B20" s="3190"/>
      <c r="C20" s="1392" t="s">
        <v>922</v>
      </c>
      <c r="D20" s="797" t="e">
        <f>NUMBERSTRING(INT(D19*10000),2)&amp;"元整"</f>
        <v>#VALUE!</v>
      </c>
    </row>
    <row r="21" spans="1:5" ht="16" thickBot="1">
      <c r="B21" s="3191"/>
      <c r="C21" s="1399" t="s">
        <v>920</v>
      </c>
      <c r="D21" s="807" t="str">
        <f>结果表!H112</f>
        <v>——</v>
      </c>
    </row>
    <row r="22" spans="1:5" ht="14.5" thickTop="1">
      <c r="B22" s="1400" t="s">
        <v>923</v>
      </c>
    </row>
    <row r="24" spans="1:5" ht="1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1.2302</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1.1198999999999999</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26005</v>
      </c>
      <c r="C2" s="2" t="s">
        <v>106</v>
      </c>
      <c r="D2" s="191"/>
      <c r="E2" s="191"/>
      <c r="F2" s="191"/>
      <c r="G2" s="191"/>
    </row>
    <row r="3" spans="1:7" s="192" customFormat="1" ht="18" customHeight="1" thickBot="1">
      <c r="A3" s="195" t="s">
        <v>58</v>
      </c>
      <c r="B3" s="196">
        <f ca="1">ROUND(B2*10000/'数据-汇总表'!E3,0)</f>
        <v>115250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43</v>
      </c>
      <c r="D10" s="795">
        <f>'数据-汇总表'!E6</f>
        <v>2256.4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2256.4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1685</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1685</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25280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770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677</v>
      </c>
      <c r="D34" s="209"/>
      <c r="E34" s="212"/>
      <c r="F34" s="249">
        <f>IF('数据-取费表'!B24=0,1,'数据-取费表'!N16)</f>
        <v>1</v>
      </c>
      <c r="G34" s="211" t="s">
        <v>89</v>
      </c>
    </row>
    <row r="35" spans="1:7" ht="13.5" customHeight="1">
      <c r="A35" s="734" t="s">
        <v>351</v>
      </c>
      <c r="B35" s="207" t="s">
        <v>33</v>
      </c>
      <c r="C35" s="212">
        <f>ROUND(C34*F35,0)</f>
        <v>34</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2256.4</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2.9999999999999997E-4</v>
      </c>
      <c r="D44" s="230"/>
      <c r="E44" s="230"/>
      <c r="F44" s="231"/>
      <c r="G44" s="3372"/>
    </row>
    <row r="45" spans="1:7" s="206" customFormat="1" ht="13.5" customHeight="1">
      <c r="A45" s="731" t="s">
        <v>341</v>
      </c>
      <c r="B45" s="236" t="s">
        <v>85</v>
      </c>
      <c r="C45" s="237">
        <f>C46</f>
        <v>63</v>
      </c>
      <c r="D45" s="227">
        <f>C47</f>
        <v>1.6000000000000001E-3</v>
      </c>
      <c r="E45" s="228" t="s">
        <v>102</v>
      </c>
      <c r="F45" s="238"/>
      <c r="G45" s="239" t="s">
        <v>434</v>
      </c>
    </row>
    <row r="46" spans="1:7" s="206" customFormat="1" ht="13.5" customHeight="1">
      <c r="A46" s="734" t="s">
        <v>349</v>
      </c>
      <c r="B46" s="240" t="s">
        <v>427</v>
      </c>
      <c r="C46" s="241">
        <f>ROUND((C33+C39)*F27,0)</f>
        <v>63</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930</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725</v>
      </c>
      <c r="D51" s="224"/>
      <c r="E51" s="224"/>
      <c r="F51" s="256"/>
      <c r="G51" s="226" t="s">
        <v>37</v>
      </c>
    </row>
    <row r="52" spans="1:7" s="200" customFormat="1" ht="16.5" thickBot="1">
      <c r="A52" s="257" t="s">
        <v>38</v>
      </c>
      <c r="B52" s="258"/>
      <c r="C52" s="259">
        <f ca="1">C31+C51</f>
        <v>26005</v>
      </c>
      <c r="D52" s="258"/>
      <c r="E52" s="258"/>
      <c r="F52" s="258"/>
      <c r="G52" s="260"/>
    </row>
    <row r="55" spans="1:7" ht="15.5">
      <c r="B55" s="262" t="s">
        <v>39</v>
      </c>
      <c r="C55" s="263"/>
    </row>
    <row r="56" spans="1:7" ht="13">
      <c r="B56" s="265" t="s">
        <v>40</v>
      </c>
      <c r="C56" s="266">
        <f ca="1">ROUND(C51/C52,3)</f>
        <v>2.8000000000000001E-2</v>
      </c>
    </row>
    <row r="57" spans="1:7" ht="13">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507" t="s">
        <v>3180</v>
      </c>
      <c r="B1" s="3507"/>
    </row>
    <row r="2" spans="1:7" ht="14.5" thickBot="1">
      <c r="A2" s="2966"/>
      <c r="B2" s="2966"/>
    </row>
    <row r="3" spans="1:7" ht="14.5" thickBot="1">
      <c r="A3" s="2966"/>
      <c r="B3" s="2966"/>
      <c r="C3" s="2967" t="s">
        <v>2810</v>
      </c>
      <c r="D3" s="2967" t="s">
        <v>2866</v>
      </c>
      <c r="E3" s="2967" t="s">
        <v>2812</v>
      </c>
      <c r="F3" s="2967" t="s">
        <v>2867</v>
      </c>
      <c r="G3" s="2967" t="s">
        <v>2630</v>
      </c>
    </row>
    <row r="4" spans="1:7" ht="14.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4.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4.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4.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4.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4.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4.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4.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4.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4.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4.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08" t="s">
        <v>3231</v>
      </c>
      <c r="B1" s="3508"/>
      <c r="C1" s="3508"/>
      <c r="D1" s="3508"/>
      <c r="E1" s="3508"/>
      <c r="F1" s="3509"/>
    </row>
    <row r="2" spans="1:6">
      <c r="A2" s="3000" t="s">
        <v>3232</v>
      </c>
    </row>
    <row r="3" spans="1:6">
      <c r="A3" s="3000" t="s">
        <v>3233</v>
      </c>
      <c r="F3" s="3001" t="s">
        <v>3234</v>
      </c>
    </row>
    <row r="4" spans="1:6">
      <c r="A4" s="3002" t="s">
        <v>671</v>
      </c>
      <c r="B4" s="3002" t="s">
        <v>672</v>
      </c>
      <c r="C4" s="3002" t="s">
        <v>21</v>
      </c>
      <c r="D4" s="3002" t="s">
        <v>673</v>
      </c>
      <c r="E4" s="3002" t="s">
        <v>3</v>
      </c>
      <c r="F4" s="3002" t="s">
        <v>3235</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5">
        <f>基准地价修正!G23</f>
        <v>45924</v>
      </c>
      <c r="B1" s="2927" t="s">
        <v>3375</v>
      </c>
      <c r="C1" s="2928"/>
      <c r="D1" s="2928"/>
      <c r="E1" s="2928"/>
      <c r="F1" s="2928"/>
      <c r="G1" s="2928"/>
      <c r="H1" s="2928"/>
      <c r="I1" s="2928"/>
      <c r="J1" s="2894"/>
      <c r="K1" s="2928" t="s">
        <v>454</v>
      </c>
      <c r="L1" s="2928"/>
      <c r="M1" s="2928"/>
      <c r="N1" s="2928"/>
      <c r="O1" s="2928"/>
      <c r="P1" s="2928"/>
      <c r="Q1" s="2894"/>
      <c r="R1" s="3510" t="s">
        <v>456</v>
      </c>
      <c r="S1" s="3511"/>
      <c r="T1" s="3511"/>
      <c r="U1" s="3511"/>
      <c r="V1" s="3511"/>
      <c r="W1" s="3511"/>
      <c r="X1" s="2894"/>
      <c r="Y1" s="3510" t="s">
        <v>457</v>
      </c>
      <c r="Z1" s="3511"/>
      <c r="AA1" s="3511"/>
      <c r="AB1" s="3511"/>
      <c r="AC1" s="3511"/>
      <c r="AD1" s="3511"/>
    </row>
    <row r="2" spans="1:44" s="2009" customFormat="1" ht="14.5" thickBot="1">
      <c r="B2" s="2879"/>
      <c r="C2" s="2880"/>
      <c r="D2" s="2010" t="s">
        <v>2809</v>
      </c>
      <c r="E2" s="2011" t="s">
        <v>2810</v>
      </c>
      <c r="F2" s="2011" t="s">
        <v>2811</v>
      </c>
      <c r="G2" s="2011" t="s">
        <v>2812</v>
      </c>
      <c r="H2" s="2011" t="s">
        <v>2813</v>
      </c>
      <c r="I2" s="2011" t="s">
        <v>2630</v>
      </c>
      <c r="J2" s="2881"/>
      <c r="K2" s="2010" t="s">
        <v>2809</v>
      </c>
      <c r="L2" s="2011" t="s">
        <v>2810</v>
      </c>
      <c r="M2" s="2011" t="s">
        <v>2811</v>
      </c>
      <c r="N2" s="2011" t="s">
        <v>2812</v>
      </c>
      <c r="O2" s="2011" t="s">
        <v>2814</v>
      </c>
      <c r="P2" s="2011" t="s">
        <v>2630</v>
      </c>
      <c r="Q2" s="2881"/>
      <c r="R2" s="2010" t="s">
        <v>2809</v>
      </c>
      <c r="S2" s="2011" t="s">
        <v>2810</v>
      </c>
      <c r="T2" s="2011" t="s">
        <v>2811</v>
      </c>
      <c r="U2" s="2011" t="s">
        <v>2815</v>
      </c>
      <c r="V2" s="2011" t="s">
        <v>2816</v>
      </c>
      <c r="W2" s="2011" t="s">
        <v>2630</v>
      </c>
      <c r="X2" s="2881"/>
      <c r="Y2" s="2010" t="s">
        <v>2809</v>
      </c>
      <c r="Z2" s="2011" t="s">
        <v>2810</v>
      </c>
      <c r="AA2" s="2011" t="s">
        <v>2811</v>
      </c>
      <c r="AB2" s="2011" t="s">
        <v>2817</v>
      </c>
      <c r="AC2" s="2011" t="s">
        <v>2816</v>
      </c>
      <c r="AD2" s="2011" t="s">
        <v>2630</v>
      </c>
      <c r="AF2" t="s">
        <v>3402</v>
      </c>
      <c r="AG2" t="s">
        <v>672</v>
      </c>
      <c r="AH2" t="s">
        <v>21</v>
      </c>
      <c r="AI2" t="s">
        <v>3403</v>
      </c>
      <c r="AJ2" t="s">
        <v>3</v>
      </c>
      <c r="AK2" t="s">
        <v>3404</v>
      </c>
      <c r="AM2" t="s">
        <v>3402</v>
      </c>
      <c r="AN2" t="s">
        <v>672</v>
      </c>
      <c r="AO2" t="s">
        <v>21</v>
      </c>
      <c r="AP2" t="s">
        <v>3403</v>
      </c>
      <c r="AQ2" t="s">
        <v>3</v>
      </c>
      <c r="AR2" t="s">
        <v>3404</v>
      </c>
    </row>
    <row r="3" spans="1:44" s="2884" customFormat="1" ht="13">
      <c r="A3" s="2882" t="s">
        <v>2818</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3401</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
      <c r="A6" s="2039" t="s">
        <v>3400</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
      <c r="A8" s="2039" t="s">
        <v>3407</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
      <c r="A9" s="2039" t="s">
        <v>3406</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
      <c r="A20" s="2903" t="s">
        <v>2819</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
      <c r="A21" s="2903" t="s">
        <v>2820</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
      <c r="A22" s="2903" t="s">
        <v>2821</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
      <c r="A23" s="2903" t="s">
        <v>2822</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2823</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3378</v>
      </c>
    </row>
    <row r="27" spans="1:44">
      <c r="I27" s="1405" t="s">
        <v>2824</v>
      </c>
    </row>
    <row r="29" spans="1:44" s="2008" customFormat="1" ht="13">
      <c r="B29" s="2927" t="s">
        <v>3376</v>
      </c>
      <c r="C29" s="2928"/>
      <c r="D29" s="2928"/>
      <c r="E29" s="2928"/>
      <c r="F29" s="2928"/>
      <c r="G29" s="2928"/>
      <c r="H29" s="2928"/>
      <c r="I29" s="2928"/>
      <c r="J29" s="2894"/>
      <c r="K29" s="2928" t="s">
        <v>2825</v>
      </c>
      <c r="L29" s="2928"/>
      <c r="M29" s="2928"/>
      <c r="N29" s="2928"/>
      <c r="O29" s="2928"/>
      <c r="P29" s="2928"/>
      <c r="Q29" s="2894"/>
      <c r="R29" s="3510" t="s">
        <v>2826</v>
      </c>
      <c r="S29" s="3511"/>
      <c r="T29" s="3511"/>
      <c r="U29" s="3511"/>
      <c r="V29" s="3511"/>
      <c r="W29" s="3511"/>
      <c r="X29" s="2894"/>
      <c r="Y29" s="3510" t="s">
        <v>2827</v>
      </c>
      <c r="Z29" s="3511"/>
      <c r="AA29" s="3511"/>
      <c r="AB29" s="3511"/>
      <c r="AC29" s="3511"/>
      <c r="AD29" s="3511"/>
    </row>
    <row r="30" spans="1:44" s="2009" customFormat="1" ht="14.5" thickBot="1">
      <c r="B30" s="2879"/>
      <c r="C30" s="2880"/>
      <c r="D30" s="2010" t="s">
        <v>2828</v>
      </c>
      <c r="E30" s="2011" t="s">
        <v>2829</v>
      </c>
      <c r="F30" s="2011" t="s">
        <v>2830</v>
      </c>
      <c r="G30" s="2011" t="s">
        <v>2831</v>
      </c>
      <c r="H30" s="2011"/>
      <c r="I30" s="2011" t="s">
        <v>2832</v>
      </c>
      <c r="J30" s="2881"/>
      <c r="K30" s="2010" t="s">
        <v>2828</v>
      </c>
      <c r="L30" s="2011" t="s">
        <v>2829</v>
      </c>
      <c r="M30" s="2011" t="s">
        <v>2830</v>
      </c>
      <c r="N30" s="2011" t="s">
        <v>2831</v>
      </c>
      <c r="O30" s="2011"/>
      <c r="P30" s="2011" t="s">
        <v>2832</v>
      </c>
      <c r="Q30" s="2881"/>
      <c r="R30" s="2010" t="s">
        <v>2828</v>
      </c>
      <c r="S30" s="2011" t="s">
        <v>2829</v>
      </c>
      <c r="T30" s="2011" t="s">
        <v>2830</v>
      </c>
      <c r="U30" s="2011" t="s">
        <v>2831</v>
      </c>
      <c r="V30" s="2011"/>
      <c r="W30" s="2011" t="s">
        <v>2832</v>
      </c>
      <c r="X30" s="2881"/>
      <c r="Y30" s="2010" t="s">
        <v>2828</v>
      </c>
      <c r="Z30" s="2011" t="s">
        <v>2829</v>
      </c>
      <c r="AA30" s="2011" t="s">
        <v>2830</v>
      </c>
      <c r="AB30" s="2011" t="s">
        <v>2831</v>
      </c>
      <c r="AC30" s="2011"/>
      <c r="AD30" s="2011" t="s">
        <v>2832</v>
      </c>
      <c r="AG30" t="s">
        <v>672</v>
      </c>
      <c r="AH30" t="s">
        <v>21</v>
      </c>
      <c r="AI30" t="s">
        <v>3403</v>
      </c>
      <c r="AJ30"/>
      <c r="AK30" t="s">
        <v>3404</v>
      </c>
      <c r="AN30" t="s">
        <v>672</v>
      </c>
      <c r="AO30" t="s">
        <v>21</v>
      </c>
      <c r="AP30" t="s">
        <v>3403</v>
      </c>
      <c r="AQ30"/>
      <c r="AR30" t="s">
        <v>3404</v>
      </c>
    </row>
    <row r="31" spans="1:44" s="2884" customFormat="1" ht="13">
      <c r="A31" s="2882" t="s">
        <v>2833</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3401</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
      <c r="A34" s="2039" t="s">
        <v>3400</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
      <c r="A36" s="2039" t="s">
        <v>3405</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
      <c r="A37" s="2039" t="s">
        <v>3406</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
      <c r="A48" s="2903" t="s">
        <v>2834</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
      <c r="A49" s="2903" t="s">
        <v>2835</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
      <c r="A50" s="2903" t="s">
        <v>2836</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
      <c r="A51" s="2903" t="s">
        <v>2837</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2823</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4.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23" t="s">
        <v>2838</v>
      </c>
      <c r="B1" s="3523"/>
      <c r="C1" s="3523"/>
      <c r="D1" s="3523"/>
      <c r="E1" s="3523"/>
      <c r="F1" s="3523"/>
      <c r="G1" s="352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2.5"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2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2.5" thickBot="1">
      <c r="A4" s="352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2.5"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2.5"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2.5"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2.5"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45924</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2308</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927</v>
      </c>
      <c r="B2" s="3207" t="s">
        <v>928</v>
      </c>
      <c r="C2" s="3207" t="s">
        <v>929</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6">
      <c r="A3" s="3202"/>
      <c r="B3" s="3202"/>
      <c r="C3" s="3202"/>
      <c r="D3" s="801" t="s">
        <v>924</v>
      </c>
      <c r="E3" s="801" t="s">
        <v>930</v>
      </c>
      <c r="F3" s="801" t="s">
        <v>924</v>
      </c>
      <c r="G3" s="801" t="s">
        <v>925</v>
      </c>
      <c r="H3" s="801" t="s">
        <v>924</v>
      </c>
      <c r="I3" s="801" t="s">
        <v>925</v>
      </c>
    </row>
    <row r="4" spans="1:9" ht="31">
      <c r="A4" s="1403" t="str">
        <f>项目基本情况!S2</f>
        <v>北京市密云县新南路甲52号院1号楼等3幢房地产</v>
      </c>
      <c r="B4" s="801">
        <f>项目基本情况!C17</f>
        <v>2256.4</v>
      </c>
      <c r="C4" s="801">
        <f>项目基本情况!C18</f>
        <v>5851.68</v>
      </c>
      <c r="D4" s="801">
        <f ca="1">结果表!D118</f>
        <v>2773</v>
      </c>
      <c r="E4" s="801">
        <f ca="1">结果表!E118</f>
        <v>12289</v>
      </c>
      <c r="F4" s="801">
        <f ca="1">结果表!F118</f>
        <v>725</v>
      </c>
      <c r="G4" s="801">
        <f ca="1">结果表!G118</f>
        <v>3213</v>
      </c>
      <c r="H4" s="801">
        <f ca="1">结果表!H118</f>
        <v>3498</v>
      </c>
      <c r="I4" s="801">
        <f ca="1">结果表!I118</f>
        <v>15503</v>
      </c>
    </row>
    <row r="5" spans="1:9" ht="30" customHeight="1">
      <c r="A5" s="3202" t="s">
        <v>926</v>
      </c>
      <c r="B5" s="3202"/>
      <c r="C5" s="3202"/>
      <c r="D5" s="3202" t="str">
        <f ca="1">结果表!D119</f>
        <v>贰仟柒佰柒拾叁万元整</v>
      </c>
      <c r="E5" s="3202"/>
      <c r="F5" s="3202" t="str">
        <f ca="1">结果表!F119</f>
        <v>柒佰贰拾伍万元整</v>
      </c>
      <c r="G5" s="3202"/>
      <c r="H5" s="3202" t="str">
        <f ca="1">结果表!H119</f>
        <v>叁仟肆佰玖拾捌万元整</v>
      </c>
      <c r="I5" s="3202"/>
    </row>
    <row r="6" spans="1:9" ht="15.5">
      <c r="A6" s="3201" t="str">
        <f>结果表!A120</f>
        <v>估价师知悉的法定优先受偿款</v>
      </c>
      <c r="B6" s="3201"/>
      <c r="C6" s="3201"/>
      <c r="D6" s="3201">
        <f>结果表!D120</f>
        <v>0</v>
      </c>
      <c r="E6" s="3201"/>
      <c r="F6" s="3201"/>
      <c r="G6" s="3201"/>
      <c r="H6" s="3201"/>
      <c r="I6" s="3201"/>
    </row>
    <row r="7" spans="1:9" ht="15.5">
      <c r="A7" s="3202" t="s">
        <v>926</v>
      </c>
      <c r="B7" s="3202"/>
      <c r="C7" s="3202"/>
      <c r="D7" s="3203" t="str">
        <f>结果表!D121</f>
        <v>零元整</v>
      </c>
      <c r="E7" s="3204"/>
      <c r="F7" s="3204"/>
      <c r="G7" s="3204"/>
      <c r="H7" s="3204"/>
      <c r="I7" s="3205"/>
    </row>
    <row r="8" spans="1:9" ht="15.5">
      <c r="A8" s="3201" t="str">
        <f>结果表!A122</f>
        <v>房地产抵押价值</v>
      </c>
      <c r="B8" s="3201"/>
      <c r="C8" s="3201"/>
      <c r="D8" s="3201">
        <f ca="1">结果表!D122</f>
        <v>3498</v>
      </c>
      <c r="E8" s="3201"/>
      <c r="F8" s="3201"/>
      <c r="G8" s="3201"/>
      <c r="H8" s="3201"/>
      <c r="I8" s="3201"/>
    </row>
    <row r="9" spans="1:9" ht="15.5">
      <c r="A9" s="3202" t="s">
        <v>926</v>
      </c>
      <c r="B9" s="3202"/>
      <c r="C9" s="3202"/>
      <c r="D9" s="3202" t="str">
        <f ca="1">结果表!D123</f>
        <v>叁仟肆佰玖拾捌万元整</v>
      </c>
      <c r="E9" s="3202"/>
      <c r="F9" s="3202"/>
      <c r="G9" s="3202"/>
      <c r="H9" s="3202"/>
      <c r="I9" s="3202"/>
    </row>
    <row r="10" spans="1:9" ht="15.5">
      <c r="A10" s="3201" t="str">
        <f>结果表!A124</f>
        <v/>
      </c>
      <c r="B10" s="3201"/>
      <c r="C10" s="3201"/>
      <c r="D10" s="3201" t="str">
        <f>结果表!D124</f>
        <v>——</v>
      </c>
      <c r="E10" s="3201"/>
      <c r="F10" s="3201"/>
      <c r="G10" s="3201"/>
      <c r="H10" s="3201"/>
      <c r="I10" s="3201"/>
    </row>
    <row r="11" spans="1:9" ht="15.5">
      <c r="A11" s="3202" t="s">
        <v>926</v>
      </c>
      <c r="B11" s="3202"/>
      <c r="C11" s="3202"/>
      <c r="D11" s="3202" t="e">
        <f>结果表!D125</f>
        <v>#VALUE!</v>
      </c>
      <c r="E11" s="3202"/>
      <c r="F11" s="3202"/>
      <c r="G11" s="3202"/>
      <c r="H11" s="3202"/>
      <c r="I11" s="3202"/>
    </row>
    <row r="12" spans="1:9" ht="15.5">
      <c r="A12" s="3201" t="str">
        <f>结果表!A126</f>
        <v/>
      </c>
      <c r="B12" s="3201"/>
      <c r="C12" s="3201"/>
      <c r="D12" s="3201" t="str">
        <f>结果表!D126</f>
        <v>——</v>
      </c>
      <c r="E12" s="3201"/>
      <c r="F12" s="3201"/>
      <c r="G12" s="3201"/>
      <c r="H12" s="3201"/>
      <c r="I12" s="3201"/>
    </row>
    <row r="13" spans="1:9" ht="16" thickBot="1">
      <c r="A13" s="3199" t="s">
        <v>926</v>
      </c>
      <c r="B13" s="3199"/>
      <c r="C13" s="3199"/>
      <c r="D13" s="3199" t="e">
        <f>结果表!D127</f>
        <v>#VALUE!</v>
      </c>
      <c r="E13" s="3199"/>
      <c r="F13" s="3199"/>
      <c r="G13" s="3199"/>
      <c r="H13" s="3199"/>
      <c r="I13" s="3199"/>
    </row>
    <row r="14" spans="1:9" ht="14.5" thickTop="1">
      <c r="A14" s="3200" t="s">
        <v>931</v>
      </c>
      <c r="B14" s="3200"/>
      <c r="C14" s="3200"/>
      <c r="D14" s="3200"/>
      <c r="E14" s="3200"/>
      <c r="F14" s="3200"/>
      <c r="G14" s="3200"/>
      <c r="H14" s="3200"/>
      <c r="I14" s="3200"/>
    </row>
    <row r="16" spans="1:9" ht="1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4" t="s">
        <v>948</v>
      </c>
      <c r="B1" s="3214"/>
      <c r="C1" s="3214"/>
      <c r="D1" s="3214"/>
    </row>
    <row r="2" spans="1:4" ht="18">
      <c r="A2" s="3215" t="s">
        <v>932</v>
      </c>
      <c r="B2" s="3215"/>
      <c r="C2" s="3215"/>
      <c r="D2" s="3215"/>
    </row>
    <row r="3" spans="1:4" ht="1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15" t="s">
        <v>938</v>
      </c>
      <c r="B6" s="3215"/>
      <c r="C6" s="3215"/>
      <c r="D6" s="3215"/>
    </row>
    <row r="7" spans="1:4" ht="17.5">
      <c r="A7" s="1407" t="s">
        <v>933</v>
      </c>
      <c r="B7" s="1409" t="s">
        <v>939</v>
      </c>
      <c r="C7" s="1407" t="s">
        <v>935</v>
      </c>
      <c r="D7" s="1407" t="s">
        <v>936</v>
      </c>
    </row>
    <row r="8" spans="1:4" ht="56.25" customHeight="1">
      <c r="A8" s="1413" t="s">
        <v>390</v>
      </c>
      <c r="B8" s="1413" t="s">
        <v>0</v>
      </c>
      <c r="C8" s="1410"/>
      <c r="D8" s="1411" t="s">
        <v>937</v>
      </c>
    </row>
    <row r="10" spans="1:4" ht="18">
      <c r="A10" s="1414" t="s">
        <v>940</v>
      </c>
    </row>
    <row r="11" spans="1:4" ht="30" customHeight="1">
      <c r="A11" s="3216" t="s">
        <v>941</v>
      </c>
      <c r="B11" s="3208"/>
      <c r="C11" s="3208"/>
      <c r="D11" s="3208"/>
    </row>
    <row r="12" spans="1:4" ht="15.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942</v>
      </c>
      <c r="B16" s="3210"/>
      <c r="C16" s="3210"/>
      <c r="D16" s="3210"/>
    </row>
    <row r="17" spans="1:4" ht="144" customHeight="1">
      <c r="A17" s="3210" t="s">
        <v>943</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944</v>
      </c>
      <c r="B22" s="3212"/>
      <c r="C22" s="3212"/>
      <c r="D22" s="3212"/>
    </row>
    <row r="23" spans="1:4">
      <c r="A23" s="1415"/>
      <c r="B23" s="459"/>
      <c r="C23" s="459"/>
      <c r="D23" s="459"/>
    </row>
    <row r="24" spans="1:4">
      <c r="A24" s="1415"/>
      <c r="B24" s="459"/>
      <c r="C24" s="459"/>
      <c r="D24" s="459"/>
    </row>
    <row r="25" spans="1:4" ht="17.5">
      <c r="A25" s="1416" t="s">
        <v>945</v>
      </c>
    </row>
    <row r="26" spans="1:4" ht="17.5">
      <c r="A26" s="1387"/>
    </row>
    <row r="27" spans="1:4" ht="17.5">
      <c r="A27" s="1387" t="s">
        <v>946</v>
      </c>
    </row>
    <row r="30" spans="1:4" ht="17.5">
      <c r="D30" s="1416" t="s">
        <v>947</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
      <c r="A15" s="3222" t="s">
        <v>955</v>
      </c>
      <c r="B15" s="3217" t="s">
        <v>109</v>
      </c>
      <c r="C15" s="3218"/>
    </row>
    <row r="16" spans="1:7" ht="14">
      <c r="A16" s="3223"/>
      <c r="B16" s="3217" t="s">
        <v>42</v>
      </c>
      <c r="C16" s="3218"/>
    </row>
    <row r="17" spans="1:3" ht="14">
      <c r="A17" s="3223"/>
      <c r="B17" s="3220" t="s">
        <v>956</v>
      </c>
      <c r="C17" s="1429" t="s">
        <v>955</v>
      </c>
    </row>
    <row r="18" spans="1:3" ht="14">
      <c r="A18" s="3223"/>
      <c r="B18" s="3220"/>
      <c r="C18" s="1429" t="s">
        <v>957</v>
      </c>
    </row>
    <row r="19" spans="1:3" ht="14">
      <c r="A19" s="3223"/>
      <c r="B19" s="3220"/>
      <c r="C19" s="1429" t="s">
        <v>958</v>
      </c>
    </row>
    <row r="20" spans="1:3" ht="14">
      <c r="A20" s="3224"/>
      <c r="B20" s="3219" t="s">
        <v>959</v>
      </c>
      <c r="C20" s="3218"/>
    </row>
    <row r="21" spans="1:3" ht="14">
      <c r="A21" s="1430" t="s">
        <v>960</v>
      </c>
      <c r="B21" s="1431"/>
      <c r="C21" s="1432"/>
    </row>
    <row r="22" spans="1:3" ht="14">
      <c r="A22" s="3221" t="s">
        <v>961</v>
      </c>
      <c r="B22" s="3219" t="s">
        <v>962</v>
      </c>
      <c r="C22" s="3218"/>
    </row>
    <row r="23" spans="1:3" ht="14">
      <c r="A23" s="3221"/>
      <c r="B23" s="3219" t="s">
        <v>963</v>
      </c>
      <c r="C23" s="3218"/>
    </row>
    <row r="24" spans="1:3" ht="14">
      <c r="A24" s="3221"/>
      <c r="B24" s="3219" t="s">
        <v>964</v>
      </c>
      <c r="C24" s="3218"/>
    </row>
    <row r="25" spans="1:3" ht="14">
      <c r="A25" s="3221"/>
      <c r="B25" s="3220" t="s">
        <v>965</v>
      </c>
      <c r="C25" s="1429" t="s">
        <v>966</v>
      </c>
    </row>
    <row r="26" spans="1:3" ht="14">
      <c r="A26" s="3221"/>
      <c r="B26" s="3220"/>
      <c r="C26" s="1429" t="s">
        <v>967</v>
      </c>
    </row>
    <row r="27" spans="1:3" ht="14">
      <c r="A27" s="3221"/>
      <c r="B27" s="3220"/>
      <c r="C27" s="1429" t="s">
        <v>968</v>
      </c>
    </row>
    <row r="28" spans="1:3" ht="14">
      <c r="A28" s="3221"/>
      <c r="B28" s="3220"/>
      <c r="C28" s="1429" t="s">
        <v>969</v>
      </c>
    </row>
    <row r="29" spans="1:3" ht="14">
      <c r="A29" s="3221"/>
      <c r="B29" s="3220"/>
      <c r="C29" s="1429" t="s">
        <v>970</v>
      </c>
    </row>
    <row r="30" spans="1:3" ht="14">
      <c r="A30" s="3221"/>
      <c r="B30" s="3220"/>
      <c r="C30" s="1429" t="s">
        <v>971</v>
      </c>
    </row>
    <row r="31" spans="1:3" ht="14">
      <c r="A31" s="3221"/>
      <c r="B31" s="3220"/>
      <c r="C31" s="1429" t="s">
        <v>972</v>
      </c>
    </row>
    <row r="32" spans="1:3" ht="14">
      <c r="A32" s="3221"/>
      <c r="B32" s="3220"/>
      <c r="C32" s="1429" t="s">
        <v>973</v>
      </c>
    </row>
    <row r="33" spans="1:3" ht="14">
      <c r="A33" s="3221"/>
      <c r="B33" s="3220"/>
      <c r="C33" s="1429" t="s">
        <v>974</v>
      </c>
    </row>
    <row r="34" spans="1:3">
      <c r="A34" s="1433" t="s">
        <v>49</v>
      </c>
    </row>
    <row r="37" spans="1:3">
      <c r="A37" s="1433" t="s">
        <v>975</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2138</v>
      </c>
      <c r="B2" s="2156">
        <f ca="1">TODAY()</f>
        <v>45924</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5" t="s">
        <v>2159</v>
      </c>
      <c r="B17" s="3225"/>
      <c r="C17" s="3225"/>
      <c r="D17" s="3225"/>
      <c r="E17" s="3225"/>
      <c r="F17" s="3225"/>
      <c r="G17" s="3225"/>
      <c r="H17" s="3225"/>
    </row>
    <row r="18" spans="1:8" ht="24" customHeight="1">
      <c r="A18" s="3226" t="s">
        <v>2160</v>
      </c>
      <c r="B18" s="3226"/>
      <c r="C18" s="3226"/>
      <c r="D18" s="2159"/>
      <c r="E18" s="3227" t="s">
        <v>2161</v>
      </c>
      <c r="F18" s="3226"/>
      <c r="G18" s="3226"/>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面积表</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2025-09-24T07:57:40Z</dcterms:modified>
</cp:coreProperties>
</file>