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结果表-会所" sheetId="78"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 sheetId="15" r:id="rId40"/>
    <sheet name="典型户型修正-48" sheetId="31" r:id="rId41"/>
    <sheet name="比较法-会所" sheetId="82" r:id="rId42"/>
    <sheet name="比较法-会所1" sheetId="79" state="hidden" r:id="rId43"/>
    <sheet name="收益法-会所" sheetId="80"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'比较法-会所'!$A$1:$L$49</definedName>
    <definedName name="_xlnm._FilterDatabase" localSheetId="42" hidden="1">'比较法-会所1'!$A$1:$L$49</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39">收益法!$A$1:$AK$69</definedName>
    <definedName name="_xlnm.Print_Area" localSheetId="23">'收益法 (元)'!$A$1:$AK$69</definedName>
    <definedName name="_xlnm.Print_Area" localSheetId="43">'收益法-会所'!$A$1:$AK$69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1">'比较法-会所'!$B$116:$M$116</definedName>
    <definedName name="商业层高" localSheetId="42">'比较法-会所1'!$B$116:$M$116</definedName>
    <definedName name="商业层高">'比较法-商业'!$B$116:$M$116</definedName>
    <definedName name="商业成新度" localSheetId="41">'比较法-会所'!$B$109:$M$109</definedName>
    <definedName name="商业成新度" localSheetId="42">'比较法-会所1'!$B$109:$M$109</definedName>
    <definedName name="商业成新度">'比较法-商业'!$B$109:$M$109</definedName>
    <definedName name="商业繁华度">定义!$L$1:$L$6</definedName>
    <definedName name="商业公共部分装修" localSheetId="41">'比较法-会所'!$B$107:$M$107</definedName>
    <definedName name="商业公共部分装修" localSheetId="42">'比较法-会所1'!$B$107:$M$107</definedName>
    <definedName name="商业公共部分装修">'比较法-商业'!$B$107:$M$107</definedName>
    <definedName name="商业基础设施水平" localSheetId="41">'比较法-会所'!$B$112:$M$112</definedName>
    <definedName name="商业基础设施水平" localSheetId="42">'比较法-会所1'!$B$112:$M$112</definedName>
    <definedName name="商业基础设施水平">'比较法-商业'!$B$112:$M$112</definedName>
    <definedName name="商业建筑结构" localSheetId="41">'比较法-会所'!$B$105:$M$105</definedName>
    <definedName name="商业建筑结构" localSheetId="42">'比较法-会所1'!$B$105:$M$105</definedName>
    <definedName name="商业建筑结构">'比较法-商业'!$B$105:$M$105</definedName>
    <definedName name="商业交易情况" localSheetId="41">'比较法-会所'!$A$61:$M$61</definedName>
    <definedName name="商业交易情况" localSheetId="42">'比较法-会所1'!$A$61:$M$61</definedName>
    <definedName name="商业交易情况">'比较法-商业'!$A$61:$M$61</definedName>
    <definedName name="商业街名称">修正!$C$59:$C$119</definedName>
    <definedName name="商业进深比" localSheetId="41">'比较法-会所'!$B$120:$M$120</definedName>
    <definedName name="商业进深比" localSheetId="42">'比较法-会所1'!$B$120:$M$120</definedName>
    <definedName name="商业进深比">'比较法-商业'!$B$120:$M$120</definedName>
    <definedName name="商业类型" localSheetId="41">'比较法-会所'!$B$100:$M$100</definedName>
    <definedName name="商业类型" localSheetId="42">'比较法-会所1'!$B$100:$M$100</definedName>
    <definedName name="商业类型">'比较法-商业'!$B$100:$M$100</definedName>
    <definedName name="商业临街状况" localSheetId="41">'比较法-会所'!$B$86:$M$86</definedName>
    <definedName name="商业临街状况" localSheetId="42">'比较法-会所1'!$B$86:$M$86</definedName>
    <definedName name="商业临街状况">'比较法-商业'!$B$86:$M$86</definedName>
    <definedName name="商业楼层" localSheetId="41">'比较法-会所'!$B$92:$M$92</definedName>
    <definedName name="商业楼层" localSheetId="42">'比较法-会所1'!$B$92:$M$92</definedName>
    <definedName name="商业楼层">'比较法-商业'!$B$92:$M$92</definedName>
    <definedName name="商业内部装修" localSheetId="41">'比较法-会所'!$B$122:$M$122</definedName>
    <definedName name="商业内部装修" localSheetId="42">'比较法-会所1'!$B$122:$M$122</definedName>
    <definedName name="商业内部装修">'比较法-商业'!$B$122:$M$122</definedName>
    <definedName name="商业人流量" localSheetId="41">'比较法-会所'!$B$90:$M$90</definedName>
    <definedName name="商业人流量" localSheetId="42">'比较法-会所1'!$B$90:$M$90</definedName>
    <definedName name="商业人流量">'比较法-商业'!$B$90:$M$90</definedName>
    <definedName name="商业业态" localSheetId="41">'比较法-会所'!$B$114:$M$114</definedName>
    <definedName name="商业业态" localSheetId="42">'比较法-会所1'!$B$114:$M$114</definedName>
    <definedName name="商业业态">'比较法-商业'!$B$114:$M$114</definedName>
    <definedName name="商业用途" localSheetId="41">'比较法-会所'!$B$63:$M$63</definedName>
    <definedName name="商业用途" localSheetId="42">'比较法-会所1'!$B$63:$M$63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'典型户型修正-48'!$5:$5</definedName>
    <definedName name="一修多修正项3">'典型户型修正-48'!$7:$7</definedName>
    <definedName name="一修多修正项4">'典型户型修正-48'!$9:$9</definedName>
    <definedName name="一修多修正项5">'典型户型修正-48'!$11:$11</definedName>
    <definedName name="一修多修正项6">'典型户型修正-48'!$13:$13</definedName>
    <definedName name="一修多修正项7">'典型户型修正-48'!$15:$15</definedName>
    <definedName name="一修多修正项8">'典型户型修正-48'!$17:$17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8" i="1" l="1"/>
  <c r="L7" i="1"/>
  <c r="Z8" i="1"/>
  <c r="Z20" i="1"/>
  <c r="AD8" i="1"/>
  <c r="AD6" i="1"/>
  <c r="N8" i="1"/>
  <c r="N7" i="1"/>
  <c r="N6" i="1"/>
  <c r="G47" i="33" l="1"/>
  <c r="I47" i="82"/>
  <c r="G47" i="82"/>
  <c r="E47"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F118" i="82"/>
  <c r="E118" i="82"/>
  <c r="D118" i="82"/>
  <c r="C118"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P49" i="82"/>
  <c r="P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E36" i="82"/>
  <c r="C36" i="82"/>
  <c r="J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W25" i="82" s="1"/>
  <c r="H25" i="82"/>
  <c r="AB25" i="82" s="1"/>
  <c r="F25" i="82"/>
  <c r="AA25" i="82" s="1"/>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8" i="82" s="1"/>
  <c r="D58" i="82" s="1"/>
  <c r="E58" i="82" s="1"/>
  <c r="F58" i="82" s="1"/>
  <c r="G58" i="82" s="1"/>
  <c r="H58" i="82" s="1"/>
  <c r="I58" i="82" s="1"/>
  <c r="J58" i="82" s="1"/>
  <c r="K58" i="82" s="1"/>
  <c r="L58" i="82" s="1"/>
  <c r="M58" i="82" s="1"/>
  <c r="N58" i="82" s="1"/>
  <c r="O58" i="82" s="1"/>
  <c r="D3" i="82"/>
  <c r="I47" i="33"/>
  <c r="E47" i="33"/>
  <c r="E36" i="33"/>
  <c r="H36" i="82" l="1"/>
  <c r="AB36" i="82" s="1"/>
  <c r="U8" i="82"/>
  <c r="F36" i="82"/>
  <c r="AA36" i="82" s="1"/>
  <c r="AC25" i="82"/>
  <c r="H7" i="82"/>
  <c r="AA8" i="82"/>
  <c r="AC8" i="82"/>
  <c r="U9" i="82"/>
  <c r="S10" i="82"/>
  <c r="W10" i="82"/>
  <c r="U11" i="82"/>
  <c r="S12" i="82"/>
  <c r="W12" i="82"/>
  <c r="U13" i="82"/>
  <c r="S14" i="82"/>
  <c r="W14" i="82"/>
  <c r="S15" i="82"/>
  <c r="W15" i="82"/>
  <c r="S17" i="82"/>
  <c r="W17" i="82"/>
  <c r="S19" i="82"/>
  <c r="W19" i="82"/>
  <c r="S21" i="82"/>
  <c r="W21" i="82"/>
  <c r="AC23" i="82"/>
  <c r="W23" i="82"/>
  <c r="S23" i="82"/>
  <c r="S25" i="82"/>
  <c r="U26" i="82"/>
  <c r="F7" i="82"/>
  <c r="J7" i="82"/>
  <c r="S9" i="82"/>
  <c r="W9" i="82"/>
  <c r="U10" i="82"/>
  <c r="S11" i="82"/>
  <c r="W11" i="82"/>
  <c r="U12" i="82"/>
  <c r="S13" i="82"/>
  <c r="W13" i="82"/>
  <c r="U14" i="82"/>
  <c r="U15" i="82"/>
  <c r="U17" i="82"/>
  <c r="U19" i="82"/>
  <c r="U21" i="82"/>
  <c r="U23" i="82"/>
  <c r="AC36" i="82"/>
  <c r="W3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E54" i="82"/>
  <c r="F54" i="82" s="1"/>
  <c r="I54" i="82"/>
  <c r="J54" i="82" s="1"/>
  <c r="R47" i="82"/>
  <c r="V47" i="82"/>
  <c r="U25" i="82"/>
  <c r="S26" i="82"/>
  <c r="W26" i="82"/>
  <c r="U27" i="82"/>
  <c r="S28" i="82"/>
  <c r="W28" i="82"/>
  <c r="U29" i="82"/>
  <c r="S30" i="82"/>
  <c r="W30" i="82"/>
  <c r="U31" i="82"/>
  <c r="S32" i="82"/>
  <c r="W32" i="82"/>
  <c r="U33" i="82"/>
  <c r="S34" i="82"/>
  <c r="W34" i="82"/>
  <c r="U35" i="82"/>
  <c r="U37" i="82"/>
  <c r="S38" i="82"/>
  <c r="W38" i="82"/>
  <c r="U39" i="82"/>
  <c r="S40" i="82"/>
  <c r="W40" i="82"/>
  <c r="U41" i="82"/>
  <c r="S42" i="82"/>
  <c r="W42" i="82"/>
  <c r="U43" i="82"/>
  <c r="S44" i="82"/>
  <c r="W44" i="82"/>
  <c r="U45" i="82"/>
  <c r="S46" i="82"/>
  <c r="W46" i="82"/>
  <c r="G54" i="82"/>
  <c r="H54" i="82" s="1"/>
  <c r="T47" i="82"/>
  <c r="S36" i="82" l="1"/>
  <c r="U36" i="82"/>
  <c r="AC7" i="82"/>
  <c r="V48" i="82" s="1"/>
  <c r="I48" i="82" s="1"/>
  <c r="W7" i="82"/>
  <c r="AA7" i="82"/>
  <c r="R48" i="82" s="1"/>
  <c r="S7" i="82"/>
  <c r="U7" i="82"/>
  <c r="AB7" i="82"/>
  <c r="T48" i="82" s="1"/>
  <c r="G48" i="82" s="1"/>
  <c r="R49" i="82" l="1"/>
  <c r="E48" i="82"/>
  <c r="I53" i="82" s="1"/>
  <c r="J53" i="82" s="1"/>
  <c r="G53" i="82"/>
  <c r="H53" i="82" s="1"/>
  <c r="G52" i="82"/>
  <c r="H52" i="82" s="1"/>
  <c r="I52" i="82"/>
  <c r="J52" i="82" s="1"/>
  <c r="C49" i="82" l="1"/>
  <c r="C48" i="82"/>
  <c r="E53" i="82"/>
  <c r="F53" i="82" s="1"/>
  <c r="E52" i="82"/>
  <c r="F52" i="82" s="1"/>
  <c r="Z21" i="1" l="1"/>
  <c r="F49" i="15" s="1"/>
  <c r="AA20" i="1"/>
  <c r="AA19" i="1"/>
  <c r="Y21" i="1"/>
  <c r="Y20" i="1"/>
  <c r="Y19" i="1"/>
  <c r="Z6" i="1" l="1"/>
  <c r="AM8" i="1"/>
  <c r="Y8" i="1"/>
  <c r="Q72" i="80"/>
  <c r="Q59" i="80"/>
  <c r="K59" i="80"/>
  <c r="P74" i="80" s="1"/>
  <c r="Q58" i="80"/>
  <c r="Q51" i="80"/>
  <c r="J50" i="80"/>
  <c r="J51" i="80" s="1"/>
  <c r="M47" i="80"/>
  <c r="D46" i="80"/>
  <c r="F34" i="80"/>
  <c r="F62" i="80" s="1"/>
  <c r="F33" i="80"/>
  <c r="F61" i="80" s="1"/>
  <c r="F32" i="80"/>
  <c r="F60" i="80" s="1"/>
  <c r="F28" i="80"/>
  <c r="C28" i="80" s="1"/>
  <c r="F23" i="80"/>
  <c r="D23" i="80" s="1"/>
  <c r="F21" i="80"/>
  <c r="M20" i="80"/>
  <c r="F20" i="80"/>
  <c r="M19" i="80"/>
  <c r="M18" i="80"/>
  <c r="F18" i="80"/>
  <c r="F17" i="80"/>
  <c r="F15" i="80"/>
  <c r="G1" i="80"/>
  <c r="I47" i="79"/>
  <c r="G47" i="79"/>
  <c r="E47" i="79"/>
  <c r="I54" i="79" s="1"/>
  <c r="J54" i="79" s="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F118" i="79"/>
  <c r="E118" i="79"/>
  <c r="D118" i="79"/>
  <c r="C118" i="79"/>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E101" i="79"/>
  <c r="F101" i="79" s="1"/>
  <c r="G101" i="79" s="1"/>
  <c r="H101" i="79" s="1"/>
  <c r="I101" i="79" s="1"/>
  <c r="J101" i="79" s="1"/>
  <c r="K101" i="79" s="1"/>
  <c r="L101" i="79" s="1"/>
  <c r="M101" i="79" s="1"/>
  <c r="D101" i="79"/>
  <c r="B98" i="79"/>
  <c r="B96" i="79"/>
  <c r="B94" i="79"/>
  <c r="B92" i="79"/>
  <c r="E91" i="79"/>
  <c r="F91" i="79" s="1"/>
  <c r="G91" i="79" s="1"/>
  <c r="H91" i="79" s="1"/>
  <c r="I91" i="79" s="1"/>
  <c r="J91" i="79" s="1"/>
  <c r="K91" i="79" s="1"/>
  <c r="L91" i="79" s="1"/>
  <c r="M91" i="79" s="1"/>
  <c r="D91" i="79"/>
  <c r="B90" i="79"/>
  <c r="B88" i="79"/>
  <c r="E87" i="79"/>
  <c r="F87" i="79" s="1"/>
  <c r="G87" i="79" s="1"/>
  <c r="H87" i="79" s="1"/>
  <c r="I87" i="79" s="1"/>
  <c r="J87" i="79" s="1"/>
  <c r="K87" i="79" s="1"/>
  <c r="L87" i="79" s="1"/>
  <c r="M87" i="79" s="1"/>
  <c r="D87" i="79"/>
  <c r="E85" i="79"/>
  <c r="F85" i="79" s="1"/>
  <c r="G85" i="79" s="1"/>
  <c r="D85" i="79"/>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G54" i="79"/>
  <c r="H54" i="79" s="1"/>
  <c r="P49" i="79"/>
  <c r="P48" i="79"/>
  <c r="V47" i="79"/>
  <c r="T47" i="79"/>
  <c r="R47" i="79"/>
  <c r="P47" i="79"/>
  <c r="Q46" i="79"/>
  <c r="Z46" i="79" s="1"/>
  <c r="J46" i="79"/>
  <c r="AC46" i="79" s="1"/>
  <c r="H46" i="79"/>
  <c r="AB46" i="79" s="1"/>
  <c r="F46" i="79"/>
  <c r="AA46" i="79" s="1"/>
  <c r="U45"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C36" i="79"/>
  <c r="H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AC15" i="79"/>
  <c r="W15" i="79"/>
  <c r="Q15" i="79"/>
  <c r="Z15" i="79" s="1"/>
  <c r="J15" i="79"/>
  <c r="H15" i="79"/>
  <c r="AB15" i="79" s="1"/>
  <c r="F15" i="79"/>
  <c r="AA15" i="79" s="1"/>
  <c r="C15" i="79"/>
  <c r="AC14" i="79"/>
  <c r="W14" i="79"/>
  <c r="Q14" i="79"/>
  <c r="Z14" i="79" s="1"/>
  <c r="J14" i="79"/>
  <c r="H14" i="79"/>
  <c r="AB14" i="79" s="1"/>
  <c r="F14" i="79"/>
  <c r="AA14" i="79" s="1"/>
  <c r="AB13" i="79"/>
  <c r="U13" i="79"/>
  <c r="Q13" i="79"/>
  <c r="Z13" i="79" s="1"/>
  <c r="J13" i="79"/>
  <c r="AC13" i="79" s="1"/>
  <c r="H13" i="79"/>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U8" i="79"/>
  <c r="J8" i="79"/>
  <c r="AC8" i="79" s="1"/>
  <c r="H8" i="79"/>
  <c r="AB8" i="79" s="1"/>
  <c r="F8" i="79"/>
  <c r="AA8" i="79" s="1"/>
  <c r="C7" i="79"/>
  <c r="C58" i="79" s="1"/>
  <c r="D58" i="79" s="1"/>
  <c r="E58" i="79" s="1"/>
  <c r="F58" i="79" s="1"/>
  <c r="G58" i="79" s="1"/>
  <c r="H58" i="79" s="1"/>
  <c r="I58" i="79" s="1"/>
  <c r="J58" i="79" s="1"/>
  <c r="K58" i="79" s="1"/>
  <c r="L58" i="79" s="1"/>
  <c r="M58" i="79" s="1"/>
  <c r="N58" i="79" s="1"/>
  <c r="O58" i="79" s="1"/>
  <c r="D3" i="79"/>
  <c r="A124" i="78"/>
  <c r="A120" i="78"/>
  <c r="A118" i="78"/>
  <c r="E111" i="78"/>
  <c r="A126" i="78" s="1"/>
  <c r="H109" i="78"/>
  <c r="D124" i="78" s="1"/>
  <c r="D125" i="78" s="1"/>
  <c r="E109" i="78"/>
  <c r="E107" i="78"/>
  <c r="A122" i="78" s="1"/>
  <c r="H106" i="78"/>
  <c r="H105" i="78"/>
  <c r="H104" i="78"/>
  <c r="H103" i="78"/>
  <c r="D120" i="78" s="1"/>
  <c r="D101" i="78"/>
  <c r="C101" i="78"/>
  <c r="D93" i="78"/>
  <c r="C91" i="78"/>
  <c r="E90" i="78"/>
  <c r="D89" i="78"/>
  <c r="C89" i="78" s="1"/>
  <c r="C87" i="78" s="1"/>
  <c r="D78" i="78"/>
  <c r="H77" i="78"/>
  <c r="D77" i="78"/>
  <c r="C77" i="78"/>
  <c r="C76" i="78"/>
  <c r="C74"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D48" i="78"/>
  <c r="M52" i="78" s="1"/>
  <c r="M47" i="78"/>
  <c r="F33" i="78"/>
  <c r="D27" i="78"/>
  <c r="C25" i="78"/>
  <c r="C24" i="78"/>
  <c r="M18" i="78"/>
  <c r="B118" i="78" s="1"/>
  <c r="D17" i="78"/>
  <c r="C17" i="78"/>
  <c r="L4" i="78"/>
  <c r="K4" i="78"/>
  <c r="A2" i="78"/>
  <c r="H1" i="78"/>
  <c r="B25" i="31"/>
  <c r="B24" i="31"/>
  <c r="D35" i="78"/>
  <c r="C76" i="80"/>
  <c r="D2" i="79"/>
  <c r="D34" i="78"/>
  <c r="C18" i="78" l="1"/>
  <c r="D18" i="78" s="1"/>
  <c r="Q71" i="80"/>
  <c r="D24" i="80"/>
  <c r="P61" i="80"/>
  <c r="D22" i="80"/>
  <c r="E54" i="79"/>
  <c r="F54" i="79" s="1"/>
  <c r="F7" i="79"/>
  <c r="J7" i="79"/>
  <c r="S8" i="79"/>
  <c r="W8" i="79"/>
  <c r="AA9" i="79"/>
  <c r="S9" i="79"/>
  <c r="U9" i="79"/>
  <c r="W10" i="79"/>
  <c r="S12" i="79"/>
  <c r="S15" i="79"/>
  <c r="W17" i="79"/>
  <c r="AB36" i="79"/>
  <c r="U36" i="79"/>
  <c r="H7" i="79"/>
  <c r="S10" i="79"/>
  <c r="U11" i="79"/>
  <c r="W12" i="79"/>
  <c r="S14" i="79"/>
  <c r="S17" i="79"/>
  <c r="W9" i="79"/>
  <c r="U10" i="79"/>
  <c r="S11" i="79"/>
  <c r="W11" i="79"/>
  <c r="U12" i="79"/>
  <c r="S13" i="79"/>
  <c r="W13" i="79"/>
  <c r="U14" i="79"/>
  <c r="U15" i="79"/>
  <c r="U17" i="79"/>
  <c r="U19" i="79"/>
  <c r="U21" i="79"/>
  <c r="U23" i="79"/>
  <c r="S25" i="79"/>
  <c r="W25" i="79"/>
  <c r="U26" i="79"/>
  <c r="S27" i="79"/>
  <c r="W27" i="79"/>
  <c r="U28" i="79"/>
  <c r="S29" i="79"/>
  <c r="W29" i="79"/>
  <c r="U30" i="79"/>
  <c r="S31" i="79"/>
  <c r="W31" i="79"/>
  <c r="U32" i="79"/>
  <c r="S33" i="79"/>
  <c r="W33" i="79"/>
  <c r="U34" i="79"/>
  <c r="S35" i="79"/>
  <c r="W35" i="79"/>
  <c r="F36" i="79"/>
  <c r="J36" i="79"/>
  <c r="U37" i="79"/>
  <c r="S38" i="79"/>
  <c r="W38" i="79"/>
  <c r="U39" i="79"/>
  <c r="S40" i="79"/>
  <c r="W40" i="79"/>
  <c r="U41" i="79"/>
  <c r="S42" i="79"/>
  <c r="W42" i="79"/>
  <c r="U43" i="79"/>
  <c r="S44" i="79"/>
  <c r="W44" i="79"/>
  <c r="S19" i="79"/>
  <c r="W19" i="79"/>
  <c r="S21" i="79"/>
  <c r="W21" i="79"/>
  <c r="S23" i="79"/>
  <c r="W23" i="79"/>
  <c r="U25" i="79"/>
  <c r="S26" i="79"/>
  <c r="W26" i="79"/>
  <c r="U27" i="79"/>
  <c r="S28" i="79"/>
  <c r="W28" i="79"/>
  <c r="U29" i="79"/>
  <c r="S30" i="79"/>
  <c r="W30" i="79"/>
  <c r="U31" i="79"/>
  <c r="S32" i="79"/>
  <c r="W32" i="79"/>
  <c r="U33" i="79"/>
  <c r="S34" i="79"/>
  <c r="W34" i="79"/>
  <c r="U35" i="79"/>
  <c r="S37" i="79"/>
  <c r="W37" i="79"/>
  <c r="U38" i="79"/>
  <c r="S39" i="79"/>
  <c r="W39" i="79"/>
  <c r="U40" i="79"/>
  <c r="S41" i="79"/>
  <c r="W41" i="79"/>
  <c r="U42" i="79"/>
  <c r="S43" i="79"/>
  <c r="W43" i="79"/>
  <c r="U44" i="79"/>
  <c r="S46" i="79"/>
  <c r="W46" i="79"/>
  <c r="S45" i="79"/>
  <c r="W45" i="79"/>
  <c r="U46" i="79"/>
  <c r="C92" i="78"/>
  <c r="C94" i="78"/>
  <c r="K120" i="78"/>
  <c r="D121" i="78"/>
  <c r="H112" i="78"/>
  <c r="H110" i="78"/>
  <c r="H111" i="78"/>
  <c r="D126" i="78" s="1"/>
  <c r="D127" i="78" s="1"/>
  <c r="I14" i="77"/>
  <c r="J11" i="77"/>
  <c r="M22" i="80"/>
  <c r="F13" i="80"/>
  <c r="F38" i="80"/>
  <c r="M9" i="80"/>
  <c r="F37" i="80"/>
  <c r="F40" i="80"/>
  <c r="F9" i="80"/>
  <c r="M8" i="80"/>
  <c r="F36" i="80"/>
  <c r="M6" i="80"/>
  <c r="L47" i="80"/>
  <c r="F6" i="80"/>
  <c r="M26" i="80"/>
  <c r="M28" i="80"/>
  <c r="M23" i="80"/>
  <c r="M24" i="80"/>
  <c r="F16" i="80"/>
  <c r="F42" i="80"/>
  <c r="J15" i="80"/>
  <c r="F8" i="80"/>
  <c r="F26" i="80"/>
  <c r="N59" i="80" l="1"/>
  <c r="L59" i="80"/>
  <c r="M59" i="80"/>
  <c r="F65" i="80"/>
  <c r="C27" i="80"/>
  <c r="F68" i="80"/>
  <c r="F51" i="80"/>
  <c r="F66" i="80"/>
  <c r="F64" i="80"/>
  <c r="AC36" i="79"/>
  <c r="W36" i="79"/>
  <c r="AA36" i="79"/>
  <c r="S36" i="79"/>
  <c r="AB7" i="79"/>
  <c r="T48" i="79" s="1"/>
  <c r="G48" i="79" s="1"/>
  <c r="U7" i="79"/>
  <c r="W7" i="79"/>
  <c r="AC7" i="79"/>
  <c r="S7" i="79"/>
  <c r="AA7" i="79"/>
  <c r="F118" i="33"/>
  <c r="E118" i="33"/>
  <c r="D118" i="33"/>
  <c r="C118" i="33"/>
  <c r="Q61" i="80" l="1"/>
  <c r="Q74" i="80"/>
  <c r="G52" i="79"/>
  <c r="H52" i="79" s="1"/>
  <c r="R48" i="79"/>
  <c r="V48" i="79"/>
  <c r="I48" i="79" s="1"/>
  <c r="G53" i="79" s="1"/>
  <c r="H53" i="79" s="1"/>
  <c r="U27" i="31"/>
  <c r="A25" i="31"/>
  <c r="A24" i="31"/>
  <c r="C36" i="33"/>
  <c r="Y6" i="1"/>
  <c r="G21" i="6"/>
  <c r="F20" i="6"/>
  <c r="K15" i="3"/>
  <c r="R49" i="79" l="1"/>
  <c r="E48" i="79"/>
  <c r="I53" i="79" s="1"/>
  <c r="J53" i="79" s="1"/>
  <c r="I52" i="79"/>
  <c r="J52" i="79" s="1"/>
  <c r="G7" i="77"/>
  <c r="G4" i="77"/>
  <c r="I13" i="3" l="1"/>
  <c r="F19" i="6" s="1"/>
  <c r="J4" i="77"/>
  <c r="J3" i="77"/>
  <c r="C49" i="79"/>
  <c r="C48" i="79"/>
  <c r="E53" i="79"/>
  <c r="F53" i="79" s="1"/>
  <c r="E52" i="79"/>
  <c r="F52" i="79" s="1"/>
  <c r="L3" i="71"/>
  <c r="K3" i="71"/>
  <c r="I3" i="71"/>
  <c r="B3" i="79" l="1"/>
  <c r="B2" i="79"/>
  <c r="J3" i="7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3" i="76"/>
  <c r="E10" i="76"/>
  <c r="B11" i="76"/>
  <c r="E9" i="76"/>
  <c r="B8" i="76"/>
  <c r="E12" i="76"/>
  <c r="E13" i="76"/>
  <c r="E7" i="76"/>
  <c r="B7" i="76"/>
  <c r="B9" i="76"/>
  <c r="B12" i="76"/>
  <c r="B10" i="76"/>
  <c r="E11"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4" i="73"/>
  <c r="D6" i="73"/>
  <c r="F5" i="73"/>
  <c r="D3" i="73"/>
  <c r="F3" i="73"/>
  <c r="D5" i="73"/>
  <c r="I1" i="73" l="1"/>
  <c r="B39" i="1" s="1"/>
  <c r="D4" i="73"/>
  <c r="D7"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96" i="31"/>
  <c r="S251" i="31"/>
  <c r="S247" i="31"/>
  <c r="S243" i="31"/>
  <c r="S239" i="31"/>
  <c r="S235" i="31"/>
  <c r="S231" i="31"/>
  <c r="S227" i="31"/>
  <c r="S223"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89" i="31"/>
  <c r="S481" i="31"/>
  <c r="S473"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9"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AA40" i="33"/>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L48" i="80"/>
  <c r="F7" i="80"/>
  <c r="F43" i="80"/>
  <c r="M29" i="80"/>
  <c r="L58" i="80" l="1"/>
  <c r="L57" i="80"/>
  <c r="J59" i="80"/>
  <c r="J60" i="80"/>
  <c r="Q48" i="80" s="1"/>
  <c r="J57" i="80"/>
  <c r="J55" i="80" s="1"/>
  <c r="J58" i="80" s="1"/>
  <c r="Q50" i="80" s="1"/>
  <c r="L60" i="80"/>
  <c r="L56" i="80"/>
  <c r="I54" i="80"/>
  <c r="J53" i="80"/>
  <c r="L46" i="80"/>
  <c r="G8" i="1"/>
  <c r="AA44" i="33"/>
  <c r="U32" i="33"/>
  <c r="S41" i="33"/>
  <c r="S9" i="33"/>
  <c r="F117" i="33"/>
  <c r="J39" i="33"/>
  <c r="AC39" i="33" s="1"/>
  <c r="F71" i="80"/>
  <c r="F50" i="80"/>
  <c r="C53" i="80" s="1"/>
  <c r="M7" i="80"/>
  <c r="C6" i="80"/>
  <c r="C10" i="80"/>
  <c r="M8" i="1"/>
  <c r="J51" i="15"/>
  <c r="U40" i="33"/>
  <c r="U35" i="33"/>
  <c r="BL15" i="3"/>
  <c r="AZ15" i="3" s="1"/>
  <c r="G28" i="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1" i="80"/>
  <c r="F42" i="67"/>
  <c r="M8" i="15"/>
  <c r="F6" i="67"/>
  <c r="F38" i="67"/>
  <c r="F16" i="15"/>
  <c r="M23" i="67"/>
  <c r="F40" i="67"/>
  <c r="L48" i="67"/>
  <c r="M9" i="15"/>
  <c r="M6" i="67"/>
  <c r="M29" i="15"/>
  <c r="F43" i="67"/>
  <c r="M29" i="67"/>
  <c r="L47" i="15"/>
  <c r="F8" i="15"/>
  <c r="F26" i="15"/>
  <c r="M6" i="15"/>
  <c r="C16" i="80"/>
  <c r="F13" i="67"/>
  <c r="M28" i="67"/>
  <c r="F36" i="67"/>
  <c r="M23" i="15"/>
  <c r="F40" i="15"/>
  <c r="F36" i="15"/>
  <c r="J15" i="15"/>
  <c r="F38" i="15"/>
  <c r="M22" i="15"/>
  <c r="F7" i="15"/>
  <c r="C76" i="67"/>
  <c r="M22" i="67"/>
  <c r="J15" i="67"/>
  <c r="F7" i="67"/>
  <c r="M9" i="67"/>
  <c r="M26" i="67"/>
  <c r="F37" i="67"/>
  <c r="M26" i="15"/>
  <c r="F26" i="67"/>
  <c r="M24" i="67"/>
  <c r="M8" i="67"/>
  <c r="F8" i="67"/>
  <c r="F9" i="67"/>
  <c r="C76" i="15"/>
  <c r="F9" i="15"/>
  <c r="M24" i="15"/>
  <c r="G1" i="73"/>
  <c r="M17" i="80"/>
  <c r="F16" i="67"/>
  <c r="F37" i="15"/>
  <c r="F6" i="15"/>
  <c r="L47" i="67"/>
  <c r="M28" i="15"/>
  <c r="F43" i="15"/>
  <c r="F59" i="80"/>
  <c r="L48" i="15"/>
  <c r="F42" i="15"/>
  <c r="F13" i="15"/>
  <c r="Q57" i="80" l="1"/>
  <c r="Q66" i="80"/>
  <c r="Q52" i="80"/>
  <c r="F1" i="80"/>
  <c r="Q73" i="80"/>
  <c r="Q60" i="80"/>
  <c r="W39" i="33"/>
  <c r="G117" i="33"/>
  <c r="F39" i="33"/>
  <c r="H39" i="33"/>
  <c r="C5" i="80"/>
  <c r="C38" i="80" s="1"/>
  <c r="C49" i="80"/>
  <c r="C48" i="80" s="1"/>
  <c r="C32" i="80"/>
  <c r="J6" i="80"/>
  <c r="J10" i="80"/>
  <c r="C4" i="4"/>
  <c r="B4" i="62" s="1"/>
  <c r="E4" i="4"/>
  <c r="B5" i="62" s="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C16" i="67"/>
  <c r="F31" i="67"/>
  <c r="C17" i="15"/>
  <c r="M17" i="67"/>
  <c r="F31" i="15"/>
  <c r="C16" i="15"/>
  <c r="F59" i="67"/>
  <c r="F59" i="15"/>
  <c r="AA39" i="33" l="1"/>
  <c r="S39" i="33"/>
  <c r="AB39" i="33"/>
  <c r="U39" i="33"/>
  <c r="J5" i="80"/>
  <c r="C60" i="80"/>
  <c r="C66" i="80"/>
  <c r="C24" i="80"/>
  <c r="B71" i="72"/>
  <c r="B73" i="72"/>
  <c r="K4" i="4"/>
  <c r="B46" i="48" s="1"/>
  <c r="M21" i="6"/>
  <c r="I21" i="6" s="1"/>
  <c r="S8" i="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C17" i="80"/>
  <c r="E8" i="70" l="1"/>
  <c r="S21" i="6"/>
  <c r="L18" i="78"/>
  <c r="B15" i="74" s="1"/>
  <c r="B1" i="74" s="1"/>
  <c r="J18" i="80"/>
  <c r="J24" i="80"/>
  <c r="B4" i="72"/>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0"/>
  <c r="C18" i="80" l="1"/>
  <c r="C15" i="80"/>
  <c r="M19" i="78"/>
  <c r="C118" i="78" s="1"/>
  <c r="L19" i="78"/>
  <c r="R25" i="6"/>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19" i="80" l="1"/>
  <c r="C20" i="80"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0"/>
  <c r="M21" i="15"/>
  <c r="M21" i="80"/>
  <c r="F35" i="15"/>
  <c r="F35" i="67"/>
  <c r="M21" i="67"/>
  <c r="B6" i="76"/>
  <c r="C26" i="80" l="1"/>
  <c r="C23" i="80"/>
  <c r="J20" i="80"/>
  <c r="F63" i="80"/>
  <c r="C62" i="80" s="1"/>
  <c r="C34" i="80"/>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80" l="1"/>
  <c r="C36" i="80" s="1"/>
  <c r="C25" i="68"/>
  <c r="C22" i="68" s="1"/>
  <c r="C31" i="68" s="1"/>
  <c r="C27" i="12"/>
  <c r="C25" i="12" s="1"/>
  <c r="C32" i="12" s="1"/>
  <c r="B2" i="12" s="1"/>
  <c r="B3" i="12" s="1"/>
  <c r="C39" i="68"/>
  <c r="C43" i="68" s="1"/>
  <c r="C42" i="68"/>
  <c r="J63" i="40"/>
  <c r="I65" i="40"/>
  <c r="C46" i="11"/>
  <c r="C45" i="11" s="1"/>
  <c r="C49" i="11" s="1"/>
  <c r="C51" i="11" s="1"/>
  <c r="C52" i="11" s="1"/>
  <c r="B2" i="11" s="1"/>
  <c r="B3" i="11" s="1"/>
  <c r="J70" i="39"/>
  <c r="C33" i="80" l="1"/>
  <c r="C31" i="80" s="1"/>
  <c r="Q49" i="80"/>
  <c r="C57" i="80"/>
  <c r="J19" i="80"/>
  <c r="J17" i="80" s="1"/>
  <c r="J14" i="80"/>
  <c r="C13" i="80"/>
  <c r="C75" i="80" s="1"/>
  <c r="C41" i="68"/>
  <c r="C46" i="68"/>
  <c r="C45" i="68" s="1"/>
  <c r="K63" i="40"/>
  <c r="J65" i="40"/>
  <c r="K70" i="39"/>
  <c r="C56" i="11"/>
  <c r="C57" i="11" s="1"/>
  <c r="C64" i="80" l="1"/>
  <c r="C61" i="80"/>
  <c r="C59" i="80" s="1"/>
  <c r="Q70" i="80"/>
  <c r="C56" i="80"/>
  <c r="C65" i="80" s="1"/>
  <c r="C37" i="80"/>
  <c r="C30" i="80" s="1"/>
  <c r="C39" i="80" s="1"/>
  <c r="C80" i="80" s="1"/>
  <c r="C79" i="80" s="1"/>
  <c r="J22" i="80"/>
  <c r="J13" i="80"/>
  <c r="J23" i="80" s="1"/>
  <c r="C49" i="68"/>
  <c r="C51" i="68" s="1"/>
  <c r="C52" i="68" s="1"/>
  <c r="C57" i="68" s="1"/>
  <c r="C56" i="68" s="1"/>
  <c r="L63" i="40"/>
  <c r="K65" i="40"/>
  <c r="L70" i="39"/>
  <c r="E2" i="70"/>
  <c r="C34" i="69"/>
  <c r="C17" i="67"/>
  <c r="J16" i="80" l="1"/>
  <c r="J25" i="80" s="1"/>
  <c r="C58" i="80"/>
  <c r="C67" i="80" s="1"/>
  <c r="Q69" i="80"/>
  <c r="Q68" i="80" s="1"/>
  <c r="M63" i="40"/>
  <c r="L65" i="40"/>
  <c r="M70" i="39"/>
  <c r="C35" i="69"/>
  <c r="C38" i="69"/>
  <c r="D10" i="69"/>
  <c r="L51" i="80"/>
  <c r="Q67" i="80"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0"/>
  <c r="L51" i="15"/>
  <c r="AE6" i="1"/>
  <c r="AG8" i="1" l="1"/>
  <c r="F69" i="80"/>
  <c r="C68" i="80" s="1"/>
  <c r="C40" i="80"/>
  <c r="C66" i="15"/>
  <c r="C60" i="15"/>
  <c r="C59" i="15" s="1"/>
  <c r="AG6" i="1"/>
  <c r="C80" i="15"/>
  <c r="C79" i="15" s="1"/>
  <c r="C65" i="15"/>
  <c r="Q68" i="15"/>
  <c r="L57" i="15"/>
  <c r="L60" i="15" s="1"/>
  <c r="Q67" i="15"/>
  <c r="M27" i="67"/>
  <c r="F41" i="67"/>
  <c r="M27" i="15"/>
  <c r="M27" i="80"/>
  <c r="F41" i="15"/>
  <c r="C83" i="80" l="1"/>
  <c r="C82" i="80" s="1"/>
  <c r="C43" i="80"/>
  <c r="C71" i="80"/>
  <c r="C46" i="80"/>
  <c r="J26" i="80"/>
  <c r="J29" i="80" s="1"/>
  <c r="J26" i="15"/>
  <c r="J29" i="15" s="1"/>
  <c r="J26" i="67"/>
  <c r="J29" i="67" s="1"/>
  <c r="C58" i="15"/>
  <c r="C67" i="15" s="1"/>
  <c r="F69" i="15"/>
  <c r="C40" i="15"/>
  <c r="C43" i="15" s="1"/>
  <c r="L46" i="15"/>
  <c r="Q57" i="15"/>
  <c r="Q66" i="15"/>
  <c r="F69" i="67"/>
  <c r="C68" i="67" s="1"/>
  <c r="C71" i="67" s="1"/>
  <c r="C40" i="67"/>
  <c r="C83" i="67" s="1"/>
  <c r="C82" i="67" s="1"/>
  <c r="D2" i="82"/>
  <c r="B2" i="82" l="1"/>
  <c r="Q47" i="80"/>
  <c r="Q53" i="80" s="1"/>
  <c r="Q65" i="80"/>
  <c r="Q75" i="80" s="1"/>
  <c r="B2" i="80"/>
  <c r="B3" i="80" s="1"/>
  <c r="Q56" i="80"/>
  <c r="Q62"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6" i="1"/>
  <c r="AO7" i="1"/>
  <c r="AO8" i="1"/>
  <c r="D19" i="78"/>
  <c r="C19" i="78"/>
  <c r="C102" i="78" l="1"/>
  <c r="C21" i="78"/>
  <c r="B3" i="82"/>
  <c r="D21" i="78"/>
  <c r="D102" i="78"/>
  <c r="D22" i="78"/>
  <c r="G19" i="78"/>
  <c r="B3" i="15"/>
  <c r="B8" i="70"/>
  <c r="B7" i="70"/>
  <c r="B6" i="70"/>
  <c r="C46" i="15"/>
  <c r="B2" i="69"/>
  <c r="B3" i="69" s="1"/>
  <c r="B2" i="68"/>
  <c r="B3" i="67"/>
  <c r="D20" i="78"/>
  <c r="D2" i="36"/>
  <c r="D2" i="35"/>
  <c r="D2" i="37"/>
  <c r="F20" i="31"/>
  <c r="D2" i="34"/>
  <c r="C20" i="78"/>
  <c r="D2" i="33"/>
  <c r="D2" i="21"/>
  <c r="E2" i="68"/>
  <c r="C103" i="78" l="1"/>
  <c r="D15" i="74"/>
  <c r="G15" i="74" s="1"/>
  <c r="D103" i="78"/>
  <c r="G20" i="78"/>
  <c r="C32" i="78"/>
  <c r="G21" i="78"/>
  <c r="B2" i="36"/>
  <c r="B3" i="36" s="1"/>
  <c r="B2" i="35"/>
  <c r="B3" i="35" s="1"/>
  <c r="B2" i="37"/>
  <c r="B3" i="37" s="1"/>
  <c r="B2" i="34"/>
  <c r="B3" i="34" s="1"/>
  <c r="B2" i="21"/>
  <c r="B3" i="21" s="1"/>
  <c r="B2" i="70"/>
  <c r="B3" i="70" s="1"/>
  <c r="B3" i="68"/>
  <c r="D19" i="9"/>
  <c r="D20" i="9"/>
  <c r="E15" i="74" l="1"/>
  <c r="F15" i="74"/>
  <c r="C35" i="78"/>
  <c r="F118" i="78" s="1"/>
  <c r="H118" i="78"/>
  <c r="D102" i="9"/>
  <c r="D21" i="9"/>
  <c r="D103" i="9"/>
  <c r="D34" i="9"/>
  <c r="C34" i="78" l="1"/>
  <c r="D118" i="78" s="1"/>
  <c r="D119" i="78" s="1"/>
  <c r="I118" i="78"/>
  <c r="C104" i="78"/>
  <c r="H119" i="78"/>
  <c r="H101" i="78"/>
  <c r="F119" i="78"/>
  <c r="G118" i="78"/>
  <c r="H109" i="9"/>
  <c r="D45" i="78" l="1"/>
  <c r="M48" i="78"/>
  <c r="H107" i="78"/>
  <c r="E118" i="78"/>
  <c r="C105" i="78"/>
  <c r="H102" i="78"/>
  <c r="H110" i="9"/>
  <c r="D18" i="53" s="1"/>
  <c r="B35" i="72" s="1"/>
  <c r="D124" i="9"/>
  <c r="D16" i="53"/>
  <c r="B34" i="72" s="1"/>
  <c r="D122" i="78" l="1"/>
  <c r="D123" i="78" s="1"/>
  <c r="H108" i="78"/>
  <c r="M49" i="78"/>
  <c r="C78" i="78"/>
  <c r="C73" i="78" s="1"/>
  <c r="D52" i="78"/>
  <c r="C93" i="78"/>
  <c r="C86" i="78" s="1"/>
  <c r="C85" i="78"/>
  <c r="C72" i="78"/>
  <c r="C79" i="78" s="1"/>
  <c r="D55" i="78"/>
  <c r="M53" i="78" s="1"/>
  <c r="D53" i="78"/>
  <c r="C64" i="78"/>
  <c r="C63" i="78" s="1"/>
  <c r="C67" i="78" s="1"/>
  <c r="C68" i="78" s="1"/>
  <c r="D54" i="78" s="1"/>
  <c r="D10" i="52"/>
  <c r="H14" i="74"/>
  <c r="D17" i="53"/>
  <c r="B36" i="72" s="1"/>
  <c r="D125" i="9"/>
  <c r="D11" i="52" s="1"/>
  <c r="C95" i="78" l="1"/>
  <c r="C80" i="78"/>
  <c r="E80" i="78" s="1"/>
  <c r="E81" i="78" s="1"/>
  <c r="C96" i="78"/>
  <c r="E96" i="78" s="1"/>
  <c r="E97" i="78" s="1"/>
  <c r="L66" i="78"/>
  <c r="M66" i="78" s="1"/>
  <c r="L65" i="78"/>
  <c r="M65" i="78" s="1"/>
  <c r="L64" i="78"/>
  <c r="M64" i="78" s="1"/>
  <c r="L68" i="78"/>
  <c r="M68" i="78" s="1"/>
  <c r="L63" i="78"/>
  <c r="M63" i="78" s="1"/>
  <c r="L67" i="78"/>
  <c r="M67" i="78" s="1"/>
  <c r="B7" i="74"/>
  <c r="D7" i="74" s="1"/>
  <c r="M69" i="78" l="1"/>
  <c r="N69" i="78" s="1"/>
  <c r="C81" i="78"/>
  <c r="C97" i="78"/>
  <c r="D58" i="78" s="1"/>
  <c r="D56" i="78" s="1"/>
  <c r="M54" i="78" s="1"/>
  <c r="N57" i="78" s="1"/>
  <c r="C7" i="74"/>
  <c r="P57" i="78" l="1"/>
  <c r="N58" i="78"/>
  <c r="N59" i="78"/>
  <c r="J7" i="33"/>
  <c r="W7" i="33" s="1"/>
  <c r="F7" i="33"/>
  <c r="S7" i="33" s="1"/>
  <c r="H7" i="33"/>
  <c r="AB7" i="33" s="1"/>
  <c r="T48" i="33" s="1"/>
  <c r="G48" i="33" s="1"/>
  <c r="N60" i="78" l="1"/>
  <c r="N61" i="78"/>
  <c r="G52" i="33"/>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59" i="9"/>
  <c r="M55" i="9"/>
  <c r="D19" i="53" l="1"/>
  <c r="B38" i="72"/>
  <c r="D20" i="53"/>
  <c r="B40" i="72" s="1"/>
  <c r="I14" i="74"/>
  <c r="B8" i="74" s="1"/>
  <c r="D127" i="9"/>
  <c r="D13" i="52" s="1"/>
  <c r="D12" i="52"/>
  <c r="D8" i="74" l="1"/>
  <c r="C8" i="74"/>
  <c r="S24" i="31" l="1"/>
  <c r="R26" i="31"/>
  <c r="S26" i="31" s="1"/>
  <c r="R25" i="31"/>
  <c r="S25" i="31" s="1"/>
  <c r="U26" i="31" l="1"/>
  <c r="U28" i="31" s="1"/>
  <c r="S22" i="31"/>
  <c r="R22" i="31" l="1"/>
  <c r="B21" i="31" s="1"/>
  <c r="B20" i="31"/>
  <c r="C20" i="9"/>
  <c r="C19" i="9"/>
  <c r="C21" i="9" l="1"/>
  <c r="G19" i="9"/>
  <c r="C102" i="9"/>
  <c r="D22" i="9"/>
  <c r="C103" i="9"/>
  <c r="G20" i="9"/>
  <c r="C32" i="9" l="1"/>
  <c r="G21" i="9"/>
  <c r="C35" i="9" l="1"/>
  <c r="F118" i="9" s="1"/>
  <c r="H118" i="9"/>
  <c r="AD3" i="71"/>
  <c r="P21" i="43" s="1"/>
  <c r="C34" i="9" l="1"/>
  <c r="D118" i="9" s="1"/>
  <c r="D119" i="9" s="1"/>
  <c r="D5" i="52" s="1"/>
  <c r="B49" i="72" s="1"/>
  <c r="C104" i="9"/>
  <c r="H101" i="9"/>
  <c r="H119" i="9"/>
  <c r="H5" i="52" s="1"/>
  <c r="H4" i="52"/>
  <c r="I118" i="9"/>
  <c r="D14" i="74"/>
  <c r="G118" i="9"/>
  <c r="G4" i="52" s="1"/>
  <c r="B52" i="72" s="1"/>
  <c r="F119" i="9"/>
  <c r="F5" i="52" s="1"/>
  <c r="B53" i="72" s="1"/>
  <c r="F4" i="52"/>
  <c r="B51" i="72" s="1"/>
  <c r="P22" i="43"/>
  <c r="P23" i="43"/>
  <c r="B71" i="39" s="1"/>
  <c r="P24" i="43"/>
  <c r="B66" i="40" s="1"/>
  <c r="P25" i="43"/>
  <c r="D4" i="52" l="1"/>
  <c r="B47" i="72" s="1"/>
  <c r="C105" i="9"/>
  <c r="E118" i="9"/>
  <c r="E4" i="52" s="1"/>
  <c r="B48" i="72" s="1"/>
  <c r="I4" i="52"/>
  <c r="H102" i="9"/>
  <c r="D7" i="53" s="1"/>
  <c r="B21" i="72" s="1"/>
  <c r="E14" i="74"/>
  <c r="F14" i="74"/>
  <c r="B5" i="74"/>
  <c r="M48" i="9"/>
  <c r="H107" i="9"/>
  <c r="D45" i="9"/>
  <c r="D5" i="53"/>
  <c r="D53" i="9" l="1"/>
  <c r="D52" i="9"/>
  <c r="C85" i="9"/>
  <c r="D55" i="9"/>
  <c r="M53" i="9" s="1"/>
  <c r="C93" i="9"/>
  <c r="C86" i="9" s="1"/>
  <c r="C78" i="9"/>
  <c r="C73" i="9" s="1"/>
  <c r="C72" i="9"/>
  <c r="C64" i="9"/>
  <c r="C63" i="9" s="1"/>
  <c r="C67" i="9" s="1"/>
  <c r="C68" i="9" s="1"/>
  <c r="D54" i="9" s="1"/>
  <c r="B20" i="72"/>
  <c r="D6" i="53"/>
  <c r="B22" i="72" s="1"/>
  <c r="M49" i="9"/>
  <c r="H108" i="9"/>
  <c r="D15" i="53" s="1"/>
  <c r="B31" i="72" s="1"/>
  <c r="D13" i="53"/>
  <c r="D122" i="9"/>
  <c r="C5" i="74"/>
  <c r="D5" i="74"/>
  <c r="D123" i="9" l="1"/>
  <c r="D9" i="52" s="1"/>
  <c r="G14" i="74"/>
  <c r="B6" i="74" s="1"/>
  <c r="D8" i="52"/>
  <c r="B30" i="72"/>
  <c r="D14" i="53"/>
  <c r="B32" i="72" s="1"/>
  <c r="L68" i="9"/>
  <c r="M68" i="9" s="1"/>
  <c r="L63" i="9"/>
  <c r="M63" i="9" s="1"/>
  <c r="L64" i="9"/>
  <c r="M64" i="9" s="1"/>
  <c r="L66" i="9"/>
  <c r="M66" i="9" s="1"/>
  <c r="L65" i="9"/>
  <c r="M65" i="9" s="1"/>
  <c r="L67" i="9"/>
  <c r="M67" i="9" s="1"/>
  <c r="C79" i="9"/>
  <c r="C95" i="9"/>
  <c r="C80" i="9" l="1"/>
  <c r="E80" i="9" s="1"/>
  <c r="E81" i="9" s="1"/>
  <c r="M69" i="9"/>
  <c r="N69" i="9" s="1"/>
  <c r="C96" i="9"/>
  <c r="E96" i="9" s="1"/>
  <c r="E97" i="9" s="1"/>
  <c r="C6" i="74"/>
  <c r="D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<sst xmlns="http://schemas.openxmlformats.org/spreadsheetml/2006/main" count="8732" uniqueCount="3145">
  <si>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</si>
  <si>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</si>
  <si>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</si>
  <si>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</si>
  <si>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</si>
  <si>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</si>
  <si>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</si>
  <si>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</si>
  <si>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</si>
  <si>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</si>
  <si>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</si>
  <si>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</si>
  <si>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</si>
  <si>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</si>
  <si>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</si>
  <si>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</si>
  <si>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</si>
  <si>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</si>
  <si>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</si>
  <si>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</si>
  <si>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</si>
  <si>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</si>
  <si>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</si>
  <si>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</si>
  <si>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</si>
  <si>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</si>
  <si>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</si>
  <si>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</si>
  <si>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</si>
  <si>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</si>
  <si>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</si>
  <si>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</si>
  <si>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</si>
  <si>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</si>
  <si>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</si>
  <si>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</si>
  <si>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</si>
  <si>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</si>
  <si>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</si>
  <si>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</si>
  <si>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</si>
  <si>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</si>
  <si>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</si>
  <si>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</si>
  <si>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</si>
  <si>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</si>
  <si>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</si>
  <si>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</si>
  <si>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</si>
  <si>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</si>
  <si>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</si>
  <si>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</si>
  <si>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</si>
  <si>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</si>
  <si>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</si>
  <si>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</si>
  <si>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</si>
  <si>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</si>
  <si>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</si>
  <si>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</si>
  <si>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</si>
  <si>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</si>
  <si>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</si>
  <si>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</si>
  <si>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</si>
  <si>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</si>
  <si>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</si>
  <si>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</si>
  <si>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</si>
  <si>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</si>
  <si>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</si>
  <si>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</si>
  <si>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</si>
  <si>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</si>
  <si>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</si>
  <si>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</si>
  <si>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</si>
  <si>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</si>
  <si>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</si>
  <si>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</si>
  <si>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</si>
  <si>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</si>
  <si>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</si>
  <si>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</si>
  <si>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</si>
  <si>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</si>
  <si>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</si>
  <si>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</si>
  <si>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</si>
  <si>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</si>
  <si>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</si>
  <si>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</si>
  <si>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</si>
  <si>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</si>
  <si>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</si>
  <si>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</si>
  <si>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</si>
  <si>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</si>
  <si>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</si>
  <si>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</si>
  <si>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</si>
  <si>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</si>
  <si>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</si>
  <si>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</si>
  <si>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</si>
  <si>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</si>
  <si>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</si>
  <si>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</si>
  <si>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</si>
  <si>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</si>
  <si>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</si>
  <si>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</si>
  <si>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</si>
  <si>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</si>
  <si>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</si>
  <si>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</si>
  <si>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</si>
  <si>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</si>
  <si>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</si>
  <si>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</si>
  <si>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</si>
  <si>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</si>
  <si>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</si>
  <si>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</si>
  <si>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</si>
  <si>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</si>
  <si>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</si>
  <si>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</si>
  <si>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</si>
  <si>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</si>
  <si>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</si>
  <si>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</si>
  <si>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</si>
  <si>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</si>
  <si>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</si>
  <si>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</si>
  <si>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</si>
  <si>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</si>
  <si>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</si>
  <si>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</si>
  <si>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</si>
  <si>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</si>
  <si>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</si>
  <si>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</si>
  <si>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</si>
  <si>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</si>
  <si>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</si>
  <si>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</si>
  <si>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</si>
  <si>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</si>
  <si>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</si>
  <si>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</si>
  <si>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</si>
  <si>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</si>
  <si>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</si>
  <si>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</si>
  <si>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</si>
  <si>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</si>
  <si>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</si>
  <si>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</si>
  <si>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</si>
  <si>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</si>
  <si>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</si>
  <si>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</si>
  <si>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</si>
  <si>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</si>
  <si>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</si>
  <si>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</si>
  <si>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</si>
  <si>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</si>
  <si>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</si>
  <si>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</si>
  <si>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</si>
  <si>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</si>
  <si>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</si>
  <si>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</si>
  <si>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</si>
  <si>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</si>
  <si>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</si>
  <si>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</si>
  <si>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</si>
  <si>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</si>
  <si>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</si>
  <si>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</si>
  <si>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</si>
  <si>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</si>
  <si>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</si>
  <si>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</si>
  <si>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</si>
  <si>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</si>
  <si>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</si>
  <si>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</si>
  <si>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</si>
  <si>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</si>
  <si>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</si>
  <si>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</si>
  <si>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</si>
  <si>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</si>
  <si>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</si>
  <si>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</si>
  <si>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</si>
  <si>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</si>
  <si>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</si>
  <si>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</si>
  <si>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</si>
  <si>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</si>
  <si>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</si>
  <si>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</si>
  <si>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</si>
  <si>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</si>
  <si>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</si>
  <si>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</si>
  <si>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</si>
  <si>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</si>
  <si>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</si>
  <si>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</si>
  <si>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</si>
  <si>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</si>
  <si>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</si>
  <si>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</si>
  <si>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</si>
  <si>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</si>
  <si>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</si>
  <si>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</si>
  <si>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</si>
  <si>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</si>
  <si>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</si>
  <si>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</si>
  <si>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</si>
  <si>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</si>
  <si>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</si>
  <si>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</si>
  <si>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</si>
  <si>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</si>
  <si>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</si>
  <si>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</si>
  <si>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</si>
  <si>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</si>
  <si>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</si>
  <si>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</si>
  <si>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</si>
  <si>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</si>
  <si>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</si>
  <si>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</si>
  <si>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</si>
  <si>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</si>
  <si>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</si>
  <si>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</si>
  <si>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</si>
  <si>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</si>
  <si>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</si>
  <si>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</si>
  <si>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</si>
  <si>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</si>
  <si>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</si>
  <si>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</si>
  <si>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</si>
  <si>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</si>
  <si>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</si>
  <si>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</si>
  <si>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</si>
  <si>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</si>
  <si>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</si>
  <si>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</si>
  <si>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</si>
  <si>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</si>
  <si>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</si>
  <si>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</si>
  <si>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</si>
  <si>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</si>
  <si>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</si>
  <si>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</si>
  <si>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</si>
  <si>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</si>
  <si>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</si>
  <si>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</si>
  <si>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</si>
  <si>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</si>
  <si>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</si>
  <si>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</si>
  <si>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</si>
  <si>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</si>
  <si>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</si>
  <si>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</si>
  <si>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</si>
  <si>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</si>
  <si>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</si>
  <si>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</si>
  <si>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</si>
  <si>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</si>
  <si>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</si>
  <si>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</si>
  <si>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</si>
  <si>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</si>
  <si>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</si>
  <si>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</si>
  <si>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</si>
  <si>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</si>
  <si>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</si>
  <si>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</si>
  <si>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</si>
  <si>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</si>
  <si>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</si>
  <si>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</si>
  <si>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</si>
  <si>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</si>
  <si>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</si>
  <si>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</si>
  <si>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</si>
  <si>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</si>
  <si>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</si>
  <si>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</si>
  <si>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</si>
  <si>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</si>
  <si>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</si>
  <si>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</si>
  <si>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</si>
  <si>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</si>
  <si>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</si>
  <si>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</si>
  <si>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</si>
  <si>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</si>
  <si>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</si>
  <si>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</si>
  <si>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</si>
  <si>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</si>
  <si>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</si>
  <si>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</si>
  <si>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</si>
  <si>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</si>
  <si>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</si>
  <si>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</si>
  <si>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</si>
  <si>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</si>
  <si>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</si>
  <si>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</si>
  <si>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</si>
  <si>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</si>
  <si>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</si>
  <si>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</si>
  <si>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</si>
  <si>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</si>
  <si>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</si>
  <si>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</si>
  <si>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</si>
  <si>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</si>
  <si>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</si>
  <si>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</si>
  <si>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</si>
  <si>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</si>
  <si>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</si>
  <si>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</si>
  <si>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</si>
  <si>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</si>
  <si>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</si>
  <si>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</si>
  <si>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</si>
  <si>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</si>
  <si>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</si>
  <si>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</si>
  <si>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</si>
  <si>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</si>
  <si>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</si>
  <si>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</si>
  <si>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</si>
  <si>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</si>
  <si>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</si>
  <si>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</si>
  <si>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</si>
  <si>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</si>
  <si>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</si>
  <si>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</si>
  <si>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</si>
  <si>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</si>
  <si>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</si>
  <si>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</si>
  <si>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</si>
  <si>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</si>
  <si>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</si>
  <si>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</si>
  <si>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</si>
  <si>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</si>
  <si>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</si>
  <si>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</si>
  <si>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</si>
  <si>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</si>
  <si>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</si>
  <si>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</si>
  <si>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</si>
  <si>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</si>
  <si>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</si>
  <si>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</si>
  <si>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</si>
  <si>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</si>
  <si>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</si>
  <si>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</si>
  <si>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</si>
  <si>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</si>
  <si>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</si>
  <si>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</si>
  <si>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</si>
  <si>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</si>
  <si>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</si>
  <si>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</si>
  <si>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</si>
  <si>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</si>
  <si>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</si>
  <si>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</si>
  <si>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</si>
  <si>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</si>
  <si>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</si>
  <si>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</si>
  <si>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</si>
  <si>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</si>
  <si>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</si>
  <si>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</si>
  <si>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</si>
  <si>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</si>
  <si>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</si>
  <si>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</si>
  <si>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</si>
  <si>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</si>
  <si>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</si>
  <si>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</si>
  <si>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</si>
  <si>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</si>
  <si>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</si>
  <si>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</si>
  <si>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</si>
  <si>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</si>
  <si>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</si>
  <si>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</si>
  <si>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</si>
  <si>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</si>
  <si>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</si>
  <si>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</si>
  <si>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</si>
  <si>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</si>
  <si>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</si>
  <si>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</si>
  <si>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</si>
  <si>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</si>
  <si>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</si>
  <si>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</si>
  <si>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</si>
  <si>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</si>
  <si>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</si>
  <si>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</si>
  <si>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</si>
  <si>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</si>
  <si>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</si>
  <si>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</si>
  <si>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</si>
  <si>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</si>
  <si>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</si>
  <si>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</si>
  <si>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</si>
  <si>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</si>
  <si>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</si>
  <si>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</si>
  <si>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</si>
  <si>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</si>
  <si>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</si>
  <si>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</si>
  <si>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</si>
  <si>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</si>
  <si>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</si>
  <si>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</si>
  <si>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</si>
  <si>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</si>
  <si>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</si>
  <si>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</si>
  <si>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</si>
  <si>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</si>
  <si>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</si>
  <si>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</si>
  <si>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</si>
  <si>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</si>
  <si>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</si>
  <si>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</si>
  <si>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</si>
  <si>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</si>
  <si>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</si>
  <si>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</si>
  <si>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</si>
  <si>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</si>
  <si>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</si>
  <si>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</si>
  <si>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</si>
  <si>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</si>
  <si>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</si>
  <si>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</si>
  <si>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</si>
  <si>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</si>
  <si>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</si>
  <si>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</si>
  <si>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</si>
  <si>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</si>
  <si>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</si>
  <si>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</si>
  <si>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</si>
  <si>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</si>
  <si>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</si>
  <si>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</si>
  <si>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</si>
  <si>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</si>
  <si>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</si>
  <si>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</si>
  <si>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</si>
  <si>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</si>
  <si>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</si>
  <si>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</si>
  <si>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</si>
  <si>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</si>
  <si>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</si>
  <si>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</si>
  <si>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</si>
  <si>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</si>
  <si>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</si>
  <si>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</si>
  <si>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</si>
  <si>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</si>
  <si>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</si>
  <si>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</si>
  <si>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</si>
  <si>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</si>
  <si>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</si>
  <si>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</si>
  <si>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</si>
  <si>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</si>
  <si>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</si>
  <si>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</si>
  <si>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</si>
  <si>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</si>
  <si>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</si>
  <si>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</si>
  <si>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</si>
  <si>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</si>
  <si>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</si>
  <si>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</si>
  <si>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</si>
  <si>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</si>
  <si>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</si>
  <si>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</si>
  <si>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</si>
  <si>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</si>
  <si>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</si>
  <si>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</si>
  <si>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</si>
  <si>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</si>
  <si>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</si>
  <si>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</si>
  <si>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</si>
  <si>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</si>
  <si>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</si>
  <si>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</si>
  <si>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</si>
  <si>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</si>
  <si>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</si>
  <si>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</si>
  <si>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</si>
  <si>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</si>
  <si>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</si>
  <si>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</si>
  <si>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</si>
  <si>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</si>
  <si>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</si>
  <si>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</si>
  <si>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</si>
  <si>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</si>
  <si>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</si>
  <si>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</si>
  <si>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</si>
  <si>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</si>
  <si>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</si>
  <si>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</si>
  <si>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</si>
  <si>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</si>
  <si>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</si>
  <si>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</si>
  <si>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</si>
  <si>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</si>
  <si>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</si>
  <si>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</si>
  <si>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</si>
  <si>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</si>
  <si>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</si>
  <si>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</si>
  <si>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</si>
  <si>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</si>
  <si>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</si>
  <si>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</si>
  <si>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</si>
  <si>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</si>
  <si>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</si>
  <si>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</si>
  <si>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</si>
  <si>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</si>
  <si>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</si>
  <si>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</si>
  <si>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</si>
  <si>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</si>
  <si>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</si>
  <si>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</si>
  <si>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</si>
  <si>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</si>
  <si>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</si>
  <si>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</si>
  <si>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</si>
  <si>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</si>
  <si>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</si>
  <si>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</si>
  <si>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</si>
  <si>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</si>
  <si>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</si>
  <si>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</si>
  <si>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</si>
  <si>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</si>
  <si>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</si>
  <si>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</si>
  <si>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</si>
  <si>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</si>
  <si>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</si>
  <si>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</si>
  <si>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</si>
  <si>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</si>
  <si>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</si>
  <si>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</si>
  <si>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</si>
  <si>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</si>
  <si>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</si>
  <si>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</si>
  <si>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</si>
  <si>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</si>
  <si>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</si>
  <si>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</si>
  <si>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</si>
  <si>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</si>
  <si>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</si>
  <si>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</si>
  <si>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</si>
  <si>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</si>
  <si>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</si>
  <si>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</si>
  <si>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</si>
  <si>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</si>
  <si>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</si>
  <si>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</si>
  <si>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</si>
  <si>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</si>
  <si>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</si>
  <si>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</si>
  <si>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</si>
  <si>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</si>
  <si>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</si>
  <si>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</si>
  <si>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</si>
  <si>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</si>
  <si>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</si>
  <si>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</si>
  <si>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</si>
  <si>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</si>
  <si>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</si>
  <si>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</si>
  <si>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</si>
  <si>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</si>
  <si>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</si>
  <si>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</si>
  <si>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</si>
  <si>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</si>
  <si>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</si>
  <si>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</si>
  <si>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</si>
  <si>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</si>
  <si>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</si>
  <si>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</si>
  <si>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</si>
  <si>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</si>
  <si>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</si>
  <si>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</si>
  <si>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</si>
  <si>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</si>
  <si>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</si>
  <si>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</si>
  <si>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</si>
  <si>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</si>
  <si>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</si>
  <si>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</si>
  <si>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</si>
  <si>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</si>
  <si>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</si>
  <si>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</si>
  <si>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</si>
  <si>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</si>
  <si>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</si>
  <si>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</si>
  <si>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</si>
  <si>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</si>
  <si>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</si>
  <si>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</si>
  <si>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</si>
  <si>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</si>
  <si>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</si>
  <si>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</si>
  <si>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</si>
  <si>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</si>
  <si>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</si>
  <si>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</si>
  <si>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</si>
  <si>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</si>
  <si>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</si>
  <si>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</si>
  <si>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</si>
  <si>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</si>
  <si>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</si>
  <si>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</si>
  <si>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</si>
  <si>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</si>
  <si>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</si>
  <si>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</si>
  <si>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</si>
  <si>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</si>
  <si>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</si>
  <si>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</si>
  <si>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</si>
  <si>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</si>
  <si>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</si>
  <si>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</si>
  <si>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</si>
  <si>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</si>
  <si>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</si>
  <si>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</si>
  <si>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</si>
  <si>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</si>
  <si>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</si>
  <si>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</si>
  <si>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</si>
  <si>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</si>
  <si>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</si>
  <si>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</si>
  <si>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</si>
  <si>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</si>
  <si>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</si>
  <si>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</si>
  <si>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</si>
  <si>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</si>
  <si>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</si>
  <si>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</si>
  <si>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</si>
  <si>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</si>
  <si>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</si>
  <si>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</si>
  <si>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</si>
  <si>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</si>
  <si>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</si>
  <si>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</si>
  <si>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</si>
  <si>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</si>
  <si>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</si>
  <si>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</si>
  <si>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</si>
  <si>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</si>
  <si>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</si>
  <si>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</si>
  <si>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</si>
  <si>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</si>
  <si>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</si>
  <si>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</si>
  <si>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</si>
  <si>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</si>
  <si>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</si>
  <si>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</si>
  <si>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</si>
  <si>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</si>
  <si>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</si>
  <si>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</si>
  <si>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</si>
  <si>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</si>
  <si>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</si>
  <si>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</si>
  <si>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</si>
  <si>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</si>
  <si>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</si>
  <si>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</si>
  <si>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</si>
  <si>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</si>
  <si>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</si>
  <si>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</si>
  <si>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</si>
  <si>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</si>
  <si>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</si>
  <si>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</si>
  <si>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</si>
  <si>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</si>
  <si>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</si>
  <si>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</si>
  <si>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</si>
  <si>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</si>
  <si>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</si>
  <si>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</si>
  <si>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</si>
  <si>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</si>
  <si>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</si>
  <si>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</si>
  <si>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</si>
  <si>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</si>
  <si>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</si>
  <si>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</si>
  <si>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</si>
  <si>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</si>
  <si>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</si>
  <si>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</si>
  <si>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</si>
  <si>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</si>
  <si>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</si>
  <si>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</si>
  <si>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</si>
  <si>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</si>
  <si>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</si>
  <si>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</si>
  <si>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</si>
  <si>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</si>
  <si>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</si>
  <si>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</si>
  <si>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</si>
  <si>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</si>
  <si>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</si>
  <si>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</si>
  <si>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</si>
  <si>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</si>
  <si>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</si>
  <si>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</si>
  <si>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</si>
  <si>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</si>
  <si>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</si>
  <si>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</si>
  <si>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</si>
  <si>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</si>
  <si>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</si>
  <si>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</si>
  <si>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</si>
  <si>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</si>
  <si>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</si>
  <si>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</si>
  <si>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</si>
  <si>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</si>
  <si>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</si>
  <si>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</si>
  <si>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</si>
  <si>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</si>
  <si>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</si>
  <si>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</si>
  <si>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</si>
  <si>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</si>
  <si>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</si>
  <si>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</si>
  <si>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</si>
  <si>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</si>
  <si>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</si>
  <si>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</si>
  <si>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</si>
  <si>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</si>
  <si>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</si>
  <si>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</si>
  <si>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</si>
  <si>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</si>
  <si>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</si>
  <si>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</si>
  <si>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</si>
  <si>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</si>
  <si>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</si>
  <si>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</si>
  <si>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</si>
  <si>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</si>
  <si>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</si>
  <si>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</si>
  <si>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</si>
  <si>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</si>
  <si>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</si>
  <si>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</si>
  <si>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</si>
  <si>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</si>
  <si>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</si>
  <si>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</si>
  <si>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</si>
  <si>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</si>
  <si>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</si>
  <si>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</si>
  <si>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</si>
  <si>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</si>
  <si>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</si>
  <si>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</si>
  <si>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</si>
  <si>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</si>
  <si>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</si>
  <si>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</si>
  <si>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</si>
  <si>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</si>
  <si>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</si>
  <si>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</si>
  <si>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</si>
  <si>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</si>
  <si>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</si>
  <si>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</si>
  <si>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</si>
  <si>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</si>
  <si>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</si>
  <si>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</si>
  <si>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</si>
  <si>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</si>
  <si>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</si>
  <si>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</si>
  <si>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</si>
  <si>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</si>
  <si>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</si>
  <si>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</si>
  <si>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</si>
  <si>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</si>
  <si>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</si>
  <si>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</si>
  <si>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</si>
  <si>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</si>
  <si>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</si>
  <si>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</si>
  <si>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</si>
  <si>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</si>
  <si>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</si>
  <si>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</si>
  <si>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</si>
  <si>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</si>
  <si>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</si>
  <si>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</si>
  <si>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</si>
  <si>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</si>
  <si>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</si>
  <si>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</si>
  <si>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</si>
  <si>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</si>
  <si>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</si>
  <si>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</si>
  <si>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</si>
  <si>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</si>
  <si>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</si>
  <si>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</si>
  <si>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</si>
  <si>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</si>
  <si>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</si>
  <si>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</si>
  <si>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</si>
  <si>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</si>
  <si>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</si>
  <si>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</si>
  <si>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</si>
  <si>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</si>
  <si>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</si>
  <si>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</si>
  <si>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</si>
  <si>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</si>
  <si>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</si>
  <si>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</si>
  <si>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</si>
  <si>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</si>
  <si>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</si>
  <si>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</si>
  <si>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</si>
  <si>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</si>
  <si>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</si>
  <si>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</si>
  <si>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</si>
  <si>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</si>
  <si>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</si>
  <si>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</si>
  <si>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</si>
  <si>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</si>
  <si>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</si>
  <si>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</si>
  <si>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</si>
  <si>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</si>
  <si>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</si>
  <si>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</si>
  <si>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</si>
  <si>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</si>
  <si>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</si>
  <si>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</si>
  <si>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</si>
  <si>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</si>
  <si>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</si>
  <si>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</si>
  <si>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</si>
  <si>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</si>
  <si>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</si>
  <si>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</si>
  <si>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</si>
  <si>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</si>
  <si>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</si>
  <si>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</si>
  <si>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</si>
  <si>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</si>
  <si>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</si>
  <si>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</si>
  <si>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</si>
  <si>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</si>
  <si>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</si>
  <si>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</si>
  <si>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</si>
  <si>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</si>
  <si>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</si>
  <si>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</si>
  <si>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</si>
  <si>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</si>
  <si>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</si>
  <si>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</si>
  <si>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</si>
  <si>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</si>
  <si>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</si>
  <si>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</si>
  <si>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</si>
  <si>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</si>
  <si>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</si>
  <si>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</si>
  <si>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</si>
  <si>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</si>
  <si>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</si>
  <si>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</si>
  <si>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</si>
  <si>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</si>
  <si>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</si>
  <si>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</si>
  <si>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</si>
  <si>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</si>
  <si>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</si>
  <si>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</si>
  <si>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</si>
  <si>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</si>
  <si>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</si>
  <si>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</si>
  <si>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</si>
  <si>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</si>
  <si>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</si>
  <si>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</si>
  <si>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</si>
  <si>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</si>
  <si>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</si>
  <si>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</si>
  <si>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</si>
  <si>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</si>
  <si>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</si>
  <si>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</si>
  <si>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</si>
  <si>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</si>
  <si>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</si>
  <si>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</si>
  <si>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</si>
  <si>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</si>
  <si>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</si>
  <si>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</si>
  <si>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</si>
  <si>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</si>
  <si>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</si>
  <si>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</si>
  <si>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</si>
  <si>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</si>
  <si>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</si>
  <si>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</si>
  <si>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</si>
  <si>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</si>
  <si>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</si>
  <si>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</si>
  <si>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</si>
  <si>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</si>
  <si>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</si>
  <si>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</si>
  <si>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</si>
  <si>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</si>
  <si>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</si>
  <si>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</si>
  <si>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</si>
  <si>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</si>
  <si>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</si>
  <si>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</si>
  <si>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</si>
  <si>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</si>
  <si>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</si>
  <si>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</si>
  <si>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</si>
  <si>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</si>
  <si>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</si>
  <si>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</si>
  <si>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</si>
  <si>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</si>
  <si>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</si>
  <si>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</si>
  <si>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</si>
  <si>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</si>
  <si>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</si>
  <si>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</si>
  <si>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</si>
  <si>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</si>
  <si>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</si>
  <si>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</si>
  <si>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</si>
  <si>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</si>
  <si>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</si>
  <si>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</si>
  <si>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</si>
  <si>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</si>
  <si>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</si>
  <si>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</si>
  <si>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</si>
  <si>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</si>
  <si>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</si>
  <si>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</si>
  <si>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</si>
  <si>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</si>
  <si>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</si>
  <si>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</si>
  <si>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</si>
  <si>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</si>
  <si>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</si>
  <si>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</si>
  <si>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</si>
  <si>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</si>
  <si>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</si>
  <si>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</si>
  <si>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</si>
  <si>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</si>
  <si>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</si>
  <si>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</si>
  <si>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</si>
  <si>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</si>
  <si>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</si>
  <si>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</si>
  <si>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</si>
  <si>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</si>
  <si>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</si>
  <si>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</si>
  <si>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</si>
  <si>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</si>
  <si>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</si>
  <si>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</si>
  <si>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</si>
  <si>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</si>
  <si>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</si>
  <si>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</si>
  <si>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</si>
  <si>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</si>
  <si>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</si>
  <si>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</si>
  <si>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</si>
  <si>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</si>
  <si>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</si>
  <si>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</si>
  <si>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</si>
  <si>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</si>
  <si>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</si>
  <si>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</si>
  <si>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</si>
  <si>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</si>
  <si>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</si>
  <si>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</si>
  <si>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</si>
  <si>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</si>
  <si>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</si>
  <si>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</si>
  <si>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</si>
  <si>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</si>
  <si>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</si>
  <si>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</si>
  <si>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</si>
  <si>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</si>
  <si>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</si>
  <si>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</si>
  <si>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</si>
  <si>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</si>
  <si>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</si>
  <si>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</si>
  <si>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</si>
  <si>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</si>
  <si>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</si>
  <si>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</si>
  <si>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</si>
  <si>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</si>
  <si>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</si>
  <si>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</si>
  <si>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</si>
  <si>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</si>
  <si>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</si>
  <si>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</si>
  <si>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</si>
  <si>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</si>
  <si>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</si>
  <si>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</si>
  <si>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</si>
  <si>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</si>
  <si>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</si>
  <si>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</si>
  <si>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</si>
  <si>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</si>
  <si>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</si>
  <si>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</si>
  <si>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</si>
  <si>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</si>
  <si>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</si>
  <si>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</si>
  <si>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</si>
  <si>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</si>
  <si>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</si>
  <si>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</si>
  <si>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</si>
  <si>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</si>
  <si>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</si>
  <si>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</si>
  <si>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</si>
  <si>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</si>
  <si>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</si>
  <si>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</si>
  <si>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</si>
  <si>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</si>
  <si>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</si>
  <si>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</si>
  <si>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</si>
  <si>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</si>
  <si>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</si>
  <si>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</si>
  <si>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</si>
  <si>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</si>
  <si>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</si>
  <si>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</si>
  <si>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</si>
  <si>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</si>
  <si>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</si>
  <si>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</si>
  <si>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</si>
  <si>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</si>
  <si>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</si>
  <si>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</si>
  <si>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</si>
  <si>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</si>
  <si>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</si>
  <si>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</si>
  <si>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</si>
  <si>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</si>
  <si>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</si>
  <si>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</si>
  <si>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</si>
  <si>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</si>
  <si>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</si>
  <si>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</si>
  <si>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</si>
  <si>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</si>
  <si>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</si>
  <si>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</si>
  <si>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</si>
  <si>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</si>
  <si>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</si>
  <si>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</si>
  <si>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</si>
  <si>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</si>
  <si>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</si>
  <si>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</si>
  <si>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</si>
  <si>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</si>
  <si>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</si>
  <si>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</si>
  <si>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</si>
  <si>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</si>
  <si>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</si>
  <si>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</si>
  <si>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</si>
  <si>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</si>
  <si>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</si>
  <si>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</si>
  <si>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</si>
  <si>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</si>
  <si>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</si>
  <si>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</si>
  <si>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</si>
  <si>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</si>
  <si>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</si>
  <si>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</si>
  <si>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</si>
  <si>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</si>
  <si>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</si>
  <si>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</si>
  <si>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</si>
  <si>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</si>
  <si>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</si>
  <si>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</si>
  <si>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</si>
  <si>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</si>
  <si>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</si>
  <si>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</si>
  <si>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</si>
  <si>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</si>
  <si>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</si>
  <si>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</si>
  <si>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</si>
  <si>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</si>
  <si>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</si>
  <si>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</si>
  <si>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</si>
  <si>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</si>
  <si>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</si>
  <si>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</si>
  <si>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</si>
  <si>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</si>
  <si>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</si>
  <si>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</si>
  <si>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</si>
  <si>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</si>
  <si>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</si>
  <si>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</si>
  <si>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</si>
  <si>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</si>
  <si>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</si>
  <si>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</si>
  <si>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</si>
  <si>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</si>
  <si>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</si>
  <si>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</si>
  <si>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</si>
  <si>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</si>
  <si>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</si>
  <si>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</si>
  <si>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</si>
  <si>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</si>
  <si>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</si>
  <si>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</si>
  <si>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</si>
  <si>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</si>
  <si>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</si>
  <si>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</si>
  <si>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</si>
  <si>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</si>
  <si>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</si>
  <si>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</si>
  <si>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</si>
  <si>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</si>
  <si>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</si>
  <si>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</si>
  <si>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</si>
  <si>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</si>
  <si>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</si>
  <si>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</si>
  <si>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</si>
  <si>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</si>
  <si>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</si>
  <si>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</si>
  <si>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</si>
  <si>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</si>
  <si>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</si>
  <si>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</si>
  <si>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</si>
  <si>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</si>
  <si>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</si>
  <si>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</si>
  <si>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</si>
  <si>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</si>
  <si>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</si>
  <si>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</si>
  <si>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</si>
  <si>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</si>
  <si>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</si>
  <si>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</si>
  <si>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</si>
  <si>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</si>
  <si>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</si>
  <si>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</si>
  <si>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</si>
  <si>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</si>
  <si>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</si>
  <si>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</si>
  <si>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</si>
  <si>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</si>
  <si>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</si>
  <si>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</si>
  <si>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</si>
  <si>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</si>
  <si>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</si>
  <si>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</si>
  <si>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</si>
  <si>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</si>
  <si>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</si>
  <si>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</si>
  <si>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</si>
  <si>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</si>
  <si>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</si>
  <si>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</si>
  <si>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</si>
  <si>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</si>
  <si>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</si>
  <si>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</si>
  <si>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</si>
  <si>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</si>
  <si>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</si>
  <si>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</si>
  <si>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</si>
  <si>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</si>
  <si>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</si>
  <si>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</si>
  <si>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</si>
  <si>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</si>
  <si>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</si>
  <si>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</si>
  <si>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</si>
  <si>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</si>
  <si>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</si>
  <si>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</si>
  <si>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</si>
  <si>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</si>
  <si>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</si>
  <si>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</si>
  <si>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</si>
  <si>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</si>
  <si>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</si>
  <si>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</si>
  <si>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</si>
  <si>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</si>
  <si>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</si>
  <si>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</si>
  <si>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</si>
  <si>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</si>
  <si>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</si>
  <si>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</si>
  <si>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</si>
  <si>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</si>
  <si>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</si>
  <si>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</si>
  <si>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</si>
  <si>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</si>
  <si>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</si>
  <si>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</si>
  <si>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</si>
  <si>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</si>
  <si>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</si>
  <si>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</si>
  <si>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</si>
  <si>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</si>
  <si>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</si>
  <si>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</si>
  <si>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</si>
  <si>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</si>
  <si>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</si>
  <si>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</si>
  <si>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</si>
  <si>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</si>
  <si>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</si>
  <si>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</si>
  <si>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</si>
  <si>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</si>
  <si>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</si>
  <si>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</si>
  <si>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</si>
  <si>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</si>
  <si>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</si>
  <si>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</si>
  <si>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</si>
  <si>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</si>
  <si>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</si>
  <si>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</si>
  <si>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</si>
  <si>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</si>
  <si>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</si>
  <si>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</si>
  <si>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</si>
  <si>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</si>
  <si>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</si>
  <si>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</si>
  <si>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</si>
  <si>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</si>
  <si>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</si>
  <si>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</si>
  <si>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</si>
  <si>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</si>
  <si>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</si>
  <si>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</si>
  <si>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</si>
  <si>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</si>
  <si>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</si>
  <si>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</si>
  <si>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</si>
  <si>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</si>
  <si>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</si>
  <si>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</si>
  <si>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</si>
  <si>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</si>
  <si>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</si>
  <si>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</si>
  <si>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</si>
  <si>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</si>
  <si>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</si>
  <si>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</si>
  <si>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</si>
  <si>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</si>
  <si>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</si>
  <si>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</si>
  <si>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</si>
  <si>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</si>
  <si>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</si>
  <si>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</si>
  <si>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</si>
  <si>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</si>
  <si>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</si>
  <si>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</si>
  <si>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</si>
  <si>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</si>
  <si>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</si>
  <si>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</si>
  <si>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</si>
  <si>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</si>
  <si>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</si>
  <si>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</si>
  <si>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</si>
  <si>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</si>
  <si>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</si>
  <si>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</si>
  <si>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</si>
  <si>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</si>
  <si>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</si>
  <si>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</si>
  <si>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</si>
  <si>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</si>
  <si>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</si>
  <si>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</si>
  <si>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</si>
  <si>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</si>
  <si>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</si>
  <si>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</si>
  <si>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</si>
  <si>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</si>
  <si>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</si>
  <si>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</si>
  <si>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</si>
  <si>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</si>
  <si>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</si>
  <si>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</si>
  <si>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</si>
  <si>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</si>
  <si>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</si>
  <si>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</si>
  <si>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</si>
  <si>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</si>
  <si>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</si>
  <si>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</si>
  <si>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</si>
  <si>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</si>
  <si>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</si>
  <si>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</si>
  <si>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</si>
  <si>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</si>
  <si>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</si>
  <si>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</si>
  <si>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</si>
  <si>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</si>
  <si>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</si>
  <si>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</si>
  <si>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</si>
  <si>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</si>
  <si>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</si>
  <si>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</si>
  <si>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</si>
  <si>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</si>
  <si>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</si>
  <si>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</si>
  <si>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</si>
  <si>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</si>
  <si>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</si>
  <si>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</si>
  <si>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</si>
  <si>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</si>
  <si>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</si>
  <si>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</si>
  <si>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</si>
  <si>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</si>
  <si>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</si>
  <si>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</si>
  <si>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</si>
  <si>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</si>
  <si>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</si>
  <si>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</si>
  <si>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</si>
  <si>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</si>
  <si>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</si>
  <si>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</si>
  <si>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</si>
  <si>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</si>
  <si>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</si>
  <si>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</si>
  <si>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</si>
  <si>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</si>
  <si>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</si>
  <si>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</si>
  <si>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</si>
  <si>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</si>
  <si>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</si>
  <si>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</si>
  <si>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</si>
  <si>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</si>
  <si>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</si>
  <si>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</si>
  <si>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</si>
  <si>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</si>
  <si>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</si>
  <si>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</si>
  <si>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</si>
  <si>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</si>
  <si>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</si>
  <si>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</si>
  <si>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</si>
  <si>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</si>
  <si>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</si>
  <si>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</si>
  <si>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</si>
  <si>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</si>
  <si>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</si>
  <si>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</si>
  <si>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</si>
  <si>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</si>
  <si>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</si>
  <si>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</si>
  <si>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</si>
  <si>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</si>
  <si>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</si>
  <si>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</si>
  <si>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</si>
  <si>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</si>
  <si>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</si>
  <si>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</si>
  <si>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</si>
  <si>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</si>
  <si>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</si>
  <si>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</si>
  <si>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</si>
  <si>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</si>
  <si>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</si>
  <si>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</si>
  <si>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</si>
  <si>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</si>
  <si>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</si>
  <si>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</si>
  <si>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</si>
  <si>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</si>
  <si>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</si>
  <si>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</si>
  <si>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</si>
  <si>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</si>
  <si>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</si>
  <si>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</si>
  <si>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</si>
  <si>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</si>
  <si>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</si>
  <si>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</si>
  <si>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</si>
  <si>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</si>
  <si>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</si>
  <si>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</si>
  <si>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</si>
  <si>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</si>
  <si>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</si>
  <si>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</si>
  <si>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</si>
  <si>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</si>
  <si>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</si>
  <si>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</si>
  <si>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</si>
  <si>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</si>
  <si>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</si>
  <si>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</si>
  <si>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</si>
  <si>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</si>
  <si>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</si>
  <si>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</si>
  <si>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</si>
  <si>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</si>
  <si>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</si>
  <si>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</si>
  <si>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</si>
  <si>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</si>
  <si>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</si>
  <si>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</si>
  <si>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</si>
  <si>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</si>
  <si>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</si>
  <si>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</si>
  <si>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</si>
  <si>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</si>
  <si>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</si>
  <si>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</si>
  <si>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</si>
  <si>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</si>
  <si>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</si>
  <si>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</si>
  <si>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</si>
  <si>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</si>
  <si>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</si>
  <si>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</si>
  <si>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</si>
  <si>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</si>
  <si>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</si>
  <si>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</si>
  <si>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</si>
  <si>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</si>
  <si>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</si>
  <si>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</si>
  <si>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</si>
  <si>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</si>
  <si>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</si>
  <si>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</si>
  <si>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</si>
  <si>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</si>
  <si>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</si>
  <si>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</si>
  <si>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</si>
  <si>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</si>
  <si>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</si>
  <si>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</si>
  <si>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</si>
  <si>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</si>
  <si>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</si>
  <si>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</si>
  <si>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</si>
  <si>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</si>
  <si>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</si>
  <si>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</si>
  <si>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</si>
  <si>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</si>
  <si>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</si>
  <si>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</si>
  <si>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</si>
  <si>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</si>
  <si>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</si>
  <si>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</si>
  <si>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</si>
  <si>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</si>
  <si>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</si>
  <si>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</si>
  <si>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</si>
  <si>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</si>
  <si>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</si>
  <si>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</si>
  <si>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</si>
  <si>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</si>
  <si>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</si>
  <si>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</si>
  <si>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</si>
  <si>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</si>
  <si>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</si>
  <si>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</si>
  <si>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</si>
  <si>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</si>
  <si>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</si>
  <si>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</si>
  <si>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</si>
  <si>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</si>
  <si>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</si>
  <si>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</si>
  <si>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</si>
  <si>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</si>
  <si>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</si>
  <si>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</si>
  <si>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</si>
  <si>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</si>
  <si>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</si>
  <si>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</si>
  <si>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</si>
  <si>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</si>
  <si>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</si>
  <si>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</si>
  <si>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</si>
  <si>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</si>
  <si>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</si>
  <si>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</si>
  <si>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</si>
  <si>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</si>
  <si>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</si>
  <si>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</si>
  <si>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</si>
  <si>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</si>
  <si>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</si>
  <si>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</si>
  <si>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</si>
  <si>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</si>
  <si>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</si>
  <si>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</si>
  <si>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</si>
  <si>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</si>
  <si>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</si>
  <si>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</si>
  <si>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</si>
  <si>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</si>
  <si>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</si>
  <si>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</si>
  <si>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</si>
  <si>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</si>
  <si>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</si>
  <si>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</si>
  <si>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</si>
  <si>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</si>
  <si>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</si>
  <si>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</si>
  <si>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</si>
  <si>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</si>
  <si>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</si>
  <si>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</si>
  <si>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</si>
  <si>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</si>
  <si>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</si>
  <si>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</si>
  <si>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</si>
  <si>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</si>
  <si>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</si>
  <si>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</si>
  <si>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</si>
  <si>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</si>
  <si>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</si>
  <si>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</si>
  <si>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</si>
  <si>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</si>
  <si>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</si>
  <si>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</si>
  <si>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</si>
  <si>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</si>
  <si>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</si>
  <si>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</si>
  <si>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</si>
  <si>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</si>
  <si>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</si>
  <si>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</si>
  <si>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</si>
  <si>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</si>
  <si>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</si>
  <si>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</si>
  <si>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</si>
  <si>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</si>
  <si>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</si>
  <si>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</si>
  <si>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</si>
  <si>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</si>
  <si>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</si>
  <si>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</si>
  <si>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</si>
  <si>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</si>
  <si>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</si>
  <si>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</si>
  <si>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</si>
  <si>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</si>
  <si>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</si>
  <si>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</si>
  <si>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</si>
  <si>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</si>
  <si>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</si>
  <si>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</si>
  <si>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</si>
  <si>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</si>
  <si>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</si>
  <si>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</si>
  <si>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</si>
  <si>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</si>
  <si>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</si>
  <si>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</si>
  <si>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</si>
  <si>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</si>
  <si>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</si>
  <si>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</si>
  <si>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</si>
  <si>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</si>
  <si>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</si>
  <si>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</si>
  <si>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</si>
  <si>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</si>
  <si>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</si>
  <si>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</si>
  <si>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</si>
  <si>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</si>
  <si>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</si>
  <si>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</si>
  <si>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</si>
  <si>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</si>
  <si>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</si>
  <si>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</si>
  <si>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</si>
  <si>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</si>
  <si>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</si>
  <si>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</si>
  <si>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</si>
  <si>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</si>
  <si>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</si>
  <si>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</si>
  <si>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</si>
  <si>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</si>
  <si>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</si>
  <si>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</si>
  <si>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</si>
  <si>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</si>
  <si>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</si>
  <si>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</si>
  <si>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</si>
  <si>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</si>
  <si>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</si>
  <si>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</si>
  <si>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</si>
  <si>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</si>
  <si>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</si>
  <si>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</si>
  <si>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</si>
  <si>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</si>
  <si>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</si>
  <si>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</si>
  <si>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</si>
  <si>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</si>
  <si>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</si>
  <si>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</si>
  <si>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</si>
  <si>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</si>
  <si>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</si>
  <si>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</si>
  <si>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</si>
  <si>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</si>
  <si>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</si>
  <si>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</si>
  <si>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</si>
  <si>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</si>
  <si>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</si>
  <si>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</si>
  <si>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</si>
  <si>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</si>
  <si>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</si>
  <si>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</si>
  <si>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</si>
  <si>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</si>
  <si>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</si>
  <si>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</si>
  <si>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</si>
  <si>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</si>
  <si>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</si>
  <si>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</si>
  <si>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</si>
  <si>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</si>
  <si>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</si>
  <si>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</si>
  <si>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</si>
  <si>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</si>
  <si>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</si>
  <si>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</si>
  <si>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</si>
  <si>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</si>
  <si>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</si>
  <si>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</si>
  <si>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</si>
  <si>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</si>
  <si>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</si>
  <si>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</si>
  <si>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</si>
  <si>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</si>
  <si>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</si>
  <si>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</si>
  <si>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</si>
  <si>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</si>
  <si>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</si>
  <si>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</si>
  <si>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</si>
  <si>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</si>
  <si>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</si>
  <si>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</si>
  <si>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</si>
  <si>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</si>
  <si>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</si>
  <si>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</si>
  <si>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</si>
  <si>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</si>
  <si>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</si>
  <si>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</si>
  <si>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</si>
  <si>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</si>
  <si>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</si>
  <si>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</si>
  <si>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</si>
  <si>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</si>
  <si>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</si>
  <si>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</si>
  <si>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</si>
  <si>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</si>
  <si>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</si>
  <si>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</si>
  <si>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</si>
  <si>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</si>
  <si>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</si>
  <si>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</si>
  <si>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</si>
  <si>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</si>
  <si>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</si>
  <si>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</si>
  <si>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</si>
  <si>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</si>
  <si>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</si>
  <si>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</si>
  <si>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</si>
  <si>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</si>
  <si>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</si>
  <si>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</si>
  <si>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</si>
  <si>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</si>
  <si>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</si>
  <si>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</si>
  <si>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</si>
  <si>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</si>
  <si>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</si>
  <si>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</si>
  <si>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</si>
  <si>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</si>
  <si>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</si>
  <si>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</si>
  <si>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</si>
  <si>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</si>
  <si>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</si>
  <si>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</si>
  <si>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</si>
  <si>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</si>
  <si>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</si>
  <si>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</si>
  <si>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</si>
  <si>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</si>
  <si>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</si>
  <si>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</si>
  <si>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</si>
  <si>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</si>
  <si>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</si>
  <si>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</si>
  <si>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</si>
  <si>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</si>
  <si>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</si>
  <si>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</si>
  <si>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</si>
  <si>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</si>
  <si>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</si>
  <si>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</si>
  <si>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</si>
  <si>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</si>
  <si>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</si>
  <si>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</si>
  <si>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</si>
  <si>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</si>
  <si>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</si>
  <si>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</si>
  <si>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</si>
  <si>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</si>
  <si>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</si>
  <si>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</si>
  <si>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</si>
  <si>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</si>
  <si>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</si>
  <si>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</si>
  <si>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</si>
  <si>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</si>
  <si>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</si>
  <si>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</si>
  <si>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</si>
  <si>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</si>
  <si>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</si>
  <si>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</si>
  <si>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</si>
  <si>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</si>
  <si>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</si>
  <si>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</si>
  <si>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</si>
  <si>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</si>
  <si>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</si>
  <si>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</si>
  <si>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</si>
  <si>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</si>
  <si>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</si>
  <si>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</si>
  <si>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</si>
  <si>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</si>
  <si>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</si>
  <si>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</si>
  <si>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</si>
  <si>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</si>
  <si>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</si>
  <si>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</si>
  <si>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</si>
  <si>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</si>
  <si>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</si>
  <si>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</si>
  <si>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</si>
  <si>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</si>
  <si>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</si>
  <si>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</si>
  <si>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</si>
  <si>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</si>
  <si>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</si>
  <si>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</si>
  <si>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</si>
  <si>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</si>
  <si>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</si>
  <si>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</si>
  <si>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</si>
  <si>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</si>
  <si>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</si>
  <si>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</si>
  <si>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</si>
  <si>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</si>
  <si>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</si>
  <si>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</si>
  <si>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</si>
  <si>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</si>
  <si>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</si>
  <si>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</si>
  <si>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</si>
  <si>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</si>
  <si>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</si>
  <si>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</si>
  <si>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</si>
  <si>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</si>
  <si>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</si>
  <si>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</si>
  <si>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</si>
  <si>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</si>
  <si>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</si>
  <si>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</si>
  <si>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</si>
  <si>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</si>
  <si>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</si>
  <si>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</si>
  <si>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</si>
  <si>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</si>
  <si>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</si>
  <si>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</si>
  <si>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</si>
  <si>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</si>
  <si>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</si>
  <si>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</si>
  <si>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</si>
  <si>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</si>
  <si>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</si>
  <si>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</si>
  <si>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</si>
  <si>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</si>
  <si>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</si>
  <si>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</si>
  <si>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</si>
  <si>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</si>
  <si>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</si>
  <si>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</si>
  <si>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</si>
  <si>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</si>
  <si>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</si>
  <si>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</si>
  <si>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</si>
  <si>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</si>
  <si>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</si>
  <si>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</si>
  <si>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</si>
  <si>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</si>
  <si>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</si>
  <si>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</si>
  <si>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</si>
  <si>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</si>
  <si>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</si>
  <si>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</si>
  <si>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</si>
  <si>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</si>
  <si>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</si>
  <si>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</si>
  <si>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</si>
  <si>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</si>
  <si>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</si>
  <si>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</si>
  <si>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</si>
  <si>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</si>
  <si>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</si>
  <si>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</si>
  <si>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</si>
  <si>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</si>
  <si>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</si>
  <si>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</si>
  <si>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</si>
  <si>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</si>
  <si>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</si>
  <si>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</si>
  <si>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</si>
  <si>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</si>
  <si>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</si>
  <si>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</si>
  <si>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</si>
  <si>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</si>
  <si>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</si>
  <si>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</si>
  <si>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</si>
  <si>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</si>
  <si>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</si>
  <si>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</si>
  <si>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</si>
  <si>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</si>
  <si>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</si>
  <si>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</si>
  <si>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</si>
  <si>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</si>
  <si>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</si>
  <si>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</si>
  <si>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</si>
  <si>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</si>
  <si>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</si>
  <si>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</si>
  <si>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</si>
  <si>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</si>
  <si>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</si>
  <si>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</si>
  <si>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</si>
  <si>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</si>
  <si>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</si>
  <si>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</si>
  <si>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</si>
  <si>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</si>
  <si>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</si>
  <si>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</si>
  <si>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</si>
  <si>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</si>
  <si>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</si>
  <si>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</si>
  <si>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</si>
  <si>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</si>
  <si>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</si>
  <si>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</si>
  <si>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</si>
  <si>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</si>
  <si>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</si>
  <si>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</si>
  <si>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</si>
  <si>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</si>
  <si>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</si>
  <si>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</si>
  <si>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</si>
  <si>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</si>
  <si>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</si>
  <si>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</si>
  <si>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</si>
  <si>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</si>
  <si>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</si>
  <si>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</si>
  <si>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</si>
  <si>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</si>
  <si>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</si>
  <si>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</si>
  <si>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</si>
  <si>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</si>
  <si>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</si>
  <si>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</si>
  <si>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</si>
  <si>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</si>
  <si>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</si>
  <si>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</si>
  <si>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</si>
  <si>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</si>
  <si>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</si>
  <si>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</si>
  <si>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</si>
  <si>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</si>
  <si>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</si>
  <si>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</si>
  <si>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</si>
  <si>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</si>
  <si>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</si>
  <si>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</si>
  <si>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</si>
  <si>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</si>
  <si>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</si>
  <si>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</si>
  <si>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</si>
  <si>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</si>
  <si>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</si>
  <si>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</si>
  <si>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</si>
  <si>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</si>
  <si>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</si>
  <si>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</si>
  <si>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</si>
  <si>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</si>
  <si>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</si>
  <si>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</si>
  <si>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</si>
  <si>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</si>
  <si>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</si>
  <si>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</si>
  <si>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</si>
  <si>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</si>
  <si>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</si>
  <si>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</si>
  <si>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</si>
  <si>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</si>
  <si>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</si>
  <si>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</si>
  <si>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</si>
  <si>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</si>
  <si>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</si>
  <si>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</si>
  <si>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</si>
  <si>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</si>
  <si>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</si>
  <si>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</si>
  <si>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</si>
  <si>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</si>
  <si>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</si>
  <si>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</si>
  <si>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</si>
  <si>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</si>
  <si>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</si>
  <si>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</si>
  <si>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</si>
  <si>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</si>
  <si>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</si>
  <si>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</si>
  <si>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</si>
  <si>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</si>
  <si>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</si>
  <si>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</si>
  <si>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</si>
  <si>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</si>
  <si>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</si>
  <si>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</si>
  <si>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</si>
  <si>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</si>
  <si>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</si>
  <si>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</si>
  <si>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</si>
  <si>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</si>
  <si>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</si>
  <si>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</si>
  <si>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</si>
  <si>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</si>
  <si>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</si>
  <si>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</si>
  <si>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</si>
  <si>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</si>
  <si>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</si>
  <si>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</si>
  <si>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</si>
  <si>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</si>
  <si>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</si>
  <si>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</si>
  <si>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</si>
  <si>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</si>
  <si>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</si>
  <si>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</si>
  <si>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</si>
  <si>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</si>
  <si>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</si>
  <si>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</si>
  <si>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</si>
  <si>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</si>
  <si>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</si>
  <si>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</si>
  <si>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</si>
  <si>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</si>
  <si>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</si>
  <si>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</si>
  <si>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</si>
  <si>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</si>
  <si>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</si>
  <si>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</si>
  <si>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</si>
  <si>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</si>
  <si>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</si>
  <si>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</si>
  <si>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</si>
  <si>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</si>
  <si>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</si>
  <si>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</si>
  <si>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</si>
  <si>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</si>
  <si>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</si>
  <si>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</si>
  <si>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</si>
  <si>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</si>
  <si>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</si>
  <si>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</si>
  <si>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</si>
  <si>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</si>
  <si>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</si>
  <si>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</si>
  <si>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</si>
  <si>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</si>
  <si>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</si>
  <si>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</si>
  <si>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</si>
  <si>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</si>
  <si>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</si>
  <si>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</si>
  <si>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</si>
  <si>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</si>
  <si>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</si>
  <si>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</si>
  <si>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</si>
  <si>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</si>
  <si>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</si>
  <si>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</si>
  <si>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</si>
  <si>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</si>
  <si>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</si>
  <si>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</si>
  <si>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</si>
  <si>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</si>
  <si>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</si>
  <si>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</si>
  <si>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</si>
  <si>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</si>
  <si>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</si>
  <si>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</si>
  <si>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</si>
  <si>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</si>
  <si>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</si>
  <si>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</si>
  <si>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</si>
  <si>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</si>
  <si>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</si>
  <si>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</si>
  <si>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</si>
  <si>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</si>
  <si>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</si>
  <si>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</si>
  <si>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</si>
  <si>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</si>
  <si>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</si>
  <si>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</si>
  <si>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</si>
  <si>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</si>
  <si>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</si>
  <si>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</si>
  <si>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</si>
  <si>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</si>
  <si>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</si>
  <si>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</si>
  <si>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</si>
  <si>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</si>
  <si>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</si>
  <si>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</si>
  <si>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</si>
  <si>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</si>
  <si>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</si>
  <si>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</si>
  <si>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</si>
  <si>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</si>
  <si>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</si>
  <si>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</si>
  <si>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</si>
  <si>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</si>
  <si>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</si>
  <si>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</si>
  <si>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</si>
  <si>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</si>
  <si>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</si>
  <si>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</si>
  <si>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</si>
  <si>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</si>
  <si>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</si>
  <si>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</si>
  <si>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</si>
  <si>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</si>
  <si>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</si>
  <si>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</si>
  <si>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</si>
  <si>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</si>
  <si>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</si>
  <si>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</si>
  <si>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</si>
  <si>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</si>
  <si>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</si>
  <si>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</si>
  <si>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</si>
  <si>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</si>
  <si>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</si>
  <si>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</si>
  <si>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</si>
  <si>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</si>
  <si>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</si>
  <si>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</si>
  <si>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</si>
  <si>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</si>
  <si>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</si>
  <si>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</si>
  <si>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</si>
  <si>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</si>
  <si>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</si>
  <si>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</si>
  <si>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</si>
  <si>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</si>
  <si>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</si>
  <si>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</si>
  <si>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</si>
  <si>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</si>
  <si>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</si>
  <si>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</si>
  <si>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</si>
  <si>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</si>
  <si>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</si>
  <si>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</si>
  <si>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</si>
  <si>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</si>
  <si>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</si>
  <si>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</si>
  <si>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</si>
  <si>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</si>
  <si>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</si>
  <si>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</si>
  <si>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</si>
  <si>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</si>
  <si>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</si>
  <si>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</si>
  <si>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</si>
  <si>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</si>
  <si>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</si>
  <si>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</si>
  <si>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</si>
  <si>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</si>
  <si>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</si>
  <si>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</si>
  <si>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</si>
  <si>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</si>
  <si>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</si>
  <si>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</si>
  <si>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</si>
  <si>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</si>
  <si>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</si>
  <si>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</si>
  <si>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</si>
  <si>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</si>
  <si>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</si>
  <si>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</si>
  <si>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</si>
  <si>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</si>
  <si>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</si>
  <si>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</si>
  <si>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</si>
  <si>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</si>
  <si>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</si>
  <si>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</si>
  <si>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</si>
  <si>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</si>
  <si>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</si>
  <si>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</si>
  <si>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</si>
  <si>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</si>
  <si>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</si>
  <si>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</si>
  <si>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</si>
  <si>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</si>
  <si>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</si>
  <si>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</si>
  <si>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</si>
  <si>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</si>
  <si>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</si>
  <si>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</si>
  <si>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</si>
  <si>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</si>
  <si>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</si>
  <si>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</si>
  <si>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</si>
  <si>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</si>
  <si>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</si>
  <si>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</si>
  <si>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</si>
  <si>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</si>
  <si>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</si>
  <si>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</si>
  <si>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</si>
  <si>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</si>
  <si>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</si>
  <si>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</si>
  <si>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</si>
  <si>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</si>
  <si>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</si>
  <si>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</si>
  <si>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</si>
  <si>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</si>
  <si>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</si>
  <si>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</si>
  <si>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</si>
  <si>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</si>
  <si>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</si>
  <si>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</si>
  <si>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</si>
  <si>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</si>
  <si>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</si>
  <si>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</si>
  <si>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</si>
  <si>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</si>
  <si>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</si>
  <si>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</si>
  <si>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</si>
  <si>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</si>
  <si>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</si>
  <si>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</si>
  <si>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</si>
  <si>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</si>
  <si>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</si>
  <si>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</si>
  <si>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</si>
  <si>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</si>
  <si>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</si>
  <si>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</si>
  <si>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</si>
  <si>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</si>
  <si>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</si>
  <si>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</si>
  <si>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</si>
  <si>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</si>
  <si>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</si>
  <si>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</si>
  <si>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</si>
  <si>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</si>
  <si>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</si>
  <si>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</si>
  <si>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</si>
  <si>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</si>
  <si>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</si>
  <si>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</si>
  <si>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</si>
  <si>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</si>
  <si>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</si>
  <si>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</si>
  <si>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</si>
  <si>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</si>
  <si>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</si>
  <si>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</si>
  <si>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</si>
  <si>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</si>
  <si>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</si>
  <si>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</si>
  <si>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</si>
  <si>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</si>
  <si>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</si>
  <si>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</si>
  <si>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</si>
  <si>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</si>
  <si>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</si>
  <si>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</si>
  <si>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</si>
  <si>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</si>
  <si>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</si>
  <si>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</si>
  <si>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</si>
  <si>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</si>
  <si>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</si>
  <si>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</si>
  <si>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</si>
  <si>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</si>
  <si>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</si>
  <si>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</si>
  <si>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</si>
  <si>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</si>
  <si>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</si>
  <si>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</si>
  <si>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</si>
  <si>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</si>
  <si>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</si>
  <si>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</si>
  <si>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</si>
  <si>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</si>
  <si>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</si>
  <si>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</si>
  <si>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</si>
  <si>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</si>
  <si>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</si>
  <si>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</si>
  <si>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</si>
  <si>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</si>
  <si>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</si>
  <si>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</si>
  <si>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</si>
  <si>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</si>
  <si>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</si>
  <si>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</si>
  <si>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</si>
  <si>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</si>
  <si>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</si>
  <si>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</si>
  <si>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</si>
  <si>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</si>
  <si>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</si>
  <si>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</si>
  <si>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</si>
  <si>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</si>
  <si>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</si>
  <si>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</si>
  <si>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</si>
  <si>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</si>
  <si>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</si>
  <si>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</si>
  <si>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</si>
  <si>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</si>
  <si>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</si>
  <si>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</si>
  <si>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</si>
  <si>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</si>
  <si>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</si>
  <si>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</si>
  <si>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</si>
  <si>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</si>
  <si>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</si>
  <si>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</si>
  <si>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</si>
  <si>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</si>
  <si>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</si>
  <si>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</si>
  <si>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</si>
  <si>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</si>
  <si>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</si>
  <si>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</si>
  <si>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</si>
  <si>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</si>
  <si>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</si>
  <si>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</si>
  <si>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</si>
  <si>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</si>
  <si>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</si>
  <si>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</si>
  <si>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</si>
  <si>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</si>
  <si>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</si>
  <si>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</si>
  <si>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</si>
  <si>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</si>
  <si>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</si>
  <si>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</si>
  <si>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</si>
  <si>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</si>
  <si>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</si>
  <si>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</si>
  <si>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</si>
  <si>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</si>
  <si>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</si>
  <si>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</si>
  <si>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</si>
  <si>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</si>
  <si>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</si>
  <si>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</si>
  <si>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</si>
  <si>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</si>
  <si>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</si>
  <si>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</si>
  <si>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</si>
  <si>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</si>
  <si>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</si>
  <si>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</si>
  <si>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</si>
  <si>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</si>
  <si>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</si>
  <si>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</si>
  <si>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</si>
  <si>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</si>
  <si>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</si>
  <si>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</si>
  <si>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</si>
  <si>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</si>
  <si>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</si>
  <si>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</si>
  <si>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</si>
  <si>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</si>
  <si>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</si>
  <si>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</si>
  <si>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</si>
  <si>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</si>
  <si>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</si>
  <si>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</si>
  <si>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</si>
  <si>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</si>
  <si>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</si>
  <si>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</si>
  <si>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</si>
  <si>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</si>
  <si>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</si>
  <si>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</si>
  <si>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</si>
  <si>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</si>
  <si>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</si>
  <si>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</si>
  <si>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</si>
  <si>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</si>
  <si>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</si>
  <si>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</si>
  <si>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</si>
  <si>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</si>
  <si>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</si>
  <si>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</si>
  <si>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</si>
  <si>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</si>
  <si>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</si>
  <si>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</si>
  <si>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</si>
  <si>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</si>
  <si>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</si>
  <si>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</si>
  <si>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</si>
  <si>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</si>
  <si>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</si>
  <si>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</si>
  <si>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</si>
  <si>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</si>
  <si>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</si>
  <si>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</si>
  <si>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</si>
  <si>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</si>
  <si>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</si>
  <si>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</si>
  <si>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</si>
  <si>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</si>
  <si>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</si>
  <si>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</si>
  <si>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</si>
  <si>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</si>
  <si>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</si>
  <si>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</si>
  <si>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</si>
  <si>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</si>
  <si>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</si>
  <si>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</si>
  <si>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</si>
  <si>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</si>
  <si>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</si>
  <si>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</si>
  <si>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</si>
  <si>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</si>
  <si>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</si>
  <si>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</si>
  <si>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</si>
  <si>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</si>
  <si>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</si>
  <si>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</si>
  <si>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</si>
  <si>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</si>
  <si>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</si>
  <si>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</si>
  <si>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</si>
  <si>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</si>
  <si>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</si>
  <si>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</si>
  <si>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</si>
  <si>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</si>
  <si>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</si>
  <si>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</si>
  <si>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</si>
  <si>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</si>
  <si>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</si>
  <si>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</si>
  <si>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</si>
  <si>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</si>
  <si>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</si>
  <si>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</si>
  <si>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</si>
  <si>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</si>
  <si>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</si>
  <si>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</si>
  <si>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</si>
  <si>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</si>
  <si>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</si>
  <si>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</si>
  <si>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</si>
  <si>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</si>
  <si>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</si>
  <si>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</si>
  <si>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</si>
  <si>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</si>
  <si>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</si>
  <si>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</si>
  <si>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</si>
  <si>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</si>
  <si>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</si>
  <si>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</si>
  <si>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</si>
  <si>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</si>
  <si>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</si>
  <si>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</si>
  <si>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</si>
  <si>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</si>
  <si>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</si>
  <si>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</si>
  <si>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</si>
  <si>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</si>
  <si>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</si>
  <si>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</si>
  <si>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</si>
  <si>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</si>
  <si>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</si>
  <si>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</si>
  <si>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</si>
  <si>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</si>
  <si>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</si>
  <si>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</si>
  <si>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</si>
  <si>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</si>
  <si>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</si>
  <si>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</si>
  <si>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</si>
  <si>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</si>
  <si>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</si>
  <si>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</si>
  <si>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</si>
  <si>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</si>
  <si>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</si>
  <si>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</si>
  <si>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</si>
  <si>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</si>
  <si>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</si>
  <si>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</si>
  <si>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</si>
  <si>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</si>
  <si>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</si>
  <si>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</si>
  <si>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</si>
  <si>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</si>
  <si>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</si>
  <si>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</si>
  <si>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</si>
  <si>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</si>
  <si>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</si>
  <si>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</si>
  <si>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</si>
  <si>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</si>
  <si>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</si>
  <si>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</si>
  <si>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</si>
  <si>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</si>
  <si>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</si>
  <si>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</si>
  <si>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</si>
  <si>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</si>
  <si>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</si>
  <si>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</si>
  <si>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</si>
  <si>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</si>
  <si>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</si>
  <si>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</si>
  <si>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</si>
  <si>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</si>
  <si>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</si>
  <si>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</si>
  <si>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</si>
  <si>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</si>
  <si>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</si>
  <si>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</si>
  <si>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</si>
  <si>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</si>
  <si>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</si>
  <si>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</si>
  <si>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</si>
  <si>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</si>
  <si>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</si>
  <si>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</si>
  <si>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</si>
  <si>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</si>
  <si>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</si>
  <si>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</si>
  <si>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</si>
  <si>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</si>
  <si>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</si>
  <si>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</si>
  <si>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</si>
  <si>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</si>
  <si>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</si>
  <si>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</si>
  <si>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</si>
  <si>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</si>
  <si>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</si>
  <si>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</si>
  <si>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</si>
  <si>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</si>
  <si>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</si>
  <si>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</si>
  <si>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</si>
  <si>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</si>
  <si>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</si>
  <si>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</si>
  <si>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</si>
  <si>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</si>
  <si>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</si>
  <si>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</si>
  <si>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</si>
  <si>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</si>
  <si>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</si>
  <si>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</si>
  <si>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</si>
  <si>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</si>
  <si>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</si>
  <si>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</si>
  <si>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</si>
  <si>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</si>
  <si>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</si>
  <si>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</si>
  <si>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</si>
  <si>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</si>
  <si>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</si>
  <si>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</si>
  <si>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</si>
  <si>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</si>
  <si>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</si>
  <si>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</si>
  <si>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</si>
  <si>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</si>
  <si>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</si>
  <si>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</si>
  <si>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</si>
  <si>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</si>
  <si>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</si>
  <si>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</si>
  <si>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</si>
  <si>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</si>
  <si>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</si>
  <si>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</si>
  <si>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</si>
  <si>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</si>
  <si>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</si>
  <si>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</si>
  <si>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</si>
  <si>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</si>
  <si>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</si>
  <si>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</si>
  <si>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</si>
  <si>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</si>
  <si>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</si>
  <si>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</si>
  <si>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</si>
  <si>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</si>
  <si>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</si>
  <si>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</si>
  <si>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</si>
  <si>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</si>
  <si>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</si>
  <si>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</si>
  <si>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</si>
  <si>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</si>
  <si>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</si>
  <si>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</si>
  <si>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</si>
  <si>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</si>
  <si>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</si>
  <si>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</si>
  <si>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</si>
  <si>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</si>
  <si>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</si>
  <si>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</si>
  <si>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</si>
  <si>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</si>
  <si>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</si>
  <si>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</si>
  <si>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</si>
  <si>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</si>
  <si>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</si>
  <si>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</si>
  <si>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</si>
  <si>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</si>
  <si>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</si>
  <si>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</si>
  <si>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序号</t>
  </si>
  <si>
    <t>楼号</t>
  </si>
  <si>
    <t>房号</t>
  </si>
  <si>
    <t>房屋所有权证号</t>
  </si>
  <si>
    <t>规划用途</t>
  </si>
  <si>
    <t>楼层</t>
  </si>
  <si>
    <t>建筑面积（㎡）</t>
  </si>
  <si>
    <t>商业</t>
    <phoneticPr fontId="143" type="noConversion"/>
  </si>
  <si>
    <r>
      <t>X京房权证兴字第</t>
    </r>
    <r>
      <rPr>
        <sz val="11"/>
        <color theme="1"/>
        <rFont val="宋体"/>
        <family val="3"/>
        <charset val="134"/>
        <scheme val="minor"/>
      </rPr>
      <t>058454号</t>
    </r>
    <phoneticPr fontId="143" type="noConversion"/>
  </si>
  <si>
    <r>
      <t>4</t>
    </r>
    <r>
      <rPr>
        <sz val="11"/>
        <color theme="1"/>
        <rFont val="宋体"/>
        <family val="3"/>
        <charset val="134"/>
        <scheme val="minor"/>
      </rPr>
      <t>8号楼合计</t>
    </r>
    <phoneticPr fontId="143" type="noConversion"/>
  </si>
  <si>
    <r>
      <t>1</t>
    </r>
    <r>
      <rPr>
        <sz val="11"/>
        <color theme="1"/>
        <rFont val="宋体"/>
        <family val="3"/>
        <charset val="134"/>
        <scheme val="minor"/>
      </rPr>
      <t>1号楼合计</t>
    </r>
    <phoneticPr fontId="143" type="noConversion"/>
  </si>
  <si>
    <t>会所</t>
    <phoneticPr fontId="143" type="noConversion"/>
  </si>
  <si>
    <t>——</t>
    <phoneticPr fontId="143" type="noConversion"/>
  </si>
  <si>
    <r>
      <t>X经房权证兴字第</t>
    </r>
    <r>
      <rPr>
        <sz val="11"/>
        <color theme="1"/>
        <rFont val="宋体"/>
        <family val="3"/>
        <charset val="134"/>
        <scheme val="minor"/>
      </rPr>
      <t>058455号</t>
    </r>
    <phoneticPr fontId="143" type="noConversion"/>
  </si>
  <si>
    <t>总计</t>
    <phoneticPr fontId="143" type="noConversion"/>
  </si>
  <si>
    <r>
      <t>48</t>
    </r>
    <r>
      <rPr>
        <sz val="10"/>
        <color indexed="8"/>
        <rFont val="宋体"/>
        <family val="3"/>
        <charset val="134"/>
      </rPr>
      <t>号楼</t>
    </r>
    <r>
      <rPr>
        <sz val="10"/>
        <color indexed="8"/>
        <rFont val="Arial"/>
        <family val="2"/>
      </rPr>
      <t>2</t>
    </r>
    <r>
      <rPr>
        <sz val="10"/>
        <color indexed="8"/>
        <rFont val="宋体"/>
        <family val="3"/>
        <charset val="134"/>
      </rPr>
      <t>层商业</t>
    </r>
    <phoneticPr fontId="3" type="noConversion"/>
  </si>
  <si>
    <r>
      <t>11</t>
    </r>
    <r>
      <rPr>
        <sz val="10"/>
        <color indexed="8"/>
        <rFont val="宋体"/>
        <family val="3"/>
        <charset val="134"/>
      </rPr>
      <t>号楼地下商业</t>
    </r>
    <phoneticPr fontId="3" type="noConversion"/>
  </si>
  <si>
    <t>是</t>
  </si>
  <si>
    <t>地上</t>
  </si>
  <si>
    <t>地下</t>
  </si>
  <si>
    <t>底商</t>
  </si>
  <si>
    <r>
      <t>48</t>
    </r>
    <r>
      <rPr>
        <sz val="10"/>
        <color indexed="8"/>
        <rFont val="宋体"/>
        <family val="3"/>
        <charset val="134"/>
      </rPr>
      <t>号楼</t>
    </r>
    <r>
      <rPr>
        <sz val="10"/>
        <color indexed="8"/>
        <rFont val="Arial"/>
        <family val="2"/>
      </rPr>
      <t>2</t>
    </r>
    <r>
      <rPr>
        <sz val="10"/>
        <color indexed="8"/>
        <rFont val="宋体"/>
        <family val="3"/>
        <charset val="134"/>
      </rPr>
      <t>层商业</t>
    </r>
    <phoneticPr fontId="7" type="noConversion"/>
  </si>
  <si>
    <r>
      <t>11</t>
    </r>
    <r>
      <rPr>
        <sz val="10"/>
        <color indexed="8"/>
        <rFont val="宋体"/>
        <family val="3"/>
        <charset val="134"/>
      </rPr>
      <t>号楼地下商业</t>
    </r>
    <phoneticPr fontId="7" type="noConversion"/>
  </si>
  <si>
    <t>成新度</t>
  </si>
  <si>
    <t>收益法</t>
  </si>
  <si>
    <t>钢混</t>
  </si>
  <si>
    <t>非生产用房</t>
  </si>
  <si>
    <t>出让</t>
  </si>
  <si>
    <t>押一</t>
  </si>
  <si>
    <t>售价</t>
  </si>
  <si>
    <t>正常</t>
    <phoneticPr fontId="31" type="noConversion"/>
  </si>
  <si>
    <t>现房</t>
  </si>
  <si>
    <t>项目局部</t>
  </si>
  <si>
    <t>成新率</t>
    <phoneticPr fontId="3" type="noConversion"/>
  </si>
  <si>
    <t>商业</t>
    <phoneticPr fontId="31" type="noConversion"/>
  </si>
  <si>
    <t>办公</t>
    <phoneticPr fontId="31" type="noConversion"/>
  </si>
  <si>
    <t>住宅</t>
  </si>
  <si>
    <t>住宅</t>
    <phoneticPr fontId="31" type="noConversion"/>
  </si>
  <si>
    <t>办公</t>
    <phoneticPr fontId="31" type="noConversion"/>
  </si>
  <si>
    <t>枣园东里</t>
    <phoneticPr fontId="3" type="noConversion"/>
  </si>
  <si>
    <t>彩虹新城</t>
    <phoneticPr fontId="3" type="noConversion"/>
  </si>
  <si>
    <t>鸿坤新都荟</t>
    <phoneticPr fontId="3" type="noConversion"/>
  </si>
  <si>
    <t>钢混</t>
    <phoneticPr fontId="31" type="noConversion"/>
  </si>
  <si>
    <t>混合</t>
    <phoneticPr fontId="31" type="noConversion"/>
  </si>
  <si>
    <t>混合</t>
    <phoneticPr fontId="31" type="noConversion"/>
  </si>
  <si>
    <t>精装</t>
    <phoneticPr fontId="31" type="noConversion"/>
  </si>
  <si>
    <t>普装</t>
    <phoneticPr fontId="31" type="noConversion"/>
  </si>
  <si>
    <t>七通</t>
    <phoneticPr fontId="31" type="noConversion"/>
  </si>
  <si>
    <t>六通</t>
    <phoneticPr fontId="31" type="noConversion"/>
  </si>
  <si>
    <t>六通</t>
    <phoneticPr fontId="31" type="noConversion"/>
  </si>
  <si>
    <t>五通</t>
    <phoneticPr fontId="31" type="noConversion"/>
  </si>
  <si>
    <t>北京福发房地产开发有限公司</t>
    <phoneticPr fontId="6" type="noConversion"/>
  </si>
  <si>
    <t>浙商金汇信托股份有限公司</t>
    <phoneticPr fontId="6" type="noConversion"/>
  </si>
  <si>
    <t>北京市</t>
  </si>
  <si>
    <r>
      <rPr>
        <sz val="12"/>
        <color theme="9" tint="-0.249977111117893"/>
        <rFont val="宋体"/>
        <family val="3"/>
        <charset val="134"/>
      </rPr>
      <t>大兴区兴华园</t>
    </r>
    <r>
      <rPr>
        <sz val="12"/>
        <color theme="9" tint="-0.249977111117893"/>
        <rFont val="Arial"/>
        <family val="2"/>
      </rPr>
      <t>48</t>
    </r>
    <r>
      <rPr>
        <sz val="12"/>
        <color theme="9" tint="-0.249977111117893"/>
        <rFont val="宋体"/>
        <family val="3"/>
        <charset val="134"/>
      </rPr>
      <t>号楼</t>
    </r>
    <r>
      <rPr>
        <sz val="12"/>
        <color theme="9" tint="-0.249977111117893"/>
        <rFont val="Arial"/>
        <family val="2"/>
      </rPr>
      <t>46</t>
    </r>
    <r>
      <rPr>
        <sz val="12"/>
        <color theme="9" tint="-0.249977111117893"/>
        <rFont val="宋体"/>
        <family val="3"/>
        <charset val="134"/>
      </rPr>
      <t>号、</t>
    </r>
    <r>
      <rPr>
        <sz val="12"/>
        <color theme="9" tint="-0.249977111117893"/>
        <rFont val="Arial"/>
        <family val="2"/>
      </rPr>
      <t>201</t>
    </r>
    <r>
      <rPr>
        <sz val="12"/>
        <color theme="9" tint="-0.249977111117893"/>
        <rFont val="宋体"/>
        <family val="3"/>
        <charset val="134"/>
      </rPr>
      <t>号及</t>
    </r>
    <r>
      <rPr>
        <sz val="12"/>
        <color theme="9" tint="-0.249977111117893"/>
        <rFont val="Arial"/>
        <family val="2"/>
      </rPr>
      <t>11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套商业用房</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</si>
  <si>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058454</t>
    </r>
    <r>
      <rPr>
        <sz val="12"/>
        <color theme="9" tint="-0.249977111117893"/>
        <rFont val="宋体"/>
        <family val="3"/>
        <charset val="134"/>
      </rPr>
      <t>、</t>
    </r>
    <r>
      <rPr>
        <sz val="12"/>
        <color theme="9" tint="-0.249977111117893"/>
        <rFont val="Arial"/>
        <family val="2"/>
      </rPr>
      <t>058455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</si>
  <si>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</si>
  <si>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r>
      <t>48</t>
    </r>
    <r>
      <rPr>
        <sz val="10"/>
        <color indexed="8"/>
        <rFont val="宋体"/>
        <family val="3"/>
        <charset val="134"/>
      </rPr>
      <t>号楼</t>
    </r>
    <r>
      <rPr>
        <sz val="10"/>
        <color indexed="8"/>
        <rFont val="宋体"/>
        <family val="3"/>
        <charset val="134"/>
      </rPr>
      <t>商业</t>
    </r>
    <phoneticPr fontId="3" type="noConversion"/>
  </si>
  <si>
    <t>典型户型修正-48</t>
  </si>
  <si>
    <t>典型户型修正-48</t>
    <phoneticPr fontId="16" type="noConversion"/>
  </si>
  <si>
    <r>
      <t>48</t>
    </r>
    <r>
      <rPr>
        <sz val="10"/>
        <color indexed="8"/>
        <rFont val="宋体"/>
        <family val="3"/>
        <charset val="134"/>
      </rPr>
      <t>号楼商业</t>
    </r>
    <phoneticPr fontId="7" type="noConversion"/>
  </si>
  <si>
    <t>48号楼商业</t>
  </si>
  <si>
    <t>11号楼地下商业</t>
  </si>
  <si>
    <t>收益法-会所</t>
  </si>
  <si>
    <t>收益法-会所</t>
    <phoneticPr fontId="16" type="noConversion"/>
  </si>
  <si>
    <t>比较法-会所</t>
  </si>
  <si>
    <t>比较法-会所</t>
    <phoneticPr fontId="16" type="noConversion"/>
  </si>
  <si>
    <t>1189.19</t>
    <phoneticPr fontId="143" type="noConversion"/>
  </si>
  <si>
    <t>有挑高</t>
  </si>
  <si>
    <t>3-3.5</t>
  </si>
  <si>
    <t>较好</t>
  </si>
  <si>
    <t>商业</t>
    <phoneticPr fontId="31" type="noConversion"/>
  </si>
  <si>
    <t>20-30（含）</t>
  </si>
  <si>
    <t>30-40（含）</t>
  </si>
  <si>
    <t>一般</t>
  </si>
  <si>
    <t>七通</t>
  </si>
  <si>
    <t>临商街</t>
  </si>
  <si>
    <t>临商街</t>
    <phoneticPr fontId="31" type="noConversion"/>
  </si>
  <si>
    <t>不临商街</t>
  </si>
  <si>
    <t>不临商街</t>
    <phoneticPr fontId="31" type="noConversion"/>
  </si>
  <si>
    <t>需扣减承租人权益</t>
  </si>
  <si>
    <t>好</t>
    <phoneticPr fontId="31" type="noConversion"/>
  </si>
  <si>
    <t>较好</t>
    <phoneticPr fontId="31" type="noConversion"/>
  </si>
  <si>
    <t>一般</t>
    <phoneticPr fontId="31" type="noConversion"/>
  </si>
  <si>
    <t>较差</t>
    <phoneticPr fontId="31" type="noConversion"/>
  </si>
  <si>
    <t>差</t>
    <phoneticPr fontId="31" type="noConversion"/>
  </si>
  <si>
    <t>精装</t>
  </si>
  <si>
    <t>嘉悦广场</t>
    <phoneticPr fontId="3" type="noConversion"/>
  </si>
  <si>
    <t>西红门</t>
    <phoneticPr fontId="3" type="noConversion"/>
  </si>
  <si>
    <t>不临街</t>
  </si>
  <si>
    <t>不临街</t>
    <phoneticPr fontId="143" type="noConversion"/>
  </si>
  <si>
    <t>六通</t>
  </si>
  <si>
    <t>嘉悦广场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</si>
</sst>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4" fillId="0" borderId="1" xfId="0" applyFont="1" applyBorder="1" applyAlignment="1">
      <alignment horizontal="justify" vertical="center"/>
    </xf>
    <xf numFmtId="0" fontId="254" fillId="0" borderId="1" xfId="0" applyFont="1" applyBorder="1" applyAlignment="1">
      <alignment horizontal="justify" vertical="center" wrapText="1"/>
    </xf>
    <xf numFmtId="0" fontId="0" fillId="0" borderId="1" xfId="0" applyBorder="1">
      <alignment vertical="center"/>
    </xf>
    <xf numFmtId="0" fontId="99" fillId="0" borderId="1" xfId="0" applyFont="1" applyBorder="1">
      <alignment vertical="center"/>
    </xf>
    <xf numFmtId="49" fontId="137" fillId="2" borderId="2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9" fontId="50" fillId="0" borderId="110" xfId="0" applyNumberFormat="1" applyFont="1" applyFill="1" applyBorder="1" applyAlignment="1" applyProtection="1">
      <alignment horizontal="center" vertical="center" wrapText="1"/>
      <protection locked="0"/>
    </xf>
    <xf numFmtId="9" fontId="50" fillId="0" borderId="1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49" fontId="104"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43"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60" fillId="6" borderId="13" xfId="1" applyFont="1" applyFill="1" applyBorder="1" applyAlignment="1" applyProtection="1">
      <alignment vertical="center"/>
    </xf>
    <xf numFmtId="0" fontId="60" fillId="6" borderId="2" xfId="1"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lignment vertical="center"/>
    </xf>
    <xf numFmtId="0" fontId="99" fillId="0" borderId="5" xfId="0" applyFont="1" applyBorder="1">
      <alignment vertical="center"/>
    </xf>
    <xf numFmtId="0" fontId="99" fillId="0" borderId="54" xfId="0" applyFont="1" applyBorder="1">
      <alignment vertical="center"/>
    </xf>
    <xf numFmtId="0" fontId="99" fillId="0" borderId="3" xfId="0" applyFont="1" applyBorder="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9</xdr:row>
      <xdr:rowOff>19050</xdr:rowOff>
    </xdr:from>
    <xdr:to>
      <xdr:col>5</xdr:col>
      <xdr:colOff>485290</xdr:colOff>
      <xdr:row>30</xdr:row>
      <xdr:rowOff>66219</xdr:rowOff>
    </xdr:to>
    <xdr:pic>
      <xdr:nvPicPr>
        <xdr:cNvPr id="6" name="图片 5"/>
        <xdr:cNvPicPr>
          <a:picLocks noChangeAspect="1"/>
        </xdr:cNvPicPr>
      </xdr:nvPicPr>
      <xdr:blipFill>
        <a:blip xmlns:r="http://schemas.openxmlformats.org/officeDocument/2006/relationships" r:embed="rId1"/>
        <a:stretch>
          <a:fillRect/>
        </a:stretch>
      </xdr:blipFill>
      <xdr:spPr>
        <a:xfrm>
          <a:off x="28575" y="1562100"/>
          <a:ext cx="3885715" cy="3647619"/>
        </a:xfrm>
        <a:prstGeom prst="rect">
          <a:avLst/>
        </a:prstGeom>
      </xdr:spPr>
    </xdr:pic>
    <xdr:clientData/>
  </xdr:twoCellAnchor>
  <xdr:twoCellAnchor editAs="oneCell">
    <xdr:from>
      <xdr:col>5</xdr:col>
      <xdr:colOff>371475</xdr:colOff>
      <xdr:row>9</xdr:row>
      <xdr:rowOff>104775</xdr:rowOff>
    </xdr:from>
    <xdr:to>
      <xdr:col>11</xdr:col>
      <xdr:colOff>170961</xdr:colOff>
      <xdr:row>30</xdr:row>
      <xdr:rowOff>94801</xdr:rowOff>
    </xdr:to>
    <xdr:pic>
      <xdr:nvPicPr>
        <xdr:cNvPr id="7" name="图片 6"/>
        <xdr:cNvPicPr>
          <a:picLocks noChangeAspect="1"/>
        </xdr:cNvPicPr>
      </xdr:nvPicPr>
      <xdr:blipFill>
        <a:blip xmlns:r="http://schemas.openxmlformats.org/officeDocument/2006/relationships" r:embed="rId2"/>
        <a:stretch>
          <a:fillRect/>
        </a:stretch>
      </xdr:blipFill>
      <xdr:spPr>
        <a:xfrm>
          <a:off x="3800475" y="1647825"/>
          <a:ext cx="3914286" cy="3590476"/>
        </a:xfrm>
        <a:prstGeom prst="rect">
          <a:avLst/>
        </a:prstGeom>
      </xdr:spPr>
    </xdr:pic>
    <xdr:clientData/>
  </xdr:twoCellAnchor>
  <xdr:twoCellAnchor editAs="oneCell">
    <xdr:from>
      <xdr:col>11</xdr:col>
      <xdr:colOff>85725</xdr:colOff>
      <xdr:row>11</xdr:row>
      <xdr:rowOff>19050</xdr:rowOff>
    </xdr:from>
    <xdr:to>
      <xdr:col>17</xdr:col>
      <xdr:colOff>599497</xdr:colOff>
      <xdr:row>28</xdr:row>
      <xdr:rowOff>161543</xdr:rowOff>
    </xdr:to>
    <xdr:pic>
      <xdr:nvPicPr>
        <xdr:cNvPr id="8" name="图片 7"/>
        <xdr:cNvPicPr>
          <a:picLocks noChangeAspect="1"/>
        </xdr:cNvPicPr>
      </xdr:nvPicPr>
      <xdr:blipFill>
        <a:blip xmlns:r="http://schemas.openxmlformats.org/officeDocument/2006/relationships" r:embed="rId3"/>
        <a:stretch>
          <a:fillRect/>
        </a:stretch>
      </xdr:blipFill>
      <xdr:spPr>
        <a:xfrm>
          <a:off x="7629525" y="1905000"/>
          <a:ext cx="4628572" cy="3057143"/>
        </a:xfrm>
        <a:prstGeom prst="rect">
          <a:avLst/>
        </a:prstGeom>
      </xdr:spPr>
    </xdr:pic>
    <xdr:clientData/>
  </xdr:twoCellAnchor>
  <xdr:twoCellAnchor editAs="oneCell">
    <xdr:from>
      <xdr:col>0</xdr:col>
      <xdr:colOff>28575</xdr:colOff>
      <xdr:row>31</xdr:row>
      <xdr:rowOff>57150</xdr:rowOff>
    </xdr:from>
    <xdr:to>
      <xdr:col>10</xdr:col>
      <xdr:colOff>456290</xdr:colOff>
      <xdr:row>38</xdr:row>
      <xdr:rowOff>161762</xdr:rowOff>
    </xdr:to>
    <xdr:pic>
      <xdr:nvPicPr>
        <xdr:cNvPr id="9" name="图片 8"/>
        <xdr:cNvPicPr>
          <a:picLocks noChangeAspect="1"/>
        </xdr:cNvPicPr>
      </xdr:nvPicPr>
      <xdr:blipFill>
        <a:blip xmlns:r="http://schemas.openxmlformats.org/officeDocument/2006/relationships" r:embed="rId4"/>
        <a:stretch>
          <a:fillRect/>
        </a:stretch>
      </xdr:blipFill>
      <xdr:spPr>
        <a:xfrm>
          <a:off x="28575" y="5372100"/>
          <a:ext cx="7285715" cy="1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B1"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北京市大兴区兴华园48号楼46号、201号及11幢3套商业用房房地产抵押价值预评估</v>
      </c>
    </row>
    <row r="3" spans="1:2" s="1595" customFormat="1">
      <c r="A3" s="1593" t="s">
        <v>1221</v>
      </c>
      <c r="B3" s="1594" t="str">
        <f>'预评函-封皮'!B40</f>
        <v>北京福发房地产开发有限公司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受贵公司委托，我公司对北京市大兴区兴华园48号楼46号、201号及11幢3套商业用房房地产抵押价值进行了预评估。</v>
      </c>
    </row>
    <row r="7" spans="1:2" s="1595" customFormat="1">
      <c r="A7" s="1593" t="s">
        <v>1264</v>
      </c>
      <c r="B7" s="1594" t="str">
        <f>'预评函-1'!A7</f>
        <v>估价对象为北京市大兴区兴华园48号楼46号、201号及11幢3套商业用房房地产，为所有。根据《国有土地使用证》[]，估价对象（分摊）出让国有建设用地使用权面积为0平方米，建筑面积为6779.85平方米。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兴华园48号楼46号、201号及11幢3套商业用房房地产,属开发建设的，该项目尚在开发建设中。根据《国有土地使用证》[]，估价对象（分摊）出让国有建设用地使用权面积为0平方米，规划建筑面积为6779.85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为估价委托人在向浙商金汇信托股份有限公司办理贷款手续过程中，确定房地产抵押贷款额度提供参考依据而评估房地产抵押价值。</v>
      </c>
    </row>
    <row r="12" spans="1:2" s="1595" customFormat="1">
      <c r="A12" s="1593" t="s">
        <v>1226</v>
      </c>
      <c r="B12" s="1594" t="str">
        <f>'预评函-1'!A15</f>
        <v>2018年3月13日</v>
      </c>
    </row>
    <row r="13" spans="1:2" s="1595" customFormat="1">
      <c r="A13" s="1593" t="s">
        <v>1227</v>
      </c>
      <c r="B13" s="1594" t="str">
        <f>'预评函-1'!A18</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24718</v>
      </c>
    </row>
    <row r="21" spans="1:2" s="1595" customFormat="1">
      <c r="A21" s="1593" t="s">
        <v>1235</v>
      </c>
      <c r="B21" s="1594">
        <f ca="1">'预评函-2'!D7</f>
        <v>44213</v>
      </c>
    </row>
    <row r="22" spans="1:2" s="1595" customFormat="1">
      <c r="A22" s="1593" t="s">
        <v>1236</v>
      </c>
      <c r="B22" s="1594" t="str">
        <f ca="1">'预评函-2'!D6</f>
        <v>贰亿肆仟柒佰壹拾捌万元整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24718</v>
      </c>
    </row>
    <row r="31" spans="1:2" s="1595" customFormat="1">
      <c r="A31" s="1593" t="s">
        <v>1274</v>
      </c>
      <c r="B31" s="1594">
        <f ca="1">'预评函-2'!D15</f>
        <v>36458</v>
      </c>
    </row>
    <row r="32" spans="1:2" s="1595" customFormat="1">
      <c r="A32" s="1593" t="s">
        <v>1241</v>
      </c>
      <c r="B32" s="1594" t="str">
        <f ca="1">'预评函-2'!D14</f>
        <v>贰亿肆仟柒佰壹拾捌万元整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北京市大兴区兴华园48号楼46号、201号及11幢3套商业用房房地产</v>
      </c>
    </row>
    <row r="42" spans="1:2" s="1595" customFormat="1">
      <c r="A42" s="1593" t="s">
        <v>1288</v>
      </c>
      <c r="B42" s="1594" t="str">
        <f>'预评函-3'!B2</f>
        <v>建筑面积</v>
      </c>
    </row>
    <row r="43" spans="1:2" s="1595" customFormat="1">
      <c r="A43" s="1593" t="s">
        <v>1289</v>
      </c>
      <c r="B43" s="1594">
        <f>'预评函-3'!B4</f>
        <v>6779.85</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3111</v>
      </c>
      <c r="C17" s="2017"/>
    </row>
    <row r="18" spans="1:3">
      <c r="A18" s="2016" t="s">
        <v>1768</v>
      </c>
      <c r="B18" s="2016" t="s">
        <v>3116</v>
      </c>
      <c r="C18" s="2017"/>
    </row>
    <row r="19" spans="1:3">
      <c r="A19" s="2016" t="s">
        <v>1769</v>
      </c>
      <c r="B19" s="2016" t="s">
        <v>3118</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华园48号楼46号、201号及11幢3套商业用房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4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4" t="s">
        <v>864</v>
      </c>
      <c r="C54" s="2021" t="s">
        <v>1281</v>
      </c>
    </row>
    <row r="55" spans="1:4">
      <c r="A55" s="3045"/>
      <c r="B55" s="2024" t="s">
        <v>865</v>
      </c>
      <c r="C55" s="2021" t="s">
        <v>1282</v>
      </c>
    </row>
    <row r="56" spans="1:4">
      <c r="A56" s="3045"/>
      <c r="B56" s="2024" t="s">
        <v>866</v>
      </c>
      <c r="C56" s="2021" t="s">
        <v>1286</v>
      </c>
    </row>
    <row r="57" spans="1:4">
      <c r="A57" s="304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1777</v>
      </c>
      <c r="B1" s="3054" t="str">
        <f>IF(B10="北京市","北京市",C10)&amp;F10&amp;IF(结果表!G1="在建","出让国有建设用地使用权及在建建筑物",IF(结果表!G1="土地","出让国有建设用地使用权",))&amp;B9&amp;"预评估"</f>
        <v>北京市大兴区兴华园48号楼46号、201号及11幢3套商业用房房地产抵押价值预评估</v>
      </c>
      <c r="C1" s="3055"/>
      <c r="D1" s="3055"/>
      <c r="E1" s="3055"/>
      <c r="F1" s="3055"/>
      <c r="G1" s="3055"/>
      <c r="H1" s="3055"/>
      <c r="I1" s="305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北京市大兴区兴华园48号楼46号、201号及11幢3套商业用房房地产抵押价值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北京市大兴区兴华园48号楼46号、201号及11幢3套商业用房房地产</v>
      </c>
    </row>
    <row r="3" spans="1:19" ht="18" customHeight="1">
      <c r="A3" s="2037" t="s">
        <v>1779</v>
      </c>
      <c r="B3" s="2038"/>
      <c r="C3" s="2039" t="s">
        <v>1780</v>
      </c>
      <c r="D3" s="2038">
        <v>43172</v>
      </c>
      <c r="E3" s="2028"/>
      <c r="F3" s="2028"/>
      <c r="G3" s="2028"/>
      <c r="H3" s="2028"/>
      <c r="I3" s="2028"/>
      <c r="J3" s="2028"/>
      <c r="K3" s="2029"/>
      <c r="L3" s="2030"/>
      <c r="M3" s="2030"/>
      <c r="N3" s="2031"/>
      <c r="O3" s="2032"/>
      <c r="P3" s="2031"/>
      <c r="Q3" s="2031"/>
      <c r="R3" s="2031"/>
      <c r="S3" s="2033"/>
    </row>
    <row r="4" spans="1:19" ht="18" customHeight="1" thickBot="1">
      <c r="A4" s="2040" t="s">
        <v>1781</v>
      </c>
      <c r="B4" s="2041" t="s">
        <v>3048</v>
      </c>
      <c r="C4" s="1039">
        <f ca="1">SUMIF(注册房地产估价师,B4,估价师及机构信息!B3:B24)</f>
        <v>1120140022</v>
      </c>
      <c r="D4" s="2041" t="s">
        <v>3049</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1782</v>
      </c>
      <c r="B5" s="2958" t="s">
        <v>3103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59" t="s">
        <v>3104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c r="C7" s="2050"/>
      <c r="D7" s="2051"/>
      <c r="E7" s="2036"/>
      <c r="F7" s="2044"/>
      <c r="G7" s="2044"/>
      <c r="H7" s="2044"/>
      <c r="I7" s="2044"/>
      <c r="J7" s="2044"/>
      <c r="K7" s="2054"/>
      <c r="L7" s="2030"/>
      <c r="M7" s="2030"/>
      <c r="N7" s="2031"/>
      <c r="O7" s="2032"/>
      <c r="P7" s="2031"/>
      <c r="Q7" s="2031"/>
      <c r="R7" s="2031"/>
    </row>
    <row r="8" spans="1:19" ht="18" customHeight="1">
      <c r="A8" s="2049" t="s">
        <v>1785</v>
      </c>
      <c r="B8" s="2055" t="s">
        <v>3050</v>
      </c>
      <c r="C8" s="2056"/>
      <c r="D8" s="3057" t="s">
        <v>1786</v>
      </c>
      <c r="E8" s="2057" t="s">
        <v>3051</v>
      </c>
      <c r="F8" s="2058"/>
      <c r="G8" s="2028"/>
      <c r="H8" s="2028"/>
      <c r="I8" s="2028"/>
      <c r="J8" s="2044"/>
      <c r="K8" s="2045"/>
      <c r="L8" s="2030"/>
      <c r="M8" s="2030"/>
      <c r="N8" s="2031"/>
      <c r="O8" s="2032"/>
      <c r="P8" s="2031"/>
      <c r="Q8" s="2031"/>
      <c r="R8" s="2031"/>
    </row>
    <row r="9" spans="1:19" ht="18" customHeight="1" thickBot="1">
      <c r="A9" s="2042" t="s">
        <v>1787</v>
      </c>
      <c r="B9" s="2059" t="s">
        <v>3051</v>
      </c>
      <c r="C9" s="2060"/>
      <c r="D9" s="3058"/>
      <c r="E9" s="2059"/>
      <c r="F9" s="2061"/>
      <c r="G9" s="2062"/>
      <c r="H9" s="2062"/>
      <c r="I9" s="2062"/>
      <c r="J9" s="2044"/>
      <c r="K9" s="2054"/>
      <c r="L9" s="2030"/>
      <c r="M9" s="2030"/>
      <c r="N9" s="2031"/>
      <c r="O9" s="2032"/>
      <c r="P9" s="2031"/>
      <c r="Q9" s="2031"/>
      <c r="R9" s="2031"/>
    </row>
    <row r="10" spans="1:19" ht="18" customHeight="1" thickTop="1">
      <c r="A10" s="2063" t="s">
        <v>1788</v>
      </c>
      <c r="B10" s="2064" t="s">
        <v>3105</v>
      </c>
      <c r="C10" s="2065"/>
      <c r="D10" s="2048"/>
      <c r="E10" s="2066" t="s">
        <v>1789</v>
      </c>
      <c r="F10" s="2067" t="s">
        <v>3106</v>
      </c>
      <c r="G10" s="2068"/>
      <c r="H10" s="2069"/>
      <c r="I10" s="2048"/>
      <c r="J10" s="2044"/>
      <c r="K10" s="2054"/>
      <c r="L10" s="2030"/>
      <c r="M10" s="2030"/>
      <c r="N10" s="2031"/>
      <c r="O10" s="2032"/>
      <c r="P10" s="2031"/>
      <c r="Q10" s="2031"/>
      <c r="R10" s="2031"/>
    </row>
    <row r="11" spans="1:19" ht="18" customHeight="1">
      <c r="A11" s="2070" t="s">
        <v>1790</v>
      </c>
      <c r="B11" s="2071"/>
      <c r="C11" s="2072"/>
      <c r="D11" s="2073"/>
      <c r="E11" s="2044"/>
      <c r="F11" s="2044"/>
      <c r="G11" s="2044"/>
      <c r="H11" s="2044"/>
      <c r="I11" s="2044"/>
      <c r="J11" s="2044"/>
      <c r="K11" s="2054"/>
      <c r="L11" s="2030"/>
      <c r="M11" s="2030"/>
      <c r="N11" s="2031"/>
      <c r="O11" s="2032"/>
      <c r="P11" s="2031"/>
      <c r="Q11" s="2031"/>
      <c r="R11" s="2031"/>
    </row>
    <row r="12" spans="1:19" ht="18" customHeight="1">
      <c r="A12" s="2074" t="s">
        <v>1791</v>
      </c>
      <c r="B12" s="2071" t="s">
        <v>3079</v>
      </c>
      <c r="C12" s="2075" t="s">
        <v>1792</v>
      </c>
      <c r="D12" s="2076" t="s">
        <v>1793</v>
      </c>
      <c r="E12" s="2076" t="s">
        <v>1794</v>
      </c>
      <c r="F12" s="2076" t="s">
        <v>1795</v>
      </c>
      <c r="G12" s="2076" t="s">
        <v>1796</v>
      </c>
      <c r="H12" s="2076" t="s">
        <v>1797</v>
      </c>
      <c r="I12" s="2076" t="s">
        <v>1798</v>
      </c>
      <c r="J12" s="2044"/>
      <c r="K12" s="2054"/>
      <c r="L12" s="2030"/>
      <c r="M12" s="2030"/>
      <c r="N12" s="2031"/>
      <c r="O12" s="2032"/>
      <c r="P12" s="2031"/>
      <c r="Q12" s="2031"/>
      <c r="R12" s="2031"/>
    </row>
    <row r="13" spans="1:19" ht="18" customHeight="1">
      <c r="A13" s="2077"/>
      <c r="B13" s="2078"/>
      <c r="C13" s="2079" t="s">
        <v>1799</v>
      </c>
      <c r="D13" s="2080"/>
      <c r="E13" s="2080">
        <v>52963</v>
      </c>
      <c r="F13" s="2080"/>
      <c r="G13" s="2080"/>
      <c r="H13" s="2080"/>
      <c r="I13" s="1049"/>
      <c r="J13" s="2044"/>
      <c r="K13" s="2054"/>
      <c r="L13" s="2030"/>
      <c r="M13" s="2030"/>
      <c r="N13" s="2031"/>
      <c r="O13" s="2032"/>
      <c r="P13" s="2031"/>
      <c r="Q13" s="2031"/>
      <c r="R13" s="2031"/>
    </row>
    <row r="14" spans="1:19" ht="18" customHeight="1">
      <c r="A14" s="2077"/>
      <c r="B14" s="2078"/>
      <c r="C14" s="2079" t="s">
        <v>1800</v>
      </c>
      <c r="D14" s="1052"/>
      <c r="E14" s="1052">
        <v>40</v>
      </c>
      <c r="F14" s="1052"/>
      <c r="G14" s="1052"/>
      <c r="H14" s="1052"/>
      <c r="I14" s="1052"/>
      <c r="J14" s="2044"/>
      <c r="K14" s="2081"/>
      <c r="L14" s="2030"/>
      <c r="M14" s="2030"/>
      <c r="N14" s="2031"/>
      <c r="O14" s="2032"/>
      <c r="P14" s="2031"/>
      <c r="Q14" s="2031"/>
      <c r="R14" s="2031"/>
    </row>
    <row r="15" spans="1:19" ht="18" customHeight="1">
      <c r="A15" s="2063"/>
      <c r="B15" s="2082"/>
      <c r="C15" s="2079" t="s">
        <v>1801</v>
      </c>
      <c r="D15" s="1051" t="str">
        <f>IF(B12="出让",IF(D13="","",ROUNDDOWN(MIN((D13-$D$3)/365,D14),2)),D14)</f>
        <v/>
      </c>
      <c r="E15" s="1051">
        <f>IF(B12="出让",IF(E13="","",ROUNDDOWN(MIN((E13-$D$3)/365,E14),2)),E14)</f>
        <v>26.82</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3"/>
      <c r="L15" s="2084"/>
      <c r="M15" s="2084"/>
      <c r="N15" s="2085"/>
      <c r="O15" s="2084"/>
      <c r="P15" s="2085"/>
      <c r="Q15" s="2031"/>
      <c r="R15" s="2031"/>
    </row>
    <row r="16" spans="1:19" ht="30.75" customHeight="1">
      <c r="A16" s="2066" t="s">
        <v>1802</v>
      </c>
      <c r="B16" s="3064"/>
      <c r="C16" s="3065"/>
      <c r="D16" s="3066"/>
      <c r="E16" s="2086" t="s">
        <v>1803</v>
      </c>
      <c r="F16" s="3067"/>
      <c r="G16" s="3068"/>
      <c r="H16" s="3068"/>
      <c r="I16" s="3069"/>
      <c r="J16" s="2031"/>
      <c r="K16" s="2083"/>
      <c r="L16" s="2084"/>
      <c r="M16" s="2084"/>
      <c r="N16" s="2085"/>
      <c r="O16" s="2084"/>
      <c r="P16" s="2085"/>
      <c r="Q16" s="2031"/>
      <c r="R16" s="2031"/>
    </row>
    <row r="17" spans="1:22" ht="18" customHeight="1">
      <c r="A17" s="2087" t="s">
        <v>1804</v>
      </c>
      <c r="B17" s="2037" t="s">
        <v>1805</v>
      </c>
      <c r="C17" s="1056">
        <f>'数据-汇总表'!E3</f>
        <v>6779.85</v>
      </c>
      <c r="D17" s="2088" t="s">
        <v>1806</v>
      </c>
      <c r="E17" s="3070" t="s">
        <v>3107</v>
      </c>
      <c r="F17" s="3071"/>
      <c r="G17" s="3071"/>
      <c r="H17" s="3071"/>
      <c r="I17" s="3072"/>
      <c r="J17" s="2031"/>
      <c r="K17" s="2089"/>
      <c r="L17" s="2084"/>
      <c r="M17" s="2084"/>
      <c r="N17" s="2085"/>
      <c r="O17" s="2084"/>
      <c r="P17" s="2085"/>
      <c r="Q17" s="2031"/>
      <c r="R17" s="2031"/>
      <c r="S17" s="2031"/>
      <c r="T17" s="2031"/>
      <c r="U17" s="2031"/>
      <c r="V17" s="2031"/>
    </row>
    <row r="18" spans="1:22" ht="36" customHeight="1" thickBot="1">
      <c r="A18" s="2090" t="s">
        <v>1807</v>
      </c>
      <c r="B18" s="2040" t="s">
        <v>1808</v>
      </c>
      <c r="C18" s="1446">
        <f>'数据-汇总表'!D3</f>
        <v>0</v>
      </c>
      <c r="D18" s="2091" t="s">
        <v>1806</v>
      </c>
      <c r="E18" s="3073" t="s">
        <v>1809</v>
      </c>
      <c r="F18" s="3074"/>
      <c r="G18" s="3074"/>
      <c r="H18" s="3074"/>
      <c r="I18" s="3075"/>
      <c r="J18" s="2031"/>
      <c r="K18" s="2089"/>
      <c r="L18" s="2084"/>
      <c r="M18" s="2084"/>
      <c r="N18" s="2085"/>
      <c r="O18" s="2084"/>
      <c r="P18" s="2085"/>
      <c r="Q18" s="2031"/>
      <c r="R18" s="2031"/>
      <c r="S18" s="2031"/>
      <c r="T18" s="2031"/>
      <c r="U18" s="2031"/>
      <c r="V18" s="2031"/>
    </row>
    <row r="19" spans="1:22" ht="37.5" customHeight="1" thickTop="1" thickBot="1">
      <c r="A19" s="373" t="s">
        <v>1810</v>
      </c>
      <c r="B19" s="352" t="s">
        <v>1811</v>
      </c>
      <c r="C19" s="2092"/>
      <c r="D19" s="2093" t="s">
        <v>1812</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1813</v>
      </c>
      <c r="B20" s="3060" t="s">
        <v>1814</v>
      </c>
      <c r="C20" s="3061"/>
      <c r="D20" s="3062" t="s">
        <v>1815</v>
      </c>
      <c r="E20" s="3063"/>
      <c r="F20" s="2098" t="s">
        <v>1816</v>
      </c>
      <c r="G20" s="2044"/>
      <c r="H20" s="2044"/>
      <c r="I20" s="2044"/>
      <c r="J20" s="2044"/>
      <c r="K20" s="3059"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1818</v>
      </c>
      <c r="C21" s="2100" t="s">
        <v>1819</v>
      </c>
      <c r="D21" s="2101" t="s">
        <v>1820</v>
      </c>
      <c r="E21" s="2102" t="s">
        <v>1819</v>
      </c>
      <c r="F21" s="2103"/>
      <c r="G21" s="2044"/>
      <c r="H21" s="2044"/>
      <c r="I21" s="2044"/>
      <c r="J21" s="2044"/>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1821</v>
      </c>
      <c r="C22" s="2100" t="s">
        <v>1822</v>
      </c>
      <c r="D22" s="2028"/>
      <c r="E22" s="2028"/>
      <c r="F22" s="2105"/>
      <c r="G22" s="2044"/>
      <c r="H22" s="2044"/>
      <c r="I22" s="2044"/>
      <c r="J22" s="2044"/>
      <c r="K22" s="305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1823</v>
      </c>
      <c r="B23" s="183" t="s">
        <v>1824</v>
      </c>
      <c r="C23" s="2107"/>
      <c r="D23" s="2108" t="s">
        <v>1824</v>
      </c>
      <c r="E23" s="2109"/>
      <c r="F23" s="2105"/>
      <c r="G23" s="2044"/>
      <c r="H23" s="2044"/>
      <c r="I23" s="2044"/>
      <c r="J23" s="2044"/>
      <c r="K23" s="2110"/>
      <c r="L23" s="747"/>
      <c r="M23" s="2030"/>
      <c r="N23" s="2085"/>
      <c r="O23" s="2084"/>
      <c r="P23" s="2085"/>
      <c r="Q23" s="2031"/>
      <c r="R23" s="2031"/>
      <c r="S23" s="2031"/>
      <c r="T23" s="2031"/>
      <c r="U23" s="2031"/>
      <c r="V23" s="2031"/>
    </row>
    <row r="24" spans="1:22" ht="18" customHeight="1">
      <c r="A24" s="2111"/>
      <c r="B24" s="183" t="s">
        <v>1825</v>
      </c>
      <c r="C24" s="2112"/>
      <c r="D24" s="2106" t="s">
        <v>1825</v>
      </c>
      <c r="E24" s="2113"/>
      <c r="F24" s="2105"/>
      <c r="G24" s="2044"/>
      <c r="H24" s="2044"/>
      <c r="I24" s="2044"/>
      <c r="J24" s="2044"/>
      <c r="K24" s="2110"/>
      <c r="L24" s="747"/>
      <c r="M24" s="2030"/>
      <c r="N24" s="2085"/>
      <c r="O24" s="2084"/>
      <c r="P24" s="2085"/>
      <c r="Q24" s="2031"/>
      <c r="R24" s="2031"/>
      <c r="S24" s="2031"/>
      <c r="T24" s="2031"/>
      <c r="U24" s="2031"/>
      <c r="V24" s="2031"/>
    </row>
    <row r="25" spans="1:22" ht="18" customHeight="1">
      <c r="A25" s="2111"/>
      <c r="B25" s="183" t="s">
        <v>1826</v>
      </c>
      <c r="C25" s="2112"/>
      <c r="D25" s="2106" t="s">
        <v>1826</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1827</v>
      </c>
      <c r="C26" s="2116"/>
      <c r="D26" s="2117" t="s">
        <v>1828</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47" t="s">
        <v>1829</v>
      </c>
      <c r="B27" s="2063" t="s">
        <v>1830</v>
      </c>
      <c r="C27" s="2120"/>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47"/>
      <c r="B28" s="2037" t="s">
        <v>1831</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47"/>
      <c r="B29" s="2037" t="s">
        <v>1832</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48"/>
      <c r="B30" s="2037" t="s">
        <v>1833</v>
      </c>
      <c r="C30" s="3049"/>
      <c r="D30" s="3050"/>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51" t="s">
        <v>1834</v>
      </c>
      <c r="B31" s="2127"/>
      <c r="C31" s="2128" t="str">
        <f>IF(B31="现房","成新及维护状况正常否",IF(B31="在建","工程状态是否正常",IF(B31="土地","是否闲置","-")))</f>
        <v>-</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52"/>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52"/>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4"/>
      <c r="C34" s="2134"/>
      <c r="D34" s="2134"/>
      <c r="E34" s="2134"/>
      <c r="F34" s="2134"/>
      <c r="G34" s="2134"/>
      <c r="H34" s="2134"/>
      <c r="I34" s="2044"/>
      <c r="J34" s="2044"/>
      <c r="K34" s="1797">
        <f>COUNTIF(B34:H34,"——")</f>
        <v>0</v>
      </c>
      <c r="L34" s="2075" t="s">
        <v>1836</v>
      </c>
      <c r="M34" s="2075" t="s">
        <v>1837</v>
      </c>
      <c r="N34" s="2075" t="s">
        <v>1838</v>
      </c>
      <c r="O34" s="2075" t="s">
        <v>1839</v>
      </c>
      <c r="P34" s="2075" t="s">
        <v>1840</v>
      </c>
      <c r="Q34" s="2075" t="s">
        <v>1841</v>
      </c>
      <c r="R34" s="2075" t="s">
        <v>1842</v>
      </c>
      <c r="S34" s="3046" t="s">
        <v>1843</v>
      </c>
      <c r="T34" s="2135" t="str">
        <f>NUMBERSTRING(7-K34,1)&amp;"通"</f>
        <v>七通</v>
      </c>
      <c r="U34" s="2031"/>
      <c r="V34" s="2031"/>
    </row>
    <row r="35" spans="1:22" ht="18" customHeight="1">
      <c r="A35" s="2136"/>
      <c r="B35" s="3053" t="s">
        <v>1844</v>
      </c>
      <c r="C35" s="3053"/>
      <c r="D35" s="3053"/>
      <c r="E35" s="3053"/>
      <c r="F35" s="2137">
        <f>C10</f>
        <v>0</v>
      </c>
      <c r="G35" s="2044"/>
      <c r="H35" s="2044"/>
      <c r="I35" s="2044"/>
      <c r="J35" s="2044"/>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31"/>
      <c r="V35" s="2031"/>
    </row>
    <row r="36" spans="1:22" ht="18" customHeight="1">
      <c r="A36" s="2138"/>
      <c r="B36" s="2137" t="s">
        <v>1845</v>
      </c>
      <c r="C36" s="2137" t="s">
        <v>1846</v>
      </c>
      <c r="D36" s="2137" t="s">
        <v>1847</v>
      </c>
      <c r="E36" s="2137" t="s">
        <v>1848</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1849</v>
      </c>
      <c r="B37" s="2141"/>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1850</v>
      </c>
      <c r="B38" s="2143"/>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5"/>
      <c r="L40" s="2084"/>
      <c r="M40" s="2084"/>
      <c r="N40" s="2085"/>
      <c r="O40" s="2084"/>
      <c r="P40" s="2031"/>
      <c r="Q40" s="2031"/>
      <c r="R40" s="2031"/>
      <c r="S40" s="2031"/>
      <c r="T40" s="2031"/>
      <c r="U40" s="2031"/>
      <c r="V40" s="2031"/>
    </row>
    <row r="41" spans="1:22" ht="18" customHeight="1">
      <c r="A41" s="8" t="s">
        <v>1852</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1853</v>
      </c>
      <c r="B42" s="1797" t="s">
        <v>1854</v>
      </c>
      <c r="C42" s="1797" t="s">
        <v>1855</v>
      </c>
      <c r="D42" s="1797" t="s">
        <v>1856</v>
      </c>
      <c r="E42" s="1797" t="s">
        <v>1857</v>
      </c>
      <c r="F42" s="1797" t="s">
        <v>1858</v>
      </c>
      <c r="G42" s="1797" t="s">
        <v>1859</v>
      </c>
      <c r="H42" s="1797" t="s">
        <v>1860</v>
      </c>
      <c r="I42" s="1797" t="s">
        <v>1861</v>
      </c>
      <c r="J42" s="2153" t="s">
        <v>1862</v>
      </c>
      <c r="K42" s="2076" t="s">
        <v>1863</v>
      </c>
      <c r="L42" s="2076" t="s">
        <v>1864</v>
      </c>
      <c r="M42" s="2076" t="s">
        <v>1865</v>
      </c>
      <c r="N42" s="1797" t="s">
        <v>1866</v>
      </c>
      <c r="O42" s="1797" t="s">
        <v>1867</v>
      </c>
      <c r="P42" s="1797" t="s">
        <v>1868</v>
      </c>
      <c r="Q42" s="2075" t="s">
        <v>1869</v>
      </c>
      <c r="R42" s="2075" t="s">
        <v>1870</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topLeftCell="B1" workbookViewId="0">
      <selection activeCell="H16" sqref="H16"/>
    </sheetView>
  </sheetViews>
  <sheetFormatPr defaultRowHeight="13.5"/>
  <cols>
    <col min="1" max="1" width="11.875" customWidth="1"/>
    <col min="2" max="2" width="7.625" customWidth="1"/>
    <col min="4" max="4" width="23.375" customWidth="1"/>
  </cols>
  <sheetData>
    <row r="1" spans="1:10" ht="25.5">
      <c r="A1" s="2943" t="s">
        <v>3052</v>
      </c>
      <c r="B1" s="2944" t="s">
        <v>3053</v>
      </c>
      <c r="C1" s="2944" t="s">
        <v>3054</v>
      </c>
      <c r="D1" s="2943" t="s">
        <v>3055</v>
      </c>
      <c r="E1" s="2943" t="s">
        <v>3056</v>
      </c>
      <c r="F1" s="2944" t="s">
        <v>3057</v>
      </c>
      <c r="G1" s="2944" t="s">
        <v>3058</v>
      </c>
    </row>
    <row r="2" spans="1:10">
      <c r="A2" s="2945">
        <v>1</v>
      </c>
      <c r="B2" s="2945">
        <v>48</v>
      </c>
      <c r="C2" s="2945">
        <v>46</v>
      </c>
      <c r="D2" s="3076" t="s">
        <v>3060</v>
      </c>
      <c r="E2" s="2946" t="s">
        <v>3059</v>
      </c>
      <c r="F2" s="2946">
        <v>1</v>
      </c>
      <c r="G2" s="2945">
        <v>2542.7199999999998</v>
      </c>
    </row>
    <row r="3" spans="1:10">
      <c r="A3" s="2945">
        <v>2</v>
      </c>
      <c r="B3" s="2945">
        <v>48</v>
      </c>
      <c r="C3" s="2945">
        <v>201</v>
      </c>
      <c r="D3" s="3076"/>
      <c r="E3" s="2946" t="s">
        <v>3059</v>
      </c>
      <c r="F3" s="2945">
        <v>2</v>
      </c>
      <c r="G3" s="2945">
        <v>3047.94</v>
      </c>
      <c r="J3">
        <f>G2/G4</f>
        <v>0.45481571048856484</v>
      </c>
    </row>
    <row r="4" spans="1:10">
      <c r="A4" s="3077" t="s">
        <v>3061</v>
      </c>
      <c r="B4" s="3078"/>
      <c r="C4" s="3078"/>
      <c r="D4" s="3078"/>
      <c r="E4" s="3079"/>
      <c r="F4" s="2946" t="s">
        <v>3064</v>
      </c>
      <c r="G4" s="2945">
        <f>G2+G3</f>
        <v>5590.66</v>
      </c>
      <c r="J4">
        <f>G3/G4</f>
        <v>0.54518428951143516</v>
      </c>
    </row>
    <row r="5" spans="1:10">
      <c r="A5" s="2945">
        <v>1</v>
      </c>
      <c r="B5" s="2945">
        <v>11</v>
      </c>
      <c r="C5" s="2946" t="s">
        <v>3064</v>
      </c>
      <c r="D5" s="2946" t="s">
        <v>3065</v>
      </c>
      <c r="E5" s="2946" t="s">
        <v>3063</v>
      </c>
      <c r="F5" s="2945">
        <v>-1</v>
      </c>
      <c r="G5" s="2945">
        <v>1189.19</v>
      </c>
    </row>
    <row r="6" spans="1:10">
      <c r="A6" s="3077" t="s">
        <v>3062</v>
      </c>
      <c r="B6" s="3078"/>
      <c r="C6" s="3078"/>
      <c r="D6" s="3078"/>
      <c r="E6" s="3079"/>
      <c r="F6" s="2946" t="s">
        <v>3064</v>
      </c>
      <c r="G6" s="2945">
        <v>1189.19</v>
      </c>
    </row>
    <row r="7" spans="1:10">
      <c r="A7" s="3077" t="s">
        <v>3066</v>
      </c>
      <c r="B7" s="3078"/>
      <c r="C7" s="3078"/>
      <c r="D7" s="3078"/>
      <c r="E7" s="3079"/>
      <c r="F7" s="2946" t="s">
        <v>3064</v>
      </c>
      <c r="G7" s="2945">
        <f>G4+G6</f>
        <v>6779.85</v>
      </c>
    </row>
    <row r="11" spans="1:10">
      <c r="J11">
        <f>0.55*0.7+0.45</f>
        <v>0.83499999999999996</v>
      </c>
    </row>
    <row r="14" spans="1:10">
      <c r="E14">
        <v>2.38</v>
      </c>
      <c r="I14">
        <f>E14/J11</f>
        <v>2.8502994011976046</v>
      </c>
    </row>
  </sheetData>
  <mergeCells count="4">
    <mergeCell ref="D2:D3"/>
    <mergeCell ref="A4:E4"/>
    <mergeCell ref="A7:E7"/>
    <mergeCell ref="A6:E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1876</v>
      </c>
      <c r="AZ2" s="1272"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6779.85</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5"/>
      <c r="C5" s="1805"/>
      <c r="D5" s="1808"/>
      <c r="E5" s="16" t="s">
        <v>1</v>
      </c>
      <c r="F5" s="16">
        <f>SUM(F13:F587)</f>
        <v>0</v>
      </c>
      <c r="G5" s="16">
        <f>SUM(G13:G587)</f>
        <v>6779.85</v>
      </c>
      <c r="H5" s="16">
        <f t="shared" ref="H5:AT5" si="0">SUM(H13:H656)</f>
        <v>6779.85</v>
      </c>
      <c r="I5" s="16">
        <f t="shared" si="0"/>
        <v>5590.66</v>
      </c>
      <c r="J5" s="16">
        <f t="shared" si="0"/>
        <v>0</v>
      </c>
      <c r="K5" s="16">
        <f t="shared" si="0"/>
        <v>1189.19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6779.85</v>
      </c>
      <c r="BA5" s="18">
        <f t="shared" si="1"/>
        <v>6779.85</v>
      </c>
      <c r="BB5" s="18">
        <f t="shared" si="1"/>
        <v>5590.66</v>
      </c>
      <c r="BC5" s="18">
        <f t="shared" si="1"/>
        <v>1189.19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1889</v>
      </c>
      <c r="AV7" s="23" t="s">
        <v>1890</v>
      </c>
      <c r="AW7" s="2167" t="s">
        <v>1891</v>
      </c>
      <c r="AX7" s="23" t="s">
        <v>1884</v>
      </c>
      <c r="AY7" s="1805"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20"/>
      <c r="K8" s="1820"/>
      <c r="L8" s="1820"/>
      <c r="M8" s="1820"/>
      <c r="N8" s="1820"/>
      <c r="O8" s="1820"/>
      <c r="P8" s="1820"/>
      <c r="Q8" s="1820"/>
      <c r="R8" s="1820"/>
      <c r="S8" s="1820"/>
      <c r="T8" s="1820"/>
      <c r="U8" s="1820"/>
      <c r="V8" s="2187"/>
      <c r="W8" s="1820"/>
      <c r="X8" s="1820"/>
      <c r="Y8" s="1820"/>
      <c r="Z8" s="1820"/>
      <c r="AA8" s="2187"/>
      <c r="AB8" s="2188"/>
      <c r="AC8" s="983" t="s">
        <v>1895</v>
      </c>
      <c r="AD8" s="2189"/>
      <c r="AE8" s="2181"/>
      <c r="AF8" s="1820"/>
      <c r="AG8" s="1820"/>
      <c r="AH8" s="1820"/>
      <c r="AI8" s="1820"/>
      <c r="AJ8" s="1820"/>
      <c r="AK8" s="1820"/>
      <c r="AL8" s="1820"/>
      <c r="AM8" s="1820"/>
      <c r="AN8" s="1820"/>
      <c r="AO8" s="1820"/>
      <c r="AP8" s="1820"/>
      <c r="AQ8" s="1820"/>
      <c r="AR8" s="1820"/>
      <c r="AS8" s="1820"/>
      <c r="AT8" s="1294" t="s">
        <v>1896</v>
      </c>
      <c r="AU8" s="2183" t="s">
        <v>1897</v>
      </c>
      <c r="AV8" s="1294"/>
      <c r="AW8" s="2166"/>
      <c r="AX8" s="1294"/>
      <c r="AY8" s="2167"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1900</v>
      </c>
      <c r="I9" s="2192" t="s">
        <v>3070</v>
      </c>
      <c r="J9" s="983"/>
      <c r="K9" s="2192" t="s">
        <v>3071</v>
      </c>
      <c r="L9" s="983"/>
      <c r="M9" s="2192"/>
      <c r="N9" s="983"/>
      <c r="O9" s="2192"/>
      <c r="P9" s="983"/>
      <c r="Q9" s="2192"/>
      <c r="R9" s="983"/>
      <c r="S9" s="2192"/>
      <c r="T9" s="983"/>
      <c r="U9" s="2192"/>
      <c r="V9" s="983"/>
      <c r="W9" s="2192"/>
      <c r="X9" s="2193"/>
      <c r="Y9" s="2192"/>
      <c r="Z9" s="983"/>
      <c r="AA9" s="2192"/>
      <c r="AB9" s="983"/>
      <c r="AC9" s="2184"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4"/>
      <c r="AT9" s="2183"/>
      <c r="AU9" s="2183" t="s">
        <v>1903</v>
      </c>
      <c r="AV9" s="1294"/>
      <c r="AW9" s="2166"/>
      <c r="AX9" s="1294"/>
      <c r="AY9" s="28"/>
      <c r="AZ9" s="28" t="s">
        <v>1893</v>
      </c>
      <c r="BA9" s="2195" t="s">
        <v>1904</v>
      </c>
      <c r="BB9" s="2196"/>
      <c r="BC9" s="1340"/>
      <c r="BD9" s="1340"/>
      <c r="BE9" s="1340"/>
      <c r="BF9" s="1340"/>
      <c r="BG9" s="1340"/>
      <c r="BH9" s="1340"/>
      <c r="BI9" s="1340"/>
      <c r="BJ9" s="1340"/>
      <c r="BK9" s="2197"/>
      <c r="BL9" s="15" t="s">
        <v>1905</v>
      </c>
      <c r="BM9" s="1820"/>
      <c r="BN9" s="2186"/>
      <c r="BO9" s="1820"/>
      <c r="BP9" s="1820"/>
      <c r="BQ9" s="1820"/>
      <c r="BR9" s="1820"/>
      <c r="BS9" s="1820"/>
      <c r="BT9" s="26"/>
    </row>
    <row r="10" spans="1:72" s="2190" customFormat="1" ht="12.75">
      <c r="A10" s="2183"/>
      <c r="B10" s="2183"/>
      <c r="C10" s="2183"/>
      <c r="D10" s="2183"/>
      <c r="E10" s="2183"/>
      <c r="F10" s="2183"/>
      <c r="G10" s="1294"/>
      <c r="H10" s="28"/>
      <c r="I10" s="2192" t="s">
        <v>1377</v>
      </c>
      <c r="J10" s="983"/>
      <c r="K10" s="2198" t="s">
        <v>1377</v>
      </c>
      <c r="L10" s="983"/>
      <c r="M10" s="2198"/>
      <c r="N10" s="983"/>
      <c r="O10" s="2198"/>
      <c r="P10" s="983"/>
      <c r="Q10" s="2198"/>
      <c r="R10" s="983"/>
      <c r="S10" s="2198"/>
      <c r="T10" s="983"/>
      <c r="U10" s="2198"/>
      <c r="V10" s="983"/>
      <c r="W10" s="2198"/>
      <c r="X10" s="983"/>
      <c r="Y10" s="2198"/>
      <c r="Z10" s="983"/>
      <c r="AA10" s="2198"/>
      <c r="AB10" s="983"/>
      <c r="AC10" s="1294"/>
      <c r="AD10" s="15" t="s">
        <v>1906</v>
      </c>
      <c r="AE10" s="2199"/>
      <c r="AF10" s="15" t="s">
        <v>1906</v>
      </c>
      <c r="AG10" s="2199"/>
      <c r="AH10" s="15" t="s">
        <v>1907</v>
      </c>
      <c r="AI10" s="2199"/>
      <c r="AJ10" s="15" t="s">
        <v>1907</v>
      </c>
      <c r="AK10" s="2199"/>
      <c r="AL10" s="15" t="s">
        <v>1908</v>
      </c>
      <c r="AM10" s="1300"/>
      <c r="AN10" s="15" t="s">
        <v>1908</v>
      </c>
      <c r="AO10" s="1300"/>
      <c r="AP10" s="15" t="s">
        <v>1909</v>
      </c>
      <c r="AQ10" s="1300"/>
      <c r="AR10" s="15" t="s">
        <v>1909</v>
      </c>
      <c r="AS10" s="1300"/>
      <c r="AT10" s="2183"/>
      <c r="AU10" s="2183"/>
      <c r="AV10" s="1294"/>
      <c r="AW10" s="2166"/>
      <c r="AX10" s="1294"/>
      <c r="AY10" s="28"/>
      <c r="AZ10" s="28"/>
      <c r="BA10" s="2200" t="s">
        <v>1900</v>
      </c>
      <c r="BB10" s="2201" t="str">
        <f>I9</f>
        <v>地上</v>
      </c>
      <c r="BC10" s="29" t="str">
        <f>K9</f>
        <v>地下</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3072</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1910</v>
      </c>
      <c r="AE11" s="1821"/>
      <c r="AF11" s="2205" t="s">
        <v>1910</v>
      </c>
      <c r="AG11" s="1821"/>
      <c r="AH11" s="2205" t="s">
        <v>1911</v>
      </c>
      <c r="AI11" s="2206"/>
      <c r="AJ11" s="2205" t="s">
        <v>1911</v>
      </c>
      <c r="AK11" s="1821"/>
      <c r="AL11" s="1819"/>
      <c r="AM11" s="1821"/>
      <c r="AN11" s="1819"/>
      <c r="AO11" s="1821"/>
      <c r="AP11" s="1819"/>
      <c r="AQ11" s="1821"/>
      <c r="AR11" s="1819"/>
      <c r="AS11" s="1821"/>
      <c r="AT11" s="2166"/>
      <c r="AU11" s="2183"/>
      <c r="AV11" s="1294"/>
      <c r="AW11" s="2166"/>
      <c r="AX11" s="1294"/>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0"/>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底商</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3109</v>
      </c>
      <c r="D13" s="2214" t="s">
        <v>3069</v>
      </c>
      <c r="E13" s="16">
        <f>IF($C$3="是",ROUND($A$3*G13/$B$3,2),ROUND($A$3*(G13-AT13)/$B$3,2))</f>
        <v>0</v>
      </c>
      <c r="F13" s="32"/>
      <c r="G13" s="33">
        <f>H13+AC13+AT13</f>
        <v>5590.66</v>
      </c>
      <c r="H13" s="20">
        <f>SUMIF(I$12:AB$12,"总值",I13:AB13)</f>
        <v>5590.66</v>
      </c>
      <c r="I13" s="2215">
        <f>面积清单!G4</f>
        <v>5590.66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48号楼商业</v>
      </c>
      <c r="AY13" s="1808">
        <f>ROUND($AY$6*AZ13/$AZ$5,2)</f>
        <v>0</v>
      </c>
      <c r="AZ13" s="16">
        <f>BA13+BL13</f>
        <v>5590.66</v>
      </c>
      <c r="BA13" s="16">
        <f>SUM(BB13:BK13)</f>
        <v>5590.66</v>
      </c>
      <c r="BB13" s="16">
        <f>IF($D13="是",I13-J13,0)</f>
        <v>5590.66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25.5">
      <c r="A14" s="1274"/>
      <c r="B14" s="1274"/>
      <c r="C14" s="2154" t="s">
        <v>3067</v>
      </c>
      <c r="D14" s="2214" t="s">
        <v>3108</v>
      </c>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48号楼2层商业</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4"/>
      <c r="B15" s="1274"/>
      <c r="C15" s="2154" t="s">
        <v>3068</v>
      </c>
      <c r="D15" s="2214" t="s">
        <v>3069</v>
      </c>
      <c r="E15" s="16">
        <f>IF($C$3="是",ROUND($A$3*G15/$B$3,2),ROUND($A$3*(G15-AT15)/$B$3,2))</f>
        <v>0</v>
      </c>
      <c r="F15" s="32"/>
      <c r="G15" s="33">
        <f>H15+AC15+AT15</f>
        <v>1189.19</v>
      </c>
      <c r="H15" s="20">
        <f>SUMIF(I$12:AB$12,"总值",I15:AB15)</f>
        <v>1189.19</v>
      </c>
      <c r="I15" s="2215"/>
      <c r="J15" s="2215"/>
      <c r="K15" s="2215">
        <f>面积清单!G5</f>
        <v>1189.19</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11号楼地下商业</v>
      </c>
      <c r="AY15" s="1808">
        <f>ROUND($AY$6*AZ15/$AZ$5,2)</f>
        <v>0</v>
      </c>
      <c r="AZ15" s="16">
        <f>BA15+BL15</f>
        <v>1189.19</v>
      </c>
      <c r="BA15" s="16">
        <f>SUM(BB15:BK15)</f>
        <v>1189.19</v>
      </c>
      <c r="BB15" s="16">
        <f>IF($D15="是",I15-J15,0)</f>
        <v>0</v>
      </c>
      <c r="BC15" s="16">
        <f>IF($D15="是",K15-L15,0)</f>
        <v>1189.19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4"/>
      <c r="C1" s="1394"/>
      <c r="D1" s="1394"/>
      <c r="E1" s="1394"/>
      <c r="F1" s="1394"/>
      <c r="G1" s="1394"/>
      <c r="H1" s="1394"/>
      <c r="I1" s="1394"/>
      <c r="J1" s="1394"/>
      <c r="K1" s="1394"/>
      <c r="L1" s="1394"/>
      <c r="M1" s="1394"/>
      <c r="N1" s="1394"/>
      <c r="O1" s="1394"/>
      <c r="P1" s="1394"/>
    </row>
    <row r="2" spans="1:16" ht="15">
      <c r="A2" s="3091" t="s">
        <v>1940</v>
      </c>
      <c r="B2" s="3091"/>
      <c r="C2" s="3091"/>
      <c r="D2" s="969" t="s">
        <v>1916</v>
      </c>
      <c r="E2" s="2228" t="s">
        <v>1917</v>
      </c>
      <c r="F2" s="1394"/>
      <c r="G2" s="2229"/>
      <c r="H2" s="2230"/>
      <c r="I2" s="2231" t="s">
        <v>1941</v>
      </c>
      <c r="J2" s="1394"/>
      <c r="K2" s="1394"/>
      <c r="L2" s="1394"/>
      <c r="M2" s="1394"/>
      <c r="N2" s="1429"/>
      <c r="O2" s="1394"/>
      <c r="P2" s="1394"/>
    </row>
    <row r="3" spans="1:16" ht="15.75" thickBot="1">
      <c r="A3" s="3092" t="s">
        <v>1914</v>
      </c>
      <c r="B3" s="3092"/>
      <c r="C3" s="3092"/>
      <c r="D3" s="46">
        <f>'数据-基础表'!AY6</f>
        <v>0</v>
      </c>
      <c r="E3" s="46">
        <f>'数据-基础表'!AZ5</f>
        <v>6779.85</v>
      </c>
      <c r="F3" s="1394"/>
      <c r="G3" s="1401"/>
      <c r="H3" s="1249" t="s">
        <v>1915</v>
      </c>
      <c r="I3" s="55" t="e">
        <f>ROUND('数据-基础表'!B3/'数据-基础表'!A3,2)</f>
        <v>#DIV/0!</v>
      </c>
      <c r="J3" s="1394"/>
      <c r="K3" s="1394"/>
      <c r="L3" s="1394"/>
      <c r="M3" s="1394"/>
      <c r="N3" s="1429"/>
      <c r="O3" s="1394"/>
      <c r="P3" s="1394"/>
    </row>
    <row r="4" spans="1:16" ht="15">
      <c r="A4" s="3093"/>
      <c r="B4" s="3094"/>
      <c r="C4" s="3095"/>
      <c r="D4" s="2232" t="s">
        <v>1916</v>
      </c>
      <c r="E4" s="2233" t="s">
        <v>1917</v>
      </c>
      <c r="F4" s="1394"/>
      <c r="G4" s="2234" t="s">
        <v>1942</v>
      </c>
      <c r="H4" s="1249" t="s">
        <v>1922</v>
      </c>
      <c r="I4" s="55" t="e">
        <f>ROUND(SUMIF('数据-基础表'!I9:AS9,"地上",'数据-基础表'!I5:AS5)/'数据-基础表'!A3,2)</f>
        <v>#DIV/0!</v>
      </c>
      <c r="J4" s="1394"/>
      <c r="K4" s="1394"/>
      <c r="L4" s="1394"/>
      <c r="M4" s="1394"/>
      <c r="N4" s="1429"/>
      <c r="O4" s="1394"/>
      <c r="P4" s="1394"/>
    </row>
    <row r="5" spans="1:16">
      <c r="A5" s="47" t="s">
        <v>1918</v>
      </c>
      <c r="B5" s="3096" t="s">
        <v>1919</v>
      </c>
      <c r="C5" s="3096"/>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5"/>
      <c r="B6" s="3096" t="s">
        <v>1920</v>
      </c>
      <c r="C6" s="3096"/>
      <c r="D6" s="48">
        <f>ROUND($D$3*E6/$E$3,2)</f>
        <v>0</v>
      </c>
      <c r="E6" s="49">
        <f>E3-E5</f>
        <v>6779.85</v>
      </c>
      <c r="F6" s="1394"/>
      <c r="G6" s="2236" t="s">
        <v>1921</v>
      </c>
      <c r="H6" s="1401" t="s">
        <v>1922</v>
      </c>
      <c r="I6" s="941" t="e">
        <f>ROUND(F31/D31,2)</f>
        <v>#DIV/0!</v>
      </c>
      <c r="J6" s="1394"/>
      <c r="K6" s="1394"/>
      <c r="L6" s="1394"/>
      <c r="M6" s="1394"/>
      <c r="N6" s="1394"/>
      <c r="O6" s="1394"/>
      <c r="P6" s="1394"/>
    </row>
    <row r="7" spans="1:16" ht="15">
      <c r="A7" s="3088"/>
      <c r="B7" s="3089"/>
      <c r="C7" s="3090"/>
      <c r="D7" s="2232" t="s">
        <v>1916</v>
      </c>
      <c r="E7" s="2237" t="s">
        <v>1923</v>
      </c>
      <c r="F7" s="1394"/>
      <c r="G7" s="2229" t="s">
        <v>1924</v>
      </c>
      <c r="H7" s="64"/>
      <c r="I7" s="420"/>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5590.66</v>
      </c>
      <c r="F8" s="1394"/>
      <c r="G8" s="2238"/>
      <c r="H8" s="2238"/>
      <c r="I8" s="1394"/>
      <c r="J8" s="1394"/>
      <c r="K8" s="1394"/>
      <c r="L8" s="1394"/>
      <c r="M8" s="1394"/>
      <c r="N8" s="1394"/>
      <c r="O8" s="1394"/>
      <c r="P8" s="1394"/>
    </row>
    <row r="9" spans="1:16">
      <c r="A9" s="2239"/>
      <c r="B9" s="2240"/>
      <c r="C9" s="48" t="s">
        <v>1928</v>
      </c>
      <c r="D9" s="48">
        <f t="shared" si="0"/>
        <v>0</v>
      </c>
      <c r="E9" s="52">
        <v>0</v>
      </c>
      <c r="F9" s="1394"/>
      <c r="G9" s="2238"/>
      <c r="H9" s="2238"/>
      <c r="I9" s="1394"/>
      <c r="J9" s="1394"/>
      <c r="K9" s="1394"/>
      <c r="L9" s="1394"/>
      <c r="M9" s="1394"/>
      <c r="N9" s="1394"/>
      <c r="O9" s="1394"/>
      <c r="P9" s="1394"/>
    </row>
    <row r="10" spans="1:16">
      <c r="A10" s="2239"/>
      <c r="B10" s="2240"/>
      <c r="C10" s="48" t="s">
        <v>1937</v>
      </c>
      <c r="D10" s="48">
        <f t="shared" si="0"/>
        <v>0</v>
      </c>
      <c r="E10" s="51">
        <f>SUMPRODUCT(('数据-基础表'!BB10:BK10="地下")*('数据-基础表'!BB11:BK11="商业")*('数据-基础表'!BB5:BK5))</f>
        <v>1189.19</v>
      </c>
      <c r="F10" s="1394"/>
      <c r="G10" s="2238"/>
      <c r="H10" s="2238"/>
      <c r="I10" s="1394"/>
      <c r="J10" s="1394"/>
      <c r="K10" s="1394"/>
      <c r="L10" s="1394"/>
      <c r="M10" s="1394"/>
      <c r="N10" s="1394"/>
      <c r="O10" s="1394"/>
      <c r="P10" s="1394"/>
    </row>
    <row r="11" spans="1:16">
      <c r="A11" s="2239"/>
      <c r="B11" s="2240"/>
      <c r="C11" s="48" t="s">
        <v>1929</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1930</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1931</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1943</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1938</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1932</v>
      </c>
      <c r="D16" s="50">
        <f>SUM(D8:D15)</f>
        <v>0</v>
      </c>
      <c r="E16" s="53">
        <f>SUM(E8:E15)</f>
        <v>6779.85</v>
      </c>
      <c r="F16" s="1394"/>
      <c r="G16" s="2238"/>
      <c r="H16" s="2241" t="s">
        <v>1944</v>
      </c>
      <c r="I16" s="2242"/>
      <c r="J16" s="1394"/>
      <c r="K16" s="3085" t="s">
        <v>1944</v>
      </c>
      <c r="L16" s="3086"/>
      <c r="M16" s="3086"/>
      <c r="N16" s="3086"/>
      <c r="O16" s="3086"/>
      <c r="P16" s="3087"/>
    </row>
    <row r="17" spans="1:19" ht="15">
      <c r="A17" s="2243" t="s">
        <v>1945</v>
      </c>
      <c r="B17" s="2244" t="s">
        <v>1946</v>
      </c>
      <c r="C17" s="2245" t="s">
        <v>1947</v>
      </c>
      <c r="D17" s="2246" t="s">
        <v>1935</v>
      </c>
      <c r="E17" s="2247" t="s">
        <v>1936</v>
      </c>
      <c r="F17" s="2248"/>
      <c r="G17" s="2249"/>
      <c r="H17" s="2250" t="s">
        <v>1948</v>
      </c>
      <c r="I17" s="2251" t="s">
        <v>1933</v>
      </c>
      <c r="J17" s="1394"/>
      <c r="K17" s="3082" t="s">
        <v>1949</v>
      </c>
      <c r="L17" s="3083"/>
      <c r="M17" s="3084"/>
      <c r="N17" s="3082" t="s">
        <v>1950</v>
      </c>
      <c r="O17" s="3083"/>
      <c r="P17" s="3084"/>
      <c r="R17" s="2229" t="s">
        <v>1951</v>
      </c>
      <c r="S17" s="64"/>
    </row>
    <row r="18" spans="1:19" ht="15">
      <c r="A18" s="2239"/>
      <c r="B18" s="2252"/>
      <c r="C18" s="2253"/>
      <c r="D18" s="2254"/>
      <c r="E18" s="2255" t="s">
        <v>1952</v>
      </c>
      <c r="F18" s="2256" t="s">
        <v>1953</v>
      </c>
      <c r="G18" s="2257" t="s">
        <v>1954</v>
      </c>
      <c r="H18" s="1264" t="s">
        <v>1955</v>
      </c>
      <c r="I18" s="2258" t="s">
        <v>1956</v>
      </c>
      <c r="J18" s="1394"/>
      <c r="K18" s="1264" t="s">
        <v>1957</v>
      </c>
      <c r="L18" s="2259" t="s">
        <v>1958</v>
      </c>
      <c r="M18" s="1048" t="s">
        <v>1959</v>
      </c>
      <c r="N18" s="1264" t="s">
        <v>1957</v>
      </c>
      <c r="O18" s="2259" t="s">
        <v>1958</v>
      </c>
      <c r="P18" s="1048" t="s">
        <v>1959</v>
      </c>
      <c r="R18" s="1249" t="s">
        <v>1960</v>
      </c>
      <c r="S18" s="1249" t="s">
        <v>1961</v>
      </c>
    </row>
    <row r="19" spans="1:19">
      <c r="A19" s="2260"/>
      <c r="B19" s="50" t="s">
        <v>1934</v>
      </c>
      <c r="C19" s="2261" t="s">
        <v>3112</v>
      </c>
      <c r="D19" s="48">
        <f>ROUND($D$3*E19/$E$3,2)</f>
        <v>0</v>
      </c>
      <c r="E19" s="56">
        <f t="shared" ref="E19:E26" si="1">SUM(F19:G19)</f>
        <v>5590.66</v>
      </c>
      <c r="F19" s="57">
        <f>'数据-基础表'!I13</f>
        <v>5590.66</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5590.66</v>
      </c>
    </row>
    <row r="20" spans="1:19">
      <c r="A20" s="2264"/>
      <c r="B20" s="50" t="s">
        <v>1962</v>
      </c>
      <c r="C20" s="2261" t="s">
        <v>3073</v>
      </c>
      <c r="D20" s="48">
        <f t="shared" ref="D20:D26" si="6">ROUND($D$3*E20/$E$3,2)</f>
        <v>0</v>
      </c>
      <c r="E20" s="56">
        <f t="shared" si="1"/>
        <v>0</v>
      </c>
      <c r="F20" s="57">
        <f>'数据-基础表'!I14</f>
        <v>0</v>
      </c>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1962</v>
      </c>
      <c r="C21" s="2261" t="s">
        <v>3074</v>
      </c>
      <c r="D21" s="48">
        <f t="shared" si="6"/>
        <v>0</v>
      </c>
      <c r="E21" s="56">
        <f t="shared" si="1"/>
        <v>1189.19</v>
      </c>
      <c r="F21" s="57"/>
      <c r="G21" s="58">
        <f>'数据-基础表'!K15</f>
        <v>1189.19</v>
      </c>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1189.19</v>
      </c>
    </row>
    <row r="22" spans="1:19">
      <c r="A22" s="2264"/>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1963</v>
      </c>
      <c r="D27" s="1395">
        <f>SUM(D19:D26)</f>
        <v>0</v>
      </c>
      <c r="E27" s="1396">
        <f>IF(SUM(E19:E26)='数据-基础表'!BA5,SUM(E19:E26),IF(F27="地上面积有误","面积有误","地下面积有误"))</f>
        <v>6779.85</v>
      </c>
      <c r="F27" s="1395">
        <f>IF(SUM(F19:F26)=E8,SUM(F19:F26),"地上面积有误")</f>
        <v>5590.66</v>
      </c>
      <c r="G27" s="1397">
        <f>SUM(G19:G26)</f>
        <v>1189.19</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6779.85</v>
      </c>
    </row>
    <row r="28" spans="1:19">
      <c r="A28" s="2264"/>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1964</v>
      </c>
      <c r="C29" s="2268"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1967</v>
      </c>
      <c r="D31" s="728">
        <f>D27+D30</f>
        <v>0</v>
      </c>
      <c r="E31" s="728">
        <f>E27+E30</f>
        <v>6779.85</v>
      </c>
      <c r="F31" s="729">
        <f>F27+F30</f>
        <v>5590.66</v>
      </c>
      <c r="G31" s="730">
        <f>G27+G30</f>
        <v>1189.19</v>
      </c>
      <c r="H31" s="1394"/>
      <c r="I31" s="1394"/>
      <c r="J31" s="1394"/>
      <c r="K31" s="1394"/>
      <c r="L31" s="1394"/>
      <c r="M31" s="1394"/>
      <c r="N31" s="1394"/>
      <c r="O31" s="1394"/>
      <c r="P31" s="1394"/>
    </row>
    <row r="32" spans="1:19">
      <c r="A32" s="2234"/>
      <c r="B32" s="2234" t="s">
        <v>1968</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29" width="6.75" style="2276" customWidth="1"/>
    <col min="30" max="30" width="10.12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1"/>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1970</v>
      </c>
      <c r="B2" s="1268">
        <f>项目基本情况!D3</f>
        <v>43172</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1977</v>
      </c>
      <c r="B5" s="2291" t="s">
        <v>1978</v>
      </c>
      <c r="C5" s="2292" t="s">
        <v>1979</v>
      </c>
      <c r="D5" s="2293" t="s">
        <v>1980</v>
      </c>
      <c r="E5" s="1270" t="s">
        <v>1981</v>
      </c>
      <c r="F5" s="2294" t="s">
        <v>1982</v>
      </c>
      <c r="G5" s="1270" t="s">
        <v>1983</v>
      </c>
      <c r="H5" s="1270" t="s">
        <v>1984</v>
      </c>
      <c r="I5" s="1270" t="s">
        <v>1985</v>
      </c>
      <c r="J5" s="2295" t="s">
        <v>1986</v>
      </c>
      <c r="K5" s="2296" t="s">
        <v>1987</v>
      </c>
      <c r="L5" s="2297" t="s">
        <v>1988</v>
      </c>
      <c r="M5" s="2298" t="s">
        <v>1989</v>
      </c>
      <c r="N5" s="2299" t="s">
        <v>3075</v>
      </c>
      <c r="O5" s="2297" t="s">
        <v>1990</v>
      </c>
      <c r="P5" s="2300" t="s">
        <v>1991</v>
      </c>
      <c r="Q5" s="69" t="s">
        <v>1992</v>
      </c>
      <c r="R5" s="2301" t="s">
        <v>1993</v>
      </c>
      <c r="S5" s="2302" t="s">
        <v>1994</v>
      </c>
      <c r="T5" s="2303" t="s">
        <v>1995</v>
      </c>
      <c r="U5" s="1269" t="s">
        <v>1996</v>
      </c>
      <c r="V5" s="1270" t="s">
        <v>1997</v>
      </c>
      <c r="W5" s="1270" t="s">
        <v>1998</v>
      </c>
      <c r="X5" s="71"/>
      <c r="Y5" s="70" t="s">
        <v>1999</v>
      </c>
      <c r="Z5" s="2304" t="s">
        <v>1996</v>
      </c>
      <c r="AA5" s="1270" t="s">
        <v>1997</v>
      </c>
      <c r="AB5" s="1270" t="s">
        <v>1998</v>
      </c>
      <c r="AC5" s="71"/>
      <c r="AD5" s="71" t="s">
        <v>1999</v>
      </c>
      <c r="AE5" s="1269" t="s">
        <v>2000</v>
      </c>
      <c r="AF5" s="1270" t="s">
        <v>2001</v>
      </c>
      <c r="AG5" s="70" t="s">
        <v>2002</v>
      </c>
      <c r="AH5" s="1269" t="s">
        <v>2003</v>
      </c>
      <c r="AI5" s="2304" t="s">
        <v>2004</v>
      </c>
      <c r="AJ5" s="2304" t="s">
        <v>2005</v>
      </c>
      <c r="AK5" s="1270" t="s">
        <v>2006</v>
      </c>
      <c r="AL5" s="1270" t="s">
        <v>2007</v>
      </c>
      <c r="AM5" s="70" t="s">
        <v>2008</v>
      </c>
      <c r="AN5" s="2305" t="s">
        <v>2009</v>
      </c>
      <c r="AO5" s="2075" t="s">
        <v>2010</v>
      </c>
      <c r="AP5" s="1251"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48号楼商业</v>
      </c>
      <c r="B6" s="2308" t="str">
        <f>IF(A6=0,"","经营性")</f>
        <v>经营性</v>
      </c>
      <c r="C6" s="2309" t="s">
        <v>1377</v>
      </c>
      <c r="D6" s="1053">
        <f>SUMIF(项目基本情况!D$12:I$12,C6,项目基本情况!D$14:I$14)</f>
        <v>40</v>
      </c>
      <c r="E6" s="1050">
        <f>IF(B6="","",SUMIF(项目基本情况!D$12:I$12,C6,项目基本情况!D$13:I$13))</f>
        <v>52963</v>
      </c>
      <c r="F6" s="72">
        <f>SUMIF(项目基本情况!D$12:I$12,C6,项目基本情况!D$15:I$15)</f>
        <v>26.82</v>
      </c>
      <c r="G6" s="73">
        <f>IF(ISERROR(ROUND(POWER(1+H6,D6-F6)*(POWER(1+H6,F6)-1)/(POWER(1+H6,D6)-1),3)),0,ROUND(POWER(1+H6,D6-F6)*(POWER(1+H6,F6)-1)/(POWER(1+H6,D6)-1),3))</f>
        <v>0.83699999999999997</v>
      </c>
      <c r="H6" s="801">
        <v>4.4999999999999998E-2</v>
      </c>
      <c r="I6" s="801">
        <v>0.05</v>
      </c>
      <c r="J6" s="74">
        <v>0.08</v>
      </c>
      <c r="K6" s="1253">
        <f>SUMIF('数据-汇总表'!C$19:C$33,A6,'数据-汇总表'!E$19:E$33)</f>
        <v>5590.66</v>
      </c>
      <c r="L6" s="802">
        <v>2600</v>
      </c>
      <c r="M6" s="75">
        <f t="shared" ref="M6:M14" si="0">ROUND(K6*L6/10000,0)</f>
        <v>1454</v>
      </c>
      <c r="N6" s="800">
        <f>ROUND(1-(2018-2008)/60,2)</f>
        <v>0.83</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2.38</v>
      </c>
      <c r="V6" s="79">
        <v>0.01</v>
      </c>
      <c r="W6" s="79">
        <v>0.1</v>
      </c>
      <c r="X6" s="1263"/>
      <c r="Y6" s="80">
        <f>N6</f>
        <v>0.83</v>
      </c>
      <c r="Z6" s="81">
        <f>ROUND(Z21*(1+AA6)^AF6,2)</f>
        <v>10.220000000000001</v>
      </c>
      <c r="AA6" s="74">
        <v>0.03</v>
      </c>
      <c r="AB6" s="74">
        <v>0.1</v>
      </c>
      <c r="AC6" s="1263"/>
      <c r="AD6" s="82">
        <f>ROUND(1-(2025-2008)/60,2)</f>
        <v>0.72</v>
      </c>
      <c r="AE6" s="1264">
        <f ca="1">IF(AN6="",0,SUMIF(INDIRECT("'"&amp;AN6&amp;"'"&amp;"!E:E"),$AE$5,INDIRECT("'"&amp;AN6&amp;"'"&amp;"!F:F")))</f>
        <v>26.82</v>
      </c>
      <c r="AF6" s="1806">
        <v>6.83</v>
      </c>
      <c r="AG6" s="147">
        <f ca="1">IF(AF6="",0,AE6-AF6)</f>
        <v>19.990000000000002</v>
      </c>
      <c r="AH6" s="83"/>
      <c r="AI6" s="85">
        <v>365</v>
      </c>
      <c r="AJ6" s="86"/>
      <c r="AK6" s="87">
        <v>1.4999999999999999E-2</v>
      </c>
      <c r="AL6" s="88">
        <v>1.5E-3</v>
      </c>
      <c r="AM6" s="89">
        <v>0.01</v>
      </c>
      <c r="AN6" s="2310" t="s">
        <v>3076</v>
      </c>
      <c r="AO6" s="55">
        <f ca="1">SUMIF(INDIRECT("'"&amp;AN6&amp;"'"&amp;"!A:A"),"总价",INDIRECT("'"&amp;AN6&amp;"'"&amp;"!B:B"))</f>
        <v>21606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48号楼2层商业</v>
      </c>
      <c r="B7" s="2308" t="str">
        <f t="shared" ref="B7:B13" si="1">IF(A7=0,"","经营性")</f>
        <v>经营性</v>
      </c>
      <c r="C7" s="2309" t="s">
        <v>1377</v>
      </c>
      <c r="D7" s="1053">
        <f>SUMIF(项目基本情况!D$12:I$12,C7,项目基本情况!D$14:I$14)</f>
        <v>40</v>
      </c>
      <c r="E7" s="1050">
        <f>IF(B7="","",SUMIF(项目基本情况!D$12:I$12,C7,项目基本情况!D$13:I$13))</f>
        <v>52963</v>
      </c>
      <c r="F7" s="72">
        <f>SUMIF(项目基本情况!D$12:I$12,C7,项目基本情况!D$15:I$15)</f>
        <v>26.82</v>
      </c>
      <c r="G7" s="73">
        <f t="shared" ref="G7:G11" si="2">IF(ISERROR(ROUND(POWER(1+H7,D7-F7)*(POWER(1+H7,F7)-1)/(POWER(1+H7,D7)-1),3)),0,ROUND(POWER(1+H7,D7-F7)*(POWER(1+H7,F7)-1)/(POWER(1+H7,D7)-1),3))</f>
        <v>0.83699999999999997</v>
      </c>
      <c r="H7" s="801">
        <v>4.4999999999999998E-2</v>
      </c>
      <c r="I7" s="801">
        <v>0.05</v>
      </c>
      <c r="J7" s="74">
        <v>0.08</v>
      </c>
      <c r="K7" s="1253">
        <f>SUMIF('数据-汇总表'!C$19:C$33,A7,'数据-汇总表'!E$19:E$33)</f>
        <v>0</v>
      </c>
      <c r="L7" s="802">
        <f>L6</f>
        <v>2600</v>
      </c>
      <c r="M7" s="75">
        <f t="shared" si="0"/>
        <v>0</v>
      </c>
      <c r="N7" s="800">
        <f>ROUND(1-(2018-2008)/60,2)</f>
        <v>0.83</v>
      </c>
      <c r="O7" s="75" t="str">
        <f t="shared" ref="O7:O14" si="3">IF($N$5="成新度","——",ROUND(M7*N7,0))</f>
        <v>——</v>
      </c>
      <c r="P7" s="76" t="str">
        <f t="shared" ref="P7:P14" si="4">IF($N$5="成新度","——",M7-O7)</f>
        <v>——</v>
      </c>
      <c r="Q7" s="803">
        <v>0.25</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t="str">
        <f>'数据-汇总表'!C21</f>
        <v>11号楼地下商业</v>
      </c>
      <c r="B8" s="2308" t="str">
        <f t="shared" si="1"/>
        <v>经营性</v>
      </c>
      <c r="C8" s="2309" t="s">
        <v>1377</v>
      </c>
      <c r="D8" s="1053">
        <f>SUMIF(项目基本情况!D$12:I$12,C8,项目基本情况!D$14:I$14)</f>
        <v>40</v>
      </c>
      <c r="E8" s="1050">
        <f>IF(B8="","",SUMIF(项目基本情况!D$12:I$12,C8,项目基本情况!D$13:I$13))</f>
        <v>52963</v>
      </c>
      <c r="F8" s="72">
        <f>SUMIF(项目基本情况!D$12:I$12,C8,项目基本情况!D$15:I$15)</f>
        <v>26.82</v>
      </c>
      <c r="G8" s="73">
        <f t="shared" si="2"/>
        <v>0.83699999999999997</v>
      </c>
      <c r="H8" s="801">
        <v>4.4999999999999998E-2</v>
      </c>
      <c r="I8" s="801">
        <v>0.05</v>
      </c>
      <c r="J8" s="74">
        <v>0.08</v>
      </c>
      <c r="K8" s="1253">
        <f>SUMIF('数据-汇总表'!C$19:C$33,A8,'数据-汇总表'!E$19:E$33)</f>
        <v>1189.19</v>
      </c>
      <c r="L8" s="802">
        <f>L6</f>
        <v>2600</v>
      </c>
      <c r="M8" s="75">
        <f>ROUND(K8*L8/10000,0)</f>
        <v>309</v>
      </c>
      <c r="N8" s="800">
        <f>ROUND(1-(2018-2007)/60,2)</f>
        <v>0.82</v>
      </c>
      <c r="O8" s="75" t="str">
        <f t="shared" si="3"/>
        <v>——</v>
      </c>
      <c r="P8" s="76" t="str">
        <f t="shared" si="4"/>
        <v>——</v>
      </c>
      <c r="Q8" s="803">
        <v>0.25</v>
      </c>
      <c r="R8" s="77">
        <f ca="1">SUMIF('数据-汇总表'!C$19:C$33,A8,'数据-汇总表'!R$19:R$27)</f>
        <v>0</v>
      </c>
      <c r="S8" s="54">
        <f>IF('数据-汇总表'!$I$17="按面积比例",SUMIF('数据-汇总表'!C$19:C$33,A8,'数据-汇总表'!K$19:K$33),SUMIF('数据-汇总表'!C$19:C$33,A8,'数据-汇总表'!N$19:N$33))</f>
        <v>0</v>
      </c>
      <c r="T8" s="1445">
        <f t="shared" si="5"/>
        <v>0</v>
      </c>
      <c r="U8" s="804">
        <v>0.5</v>
      </c>
      <c r="V8" s="805">
        <v>0.01</v>
      </c>
      <c r="W8" s="805">
        <v>0.1</v>
      </c>
      <c r="X8" s="1263"/>
      <c r="Y8" s="806">
        <f>N8</f>
        <v>0.82</v>
      </c>
      <c r="Z8" s="81">
        <f>ROUND(2*(1+AA8)^AF8,2)</f>
        <v>2.11</v>
      </c>
      <c r="AA8" s="74">
        <v>2.5000000000000001E-2</v>
      </c>
      <c r="AB8" s="74">
        <v>0.1</v>
      </c>
      <c r="AC8" s="1263"/>
      <c r="AD8" s="82">
        <f>ROUND(1-(2020-2007)/60,2)</f>
        <v>0.78</v>
      </c>
      <c r="AE8" s="1264">
        <f t="shared" ca="1" si="6"/>
        <v>26.82</v>
      </c>
      <c r="AF8" s="1806">
        <v>2.21</v>
      </c>
      <c r="AG8" s="147">
        <f t="shared" ca="1" si="7"/>
        <v>24.61</v>
      </c>
      <c r="AH8" s="807"/>
      <c r="AI8" s="85">
        <v>365</v>
      </c>
      <c r="AJ8" s="86"/>
      <c r="AK8" s="808">
        <v>1.4999999999999999E-2</v>
      </c>
      <c r="AL8" s="809">
        <v>1.5E-3</v>
      </c>
      <c r="AM8" s="810">
        <f>AM6</f>
        <v>0.01</v>
      </c>
      <c r="AN8" s="2310" t="s">
        <v>3115</v>
      </c>
      <c r="AO8" s="55">
        <f t="shared" ca="1" si="8"/>
        <v>1058</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2014</v>
      </c>
      <c r="B14" s="2308" t="s">
        <v>2015</v>
      </c>
      <c r="C14" s="2313"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2016</v>
      </c>
      <c r="B15" s="2308" t="s">
        <v>2015</v>
      </c>
      <c r="C15" s="2313"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2018</v>
      </c>
      <c r="B16" s="97"/>
      <c r="C16" s="1007"/>
      <c r="D16" s="2315"/>
      <c r="E16" s="97"/>
      <c r="F16" s="97"/>
      <c r="G16" s="98">
        <f>ROUND(SUMPRODUCT(G6:G13,K6:K13)/SUMPRODUCT((G6:G13&gt;0)*(K6:K13)),3)</f>
        <v>0.83699999999999997</v>
      </c>
      <c r="H16" s="99">
        <f>ROUND(SUMPRODUCT(H6:H13,K6:K13)/SUMPRODUCT((H6:H13&gt;0)*(K6:K13)),3)</f>
        <v>4.4999999999999998E-2</v>
      </c>
      <c r="I16" s="100"/>
      <c r="J16" s="100"/>
      <c r="K16" s="101">
        <f>SUM(K6:K15)</f>
        <v>6779.85</v>
      </c>
      <c r="L16" s="102">
        <f>ROUND(M16*10000/SUM(K6:K14),0)</f>
        <v>2600</v>
      </c>
      <c r="M16" s="102">
        <f>SUM(M6:M14)</f>
        <v>1763</v>
      </c>
      <c r="N16" s="103">
        <f>ROUND(SUMPRODUCT(M6:M14,N6:N14)/M16,3)</f>
        <v>0.82799999999999996</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2020</v>
      </c>
      <c r="B19" s="112">
        <v>0</v>
      </c>
      <c r="C19" s="2278" t="s">
        <v>2021</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f>面积清单!G2</f>
        <v>2542.7199999999998</v>
      </c>
      <c r="Z19" s="1583">
        <v>10</v>
      </c>
      <c r="AA19" s="1583">
        <f>ROUND(Y19/Y21,2)</f>
        <v>0.45</v>
      </c>
      <c r="AB19" s="1583"/>
      <c r="AC19" s="1583"/>
      <c r="AD19" s="1583"/>
      <c r="AE19" s="1583"/>
      <c r="AF19" s="1583"/>
      <c r="AG19" s="1583"/>
      <c r="AH19" s="1583"/>
      <c r="AI19" s="1583"/>
      <c r="AJ19" s="1583"/>
      <c r="AK19" s="1583"/>
      <c r="AL19" s="1583"/>
      <c r="AM19" s="1583"/>
    </row>
    <row r="20" spans="1:67" ht="14.25">
      <c r="A20" s="2318" t="s">
        <v>2022</v>
      </c>
      <c r="B20" s="113">
        <v>2</v>
      </c>
      <c r="C20" s="2278" t="s">
        <v>2023</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f>面积清单!G3</f>
        <v>3047.94</v>
      </c>
      <c r="Z20" s="1583">
        <f>ROUND(0.7*Z19,2)</f>
        <v>7</v>
      </c>
      <c r="AA20" s="1583">
        <f>ROUND(Y20/Y21,2)</f>
        <v>0.55000000000000004</v>
      </c>
      <c r="AB20" s="1583"/>
      <c r="AC20" s="1583"/>
      <c r="AD20" s="1583"/>
      <c r="AE20" s="1583"/>
      <c r="AF20" s="1583"/>
      <c r="AG20" s="1583"/>
      <c r="AH20" s="1583"/>
      <c r="AI20" s="1583"/>
      <c r="AJ20" s="1583"/>
      <c r="AK20" s="1583"/>
      <c r="AL20" s="1583"/>
      <c r="AM20" s="1583"/>
    </row>
    <row r="21" spans="1:67" ht="14.25">
      <c r="A21" s="2319" t="s">
        <v>2024</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f>Y19+Y20</f>
        <v>5590.66</v>
      </c>
      <c r="Z21" s="1583">
        <f>Z19*AA19+Z20*AA20</f>
        <v>8.3500000000000014</v>
      </c>
      <c r="AA21" s="1583"/>
      <c r="AB21" s="1583"/>
      <c r="AC21" s="1583"/>
      <c r="AD21" s="1583"/>
      <c r="AE21" s="1583"/>
      <c r="AF21" s="1583"/>
      <c r="AG21" s="1583"/>
      <c r="AH21" s="1583"/>
      <c r="AI21" s="1583"/>
      <c r="AJ21" s="1583"/>
      <c r="AK21" s="1583"/>
      <c r="AL21" s="1583"/>
      <c r="AM21" s="1583"/>
    </row>
    <row r="22" spans="1:67" ht="14.25">
      <c r="A22" s="2318" t="s">
        <v>2025</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2026</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2027</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2028</v>
      </c>
      <c r="B26" s="2321" t="s">
        <v>2029</v>
      </c>
      <c r="C26" s="2322" t="s">
        <v>2030</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2031</v>
      </c>
      <c r="B27" s="116"/>
      <c r="C27" s="1766" t="s">
        <v>2032</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2033</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2034</v>
      </c>
      <c r="B29" s="121"/>
      <c r="C29" s="1766" t="s">
        <v>2035</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2036</v>
      </c>
      <c r="B30" s="723">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2037</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2038</v>
      </c>
      <c r="B32" s="724">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2039</v>
      </c>
      <c r="B33" s="725">
        <v>0.03</v>
      </c>
      <c r="C33" s="1765" t="s">
        <v>2040</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2041</v>
      </c>
      <c r="B34" s="122">
        <v>0.05</v>
      </c>
      <c r="C34" s="1765" t="s">
        <v>2042</v>
      </c>
      <c r="D34" s="2279" t="s">
        <v>2043</v>
      </c>
      <c r="E34" s="731"/>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2044</v>
      </c>
      <c r="B35" s="119">
        <v>200</v>
      </c>
      <c r="C35" s="1765" t="s">
        <v>2045</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2046</v>
      </c>
      <c r="B36" s="123">
        <v>1.4999999999999999E-2</v>
      </c>
      <c r="C36" s="1765" t="s">
        <v>2047</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2048</v>
      </c>
      <c r="B37" s="124">
        <v>0.01</v>
      </c>
      <c r="C37" s="1765" t="s">
        <v>2049</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2050</v>
      </c>
      <c r="B38" s="122">
        <v>0.01</v>
      </c>
      <c r="C38" s="1765" t="s">
        <v>2049</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2051</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2052</v>
      </c>
      <c r="B40" s="1302">
        <f ca="1">存贷款利率!G1</f>
        <v>4.7500000000000001E-2</v>
      </c>
      <c r="C40" s="1765" t="s">
        <v>2053</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2054</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2055</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2056</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2057</v>
      </c>
      <c r="B44" s="128">
        <v>0.05</v>
      </c>
      <c r="C44" s="1765" t="s">
        <v>2058</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2059</v>
      </c>
      <c r="B45" s="126">
        <v>0.03</v>
      </c>
      <c r="C45" s="1766" t="s">
        <v>2060</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2061</v>
      </c>
      <c r="B46" s="126">
        <v>0.02</v>
      </c>
      <c r="C46" s="1766" t="s">
        <v>2062</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2063</v>
      </c>
      <c r="B47" s="129"/>
      <c r="C47" s="1766" t="s">
        <v>2064</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2065</v>
      </c>
      <c r="B48" s="130">
        <v>0.03</v>
      </c>
      <c r="C48" s="1773" t="s">
        <v>2066</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2067</v>
      </c>
      <c r="B49" s="126">
        <v>5.0000000000000001E-4</v>
      </c>
      <c r="C49" s="1773" t="s">
        <v>2068</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2069</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2070</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2071</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2072</v>
      </c>
      <c r="B53" s="2337" t="s">
        <v>56</v>
      </c>
      <c r="C53" s="1429" t="s">
        <v>2073</v>
      </c>
      <c r="D53" s="2338" t="s">
        <v>2074</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2075</v>
      </c>
      <c r="B54" s="84">
        <v>30</v>
      </c>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2076</v>
      </c>
      <c r="B55" s="84">
        <v>24</v>
      </c>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2077</v>
      </c>
      <c r="B56" s="84">
        <v>18</v>
      </c>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2078</v>
      </c>
      <c r="B57" s="84">
        <v>12</v>
      </c>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2079</v>
      </c>
      <c r="B58" s="84">
        <v>3</v>
      </c>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2080</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2081</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2082</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2083</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2084</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7" t="s">
        <v>2085</v>
      </c>
      <c r="B1" s="3098"/>
      <c r="C1" s="3098"/>
      <c r="D1" s="3098"/>
      <c r="E1" s="3098"/>
      <c r="F1" s="3098"/>
      <c r="G1" s="309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5" t="s">
        <v>2088</v>
      </c>
      <c r="B3" s="1270" t="s">
        <v>2089</v>
      </c>
      <c r="C3" s="2371" t="s">
        <v>2090</v>
      </c>
      <c r="D3" s="2372"/>
      <c r="E3" s="431" t="s">
        <v>2088</v>
      </c>
      <c r="F3" s="2373" t="s">
        <v>2091</v>
      </c>
      <c r="G3" s="2374" t="s">
        <v>2092</v>
      </c>
      <c r="H3" s="2369"/>
      <c r="I3" s="2369"/>
      <c r="J3" s="2369"/>
      <c r="K3" s="2369"/>
      <c r="L3" s="2369"/>
      <c r="M3" s="2369"/>
      <c r="N3" s="2369"/>
      <c r="O3" s="2369"/>
      <c r="P3" s="2369"/>
      <c r="Q3" s="2369"/>
      <c r="R3" s="2369"/>
    </row>
    <row r="4" spans="1:29" ht="41.25">
      <c r="A4" s="431"/>
      <c r="B4" s="1797" t="s">
        <v>2093</v>
      </c>
      <c r="C4" s="2375" t="s">
        <v>2094</v>
      </c>
      <c r="D4" s="2372"/>
      <c r="E4" s="2376"/>
      <c r="F4" s="42" t="s">
        <v>2095</v>
      </c>
      <c r="G4" s="2377" t="s">
        <v>2096</v>
      </c>
      <c r="H4" s="2369"/>
      <c r="I4" s="2369"/>
      <c r="J4" s="2369"/>
      <c r="K4" s="2369"/>
      <c r="L4" s="2369"/>
      <c r="M4" s="2369"/>
      <c r="N4" s="2369"/>
      <c r="O4" s="2369"/>
      <c r="P4" s="2369"/>
      <c r="Q4" s="2369"/>
      <c r="R4" s="2369"/>
    </row>
    <row r="5" spans="1:29" ht="41.25">
      <c r="A5" s="431"/>
      <c r="B5" s="1797" t="s">
        <v>2097</v>
      </c>
      <c r="C5" s="2375" t="s">
        <v>2098</v>
      </c>
      <c r="D5" s="2372"/>
      <c r="E5" s="2376"/>
      <c r="F5" s="1797" t="s">
        <v>2099</v>
      </c>
      <c r="G5" s="2377" t="s">
        <v>2100</v>
      </c>
      <c r="H5" s="2369"/>
      <c r="I5" s="2369"/>
      <c r="J5" s="2369"/>
      <c r="K5" s="2369"/>
      <c r="L5" s="2369"/>
      <c r="M5" s="2369"/>
      <c r="N5" s="2369"/>
      <c r="O5" s="2369"/>
      <c r="P5" s="2369"/>
      <c r="Q5" s="2369"/>
      <c r="R5" s="2369"/>
    </row>
    <row r="6" spans="1:29" ht="54">
      <c r="A6" s="431"/>
      <c r="B6" s="1797" t="s">
        <v>2101</v>
      </c>
      <c r="C6" s="2377" t="s">
        <v>2096</v>
      </c>
      <c r="D6" s="2372"/>
      <c r="E6" s="2376"/>
      <c r="F6" s="1797" t="s">
        <v>2102</v>
      </c>
      <c r="G6" s="2377" t="s">
        <v>2103</v>
      </c>
      <c r="H6" s="2369"/>
      <c r="I6" s="2369"/>
      <c r="J6" s="2369"/>
      <c r="K6" s="2369"/>
      <c r="L6" s="2369"/>
      <c r="M6" s="2369"/>
      <c r="N6" s="2369"/>
      <c r="O6" s="2369"/>
      <c r="P6" s="2369"/>
      <c r="Q6" s="2369"/>
      <c r="R6" s="2369"/>
    </row>
    <row r="7" spans="1:29" ht="41.25" thickBot="1">
      <c r="A7" s="431"/>
      <c r="B7" s="1797" t="s">
        <v>2099</v>
      </c>
      <c r="C7" s="2377" t="s">
        <v>2100</v>
      </c>
      <c r="D7" s="2378"/>
      <c r="E7" s="2379"/>
      <c r="F7" s="2380" t="s">
        <v>2104</v>
      </c>
      <c r="G7" s="2381" t="s">
        <v>2105</v>
      </c>
      <c r="H7" s="2369"/>
      <c r="I7" s="2369"/>
      <c r="J7" s="2369"/>
      <c r="K7" s="2369"/>
      <c r="L7" s="2369"/>
      <c r="M7" s="2369"/>
      <c r="N7" s="2369"/>
      <c r="O7" s="2369"/>
      <c r="P7" s="2369"/>
      <c r="Q7" s="2369"/>
      <c r="R7" s="2369"/>
    </row>
    <row r="8" spans="1:29" ht="27">
      <c r="A8" s="431"/>
      <c r="B8" s="1797" t="s">
        <v>2102</v>
      </c>
      <c r="C8" s="2377" t="s">
        <v>2103</v>
      </c>
      <c r="D8" s="2378"/>
      <c r="E8" s="2378"/>
      <c r="F8" s="1135"/>
      <c r="G8" s="1135"/>
      <c r="H8" s="2369"/>
      <c r="I8" s="2369"/>
      <c r="J8" s="2369"/>
      <c r="K8" s="2369"/>
      <c r="L8" s="2369"/>
      <c r="M8" s="2369"/>
      <c r="N8" s="2369"/>
      <c r="O8" s="2369"/>
      <c r="P8" s="2369"/>
      <c r="Q8" s="2369"/>
      <c r="R8" s="2369"/>
    </row>
    <row r="9" spans="1:29" ht="27">
      <c r="A9" s="431"/>
      <c r="B9" s="1797" t="s">
        <v>2106</v>
      </c>
      <c r="C9" s="2375" t="s">
        <v>2107</v>
      </c>
      <c r="D9" s="2372"/>
      <c r="E9" s="2378"/>
      <c r="F9" s="1135"/>
      <c r="G9" s="1135"/>
      <c r="H9" s="2369"/>
      <c r="I9" s="2369"/>
      <c r="J9" s="2369"/>
      <c r="K9" s="2369"/>
      <c r="L9" s="2369"/>
      <c r="M9" s="2369"/>
      <c r="N9" s="2369"/>
      <c r="O9" s="2369"/>
      <c r="P9" s="2369"/>
      <c r="Q9" s="2369"/>
      <c r="R9" s="2369"/>
    </row>
    <row r="10" spans="1:29" s="117" customFormat="1" ht="15.75" thickBot="1">
      <c r="A10" s="2382"/>
      <c r="B10" s="2383" t="s">
        <v>2108</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2109</v>
      </c>
      <c r="B13" s="2389"/>
      <c r="C13" s="2389"/>
      <c r="D13" s="2396"/>
      <c r="E13" s="2389"/>
      <c r="F13" s="2389"/>
      <c r="G13" s="2389"/>
    </row>
    <row r="14" spans="1:29" ht="15.75" thickBot="1">
      <c r="A14" s="2400"/>
      <c r="B14" s="2401"/>
      <c r="C14" s="2402" t="s">
        <v>2110</v>
      </c>
      <c r="D14" s="2372"/>
      <c r="E14" s="2403"/>
      <c r="F14" s="2403"/>
      <c r="G14" s="2366" t="s">
        <v>2111</v>
      </c>
    </row>
    <row r="15" spans="1:29" ht="57">
      <c r="A15" s="68" t="s">
        <v>2112</v>
      </c>
      <c r="B15" s="1269" t="s">
        <v>2089</v>
      </c>
      <c r="C15" s="2404" t="str">
        <f>C3</f>
        <v>估价对象周边居住用地比例、居住小区规模和社区发展完善程度，综合评价居住社区成熟度一般</v>
      </c>
      <c r="D15" s="2372"/>
      <c r="E15" s="2405" t="s">
        <v>2113</v>
      </c>
      <c r="F15" s="1269" t="s">
        <v>2114</v>
      </c>
      <c r="G15" s="135" t="str">
        <f>G3</f>
        <v>估价对象位于XX开发区，园区建设成熟度XX，产业集聚程度XX</v>
      </c>
    </row>
    <row r="16" spans="1:29" ht="42.75">
      <c r="A16" s="644"/>
      <c r="B16" s="2406" t="s">
        <v>2093</v>
      </c>
      <c r="C16" s="2407" t="str">
        <f>C4</f>
        <v>估价对象位于XX商圈，周边商业氛围成熟，人流量大，商业繁华度好</v>
      </c>
      <c r="D16" s="2372"/>
      <c r="E16" s="2408"/>
      <c r="F16" s="2409" t="s">
        <v>2095</v>
      </c>
      <c r="G16" s="136" t="str">
        <f>G4</f>
        <v>估价对象周边道路状况、公共交通通达情况、停车便捷程度，综合评价交通便捷度较好</v>
      </c>
    </row>
    <row r="17" spans="1:18" ht="42.75">
      <c r="A17" s="644"/>
      <c r="B17" s="2406" t="s">
        <v>2097</v>
      </c>
      <c r="C17" s="2407" t="str">
        <f>C5</f>
        <v>估价对象位于XX商圈，周边办公楼项目较多，入驻率高，办公集聚程度较好</v>
      </c>
      <c r="D17" s="2378"/>
      <c r="E17" s="2408"/>
      <c r="F17" s="2409" t="s">
        <v>2115</v>
      </c>
      <c r="G17" s="1571"/>
    </row>
    <row r="18" spans="1:18" ht="57">
      <c r="A18" s="644"/>
      <c r="B18" s="2409" t="s">
        <v>2101</v>
      </c>
      <c r="C18" s="136" t="str">
        <f>C6</f>
        <v>估价对象周边道路状况、公共交通通达情况、停车便捷程度，综合评价交通便捷度较好</v>
      </c>
      <c r="D18" s="2378"/>
      <c r="E18" s="2408"/>
      <c r="F18" s="2409" t="s">
        <v>2104</v>
      </c>
      <c r="G18" s="136" t="str">
        <f>G7</f>
        <v>该园区内是否有污染型企业，绿化情况，卫生条件，整体环境状况判断</v>
      </c>
    </row>
    <row r="19" spans="1:18" ht="28.5">
      <c r="A19" s="644"/>
      <c r="B19" s="2409" t="s">
        <v>2116</v>
      </c>
      <c r="C19" s="1571"/>
      <c r="D19" s="2372"/>
      <c r="E19" s="2408"/>
      <c r="F19" s="1797" t="s">
        <v>2099</v>
      </c>
      <c r="G19" s="136" t="str">
        <f>G5</f>
        <v>估价对象所在区域公共配套设施齐备情况</v>
      </c>
    </row>
    <row r="20" spans="1:18" ht="28.5">
      <c r="A20" s="644"/>
      <c r="B20" s="2409" t="s">
        <v>2117</v>
      </c>
      <c r="C20" s="2407" t="str">
        <f>C9</f>
        <v>区域自然环境：；人文环境；综合评价环境状况一般</v>
      </c>
      <c r="D20" s="2378"/>
      <c r="E20" s="2408"/>
      <c r="F20" s="1797" t="s">
        <v>2118</v>
      </c>
      <c r="G20" s="136" t="str">
        <f>G6</f>
        <v>估价对象所在区域基础设施水平</v>
      </c>
    </row>
    <row r="21" spans="1:18" ht="28.5">
      <c r="A21" s="644"/>
      <c r="B21" s="1797" t="s">
        <v>2099</v>
      </c>
      <c r="C21" s="136" t="str">
        <f>C7</f>
        <v>估价对象所在区域公共配套设施齐备情况</v>
      </c>
      <c r="D21" s="2372"/>
      <c r="E21" s="2408"/>
      <c r="F21" s="2409" t="s">
        <v>2119</v>
      </c>
      <c r="G21" s="2410"/>
    </row>
    <row r="22" spans="1:18" ht="13.5" customHeight="1">
      <c r="A22" s="644"/>
      <c r="B22" s="1797" t="s">
        <v>2102</v>
      </c>
      <c r="C22" s="136" t="str">
        <f>C8</f>
        <v>估价对象所在区域基础设施水平</v>
      </c>
      <c r="D22" s="2372"/>
      <c r="E22" s="2408"/>
      <c r="F22" s="2409" t="s">
        <v>2108</v>
      </c>
      <c r="G22" s="1571"/>
    </row>
    <row r="23" spans="1:18" s="2369" customFormat="1" ht="15.75" thickBot="1">
      <c r="A23" s="644"/>
      <c r="B23" s="2409" t="s">
        <v>2119</v>
      </c>
      <c r="C23" s="2410"/>
      <c r="D23" s="2397"/>
      <c r="E23" s="2411"/>
      <c r="F23" s="2412" t="s">
        <v>2120</v>
      </c>
      <c r="G23" s="2413"/>
      <c r="H23" s="2397"/>
      <c r="I23" s="2398"/>
      <c r="J23" s="2397"/>
      <c r="K23" s="2397"/>
      <c r="L23" s="2398"/>
      <c r="M23" s="2397"/>
      <c r="N23" s="2397"/>
      <c r="O23" s="2398"/>
      <c r="P23" s="2397"/>
      <c r="Q23" s="2397"/>
      <c r="R23" s="2399"/>
    </row>
    <row r="24" spans="1:18" s="2369" customFormat="1" ht="15.75" thickBot="1">
      <c r="A24" s="2414"/>
      <c r="B24" s="2412" t="s">
        <v>2121</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6779.85</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43172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28604</v>
      </c>
      <c r="C5" s="1745">
        <f ca="1">ROUND(B5*10000/$B$1,0)</f>
        <v>42190</v>
      </c>
      <c r="D5" s="1745" t="e">
        <f ca="1">ROUND(B5*10000/$B$2,0)</f>
        <v>#DIV/0!</v>
      </c>
      <c r="E5" s="1744"/>
      <c r="F5" s="1742"/>
      <c r="G5" s="1742"/>
    </row>
    <row r="6" spans="1:10" ht="16.5">
      <c r="A6" s="1745" t="s">
        <v>1356</v>
      </c>
      <c r="B6" s="1745">
        <f ca="1">SUM(G14:G23)</f>
        <v>28604</v>
      </c>
      <c r="C6" s="1745">
        <f ca="1">ROUND(B6*10000/$B$1,0)</f>
        <v>42190</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5590.66</v>
      </c>
      <c r="C14" s="1743">
        <f>结果表!C118</f>
        <v>0</v>
      </c>
      <c r="D14" s="1743">
        <f ca="1">结果表!H118</f>
        <v>24718</v>
      </c>
      <c r="E14" s="1743">
        <f ca="1">ROUND(D14*10000/B14,0)</f>
        <v>44213</v>
      </c>
      <c r="F14" s="1743" t="e">
        <f ca="1">ROUND(D14*10000/C14,0)</f>
        <v>#DIV/0!</v>
      </c>
      <c r="G14" s="1743">
        <f ca="1">结果表!D122</f>
        <v>24718</v>
      </c>
      <c r="H14" s="1743" t="str">
        <f>结果表!D124</f>
        <v>——</v>
      </c>
      <c r="I14" s="1743" t="str">
        <f>结果表!D126</f>
        <v>——</v>
      </c>
      <c r="J14" s="1742"/>
    </row>
    <row r="15" spans="1:10" ht="16.5">
      <c r="A15" s="1741" t="s">
        <v>1349</v>
      </c>
      <c r="B15" s="1748">
        <f>'结果表-会所'!L18</f>
        <v>1189.19</v>
      </c>
      <c r="C15" s="1748"/>
      <c r="D15" s="1748">
        <f ca="1">'结果表-会所'!G19</f>
        <v>3886</v>
      </c>
      <c r="E15" s="1743">
        <f t="shared" ref="E15:E23" ca="1" si="0">ROUND(D15*10000/B15,0)</f>
        <v>32678</v>
      </c>
      <c r="F15" s="1743" t="e">
        <f t="shared" ref="F15:F23" ca="1" si="1">ROUND(D15*10000/C15,0)</f>
        <v>#DIV/0!</v>
      </c>
      <c r="G15" s="1749">
        <f ca="1">D15</f>
        <v>3886</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2122</v>
      </c>
      <c r="B1" s="2420"/>
      <c r="C1" s="2421" t="s">
        <v>3113</v>
      </c>
      <c r="D1" s="2420"/>
      <c r="E1" s="2420"/>
      <c r="F1" s="2422" t="s">
        <v>2123</v>
      </c>
      <c r="G1" s="2071" t="s">
        <v>3083</v>
      </c>
      <c r="H1" s="2423" t="str">
        <f>IF(G1="现房","——","估价对象范围")</f>
        <v>——</v>
      </c>
      <c r="I1" s="2424" t="s">
        <v>3084</v>
      </c>
    </row>
    <row r="2" spans="1:12" ht="21.75" customHeight="1" thickBot="1">
      <c r="A2" s="3132" t="str">
        <f>项目基本情况!S2</f>
        <v>北京市大兴区兴华园48号楼46号、201号及11幢3套商业用房房地产</v>
      </c>
      <c r="B2" s="3133"/>
      <c r="C2" s="3133"/>
      <c r="D2" s="3133"/>
      <c r="E2" s="3133"/>
      <c r="F2" s="3133"/>
      <c r="G2" s="3133"/>
      <c r="H2" s="3133"/>
      <c r="I2" s="3134"/>
    </row>
    <row r="3" spans="1:12" ht="12.75">
      <c r="A3" s="3136" t="s">
        <v>2124</v>
      </c>
      <c r="B3" s="3137"/>
      <c r="C3" s="3137"/>
      <c r="D3" s="3137"/>
      <c r="E3" s="3137"/>
      <c r="F3" s="3137"/>
      <c r="G3" s="3137"/>
      <c r="H3" s="3137"/>
      <c r="I3" s="3137"/>
    </row>
    <row r="4" spans="1:12" ht="14.25">
      <c r="A4" s="2427" t="s">
        <v>2125</v>
      </c>
      <c r="B4" s="2428" t="s">
        <v>2126</v>
      </c>
      <c r="C4" s="2429" t="s">
        <v>3110</v>
      </c>
      <c r="D4" s="2429" t="s">
        <v>3076</v>
      </c>
      <c r="E4" s="3129" t="s">
        <v>2127</v>
      </c>
      <c r="F4" s="3130"/>
      <c r="G4" s="3130"/>
      <c r="H4" s="3130"/>
      <c r="I4" s="3138"/>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2128</v>
      </c>
      <c r="B5" s="3046">
        <v>25</v>
      </c>
      <c r="C5" s="3115"/>
      <c r="D5" s="3135"/>
      <c r="E5" s="140" t="s">
        <v>2129</v>
      </c>
      <c r="F5" s="2431"/>
      <c r="G5" s="2431"/>
      <c r="H5" s="2431"/>
      <c r="I5" s="1833"/>
    </row>
    <row r="6" spans="1:12" ht="12.75">
      <c r="A6" s="3112"/>
      <c r="B6" s="3046"/>
      <c r="C6" s="3116"/>
      <c r="D6" s="3135"/>
      <c r="E6" s="140" t="s">
        <v>2130</v>
      </c>
      <c r="F6" s="2431"/>
      <c r="G6" s="2431"/>
      <c r="H6" s="2431"/>
      <c r="I6" s="1833"/>
    </row>
    <row r="7" spans="1:12" ht="12.75">
      <c r="A7" s="3112"/>
      <c r="B7" s="3046"/>
      <c r="C7" s="3117"/>
      <c r="D7" s="3135"/>
      <c r="E7" s="140" t="s">
        <v>2131</v>
      </c>
      <c r="F7" s="2431"/>
      <c r="G7" s="2431"/>
      <c r="H7" s="2431"/>
      <c r="I7" s="1833"/>
    </row>
    <row r="8" spans="1:12" ht="12.75">
      <c r="A8" s="3112" t="s">
        <v>2132</v>
      </c>
      <c r="B8" s="3046">
        <v>15</v>
      </c>
      <c r="C8" s="3115"/>
      <c r="D8" s="3135"/>
      <c r="E8" s="140" t="s">
        <v>2133</v>
      </c>
      <c r="F8" s="2431"/>
      <c r="G8" s="2431"/>
      <c r="H8" s="2431"/>
      <c r="I8" s="1833"/>
    </row>
    <row r="9" spans="1:12" ht="12.75">
      <c r="A9" s="3112"/>
      <c r="B9" s="3046"/>
      <c r="C9" s="3117"/>
      <c r="D9" s="3135"/>
      <c r="E9" s="140" t="s">
        <v>2134</v>
      </c>
      <c r="F9" s="2431"/>
      <c r="G9" s="2431"/>
      <c r="H9" s="2431"/>
      <c r="I9" s="1833"/>
    </row>
    <row r="10" spans="1:12" ht="12.75">
      <c r="A10" s="3112" t="s">
        <v>2135</v>
      </c>
      <c r="B10" s="3046">
        <v>15</v>
      </c>
      <c r="C10" s="3115"/>
      <c r="D10" s="3135"/>
      <c r="E10" s="140" t="s">
        <v>2136</v>
      </c>
      <c r="F10" s="2431"/>
      <c r="G10" s="2431"/>
      <c r="H10" s="2431"/>
      <c r="I10" s="1833"/>
    </row>
    <row r="11" spans="1:12" ht="12.75">
      <c r="A11" s="3112"/>
      <c r="B11" s="3046"/>
      <c r="C11" s="3117"/>
      <c r="D11" s="3135"/>
      <c r="E11" s="140" t="s">
        <v>2137</v>
      </c>
      <c r="F11" s="2431"/>
      <c r="G11" s="2431"/>
      <c r="H11" s="2431"/>
      <c r="I11" s="1833"/>
    </row>
    <row r="12" spans="1:12" ht="12.75">
      <c r="A12" s="3112" t="s">
        <v>2138</v>
      </c>
      <c r="B12" s="3046">
        <v>15</v>
      </c>
      <c r="C12" s="3115"/>
      <c r="D12" s="3135"/>
      <c r="E12" s="140" t="s">
        <v>2139</v>
      </c>
      <c r="F12" s="2431"/>
      <c r="G12" s="2431"/>
      <c r="H12" s="2431"/>
      <c r="I12" s="1833"/>
    </row>
    <row r="13" spans="1:12" ht="12.75">
      <c r="A13" s="3112"/>
      <c r="B13" s="3046"/>
      <c r="C13" s="3117"/>
      <c r="D13" s="3135"/>
      <c r="E13" s="140" t="s">
        <v>2140</v>
      </c>
      <c r="F13" s="2431"/>
      <c r="G13" s="2431"/>
      <c r="H13" s="2431"/>
      <c r="I13" s="1833"/>
    </row>
    <row r="14" spans="1:12" ht="12.75">
      <c r="A14" s="3112" t="s">
        <v>2141</v>
      </c>
      <c r="B14" s="3046">
        <v>30</v>
      </c>
      <c r="C14" s="3115">
        <v>6</v>
      </c>
      <c r="D14" s="3135">
        <v>4</v>
      </c>
      <c r="E14" s="140" t="s">
        <v>2142</v>
      </c>
      <c r="F14" s="2431"/>
      <c r="G14" s="2431"/>
      <c r="H14" s="2431"/>
      <c r="I14" s="1833"/>
    </row>
    <row r="15" spans="1:12" ht="12.75">
      <c r="A15" s="3112"/>
      <c r="B15" s="3046"/>
      <c r="C15" s="3116"/>
      <c r="D15" s="3135"/>
      <c r="E15" s="140" t="s">
        <v>2143</v>
      </c>
      <c r="F15" s="2431"/>
      <c r="G15" s="2431"/>
      <c r="H15" s="2431"/>
      <c r="I15" s="1833"/>
    </row>
    <row r="16" spans="1:12" ht="12.75">
      <c r="A16" s="3112"/>
      <c r="B16" s="3046"/>
      <c r="C16" s="3117"/>
      <c r="D16" s="3135"/>
      <c r="E16" s="140" t="s">
        <v>2144</v>
      </c>
      <c r="F16" s="2431"/>
      <c r="G16" s="2431"/>
      <c r="H16" s="2431"/>
      <c r="I16" s="1833"/>
    </row>
    <row r="17" spans="1:35" ht="15">
      <c r="A17" s="2432" t="s">
        <v>2145</v>
      </c>
      <c r="B17" s="64"/>
      <c r="C17" s="141">
        <f>SUM(C5:C16)</f>
        <v>6</v>
      </c>
      <c r="D17" s="141">
        <f>SUM(D5:D16)</f>
        <v>4</v>
      </c>
      <c r="E17" s="138"/>
      <c r="F17" s="138"/>
      <c r="G17" s="138"/>
      <c r="H17" s="138"/>
      <c r="I17" s="138"/>
      <c r="K17" s="2430"/>
      <c r="L17" s="2433" t="s">
        <v>2146</v>
      </c>
      <c r="M17" s="2433" t="s">
        <v>2147</v>
      </c>
    </row>
    <row r="18" spans="1:35" ht="15.75" thickBot="1">
      <c r="A18" s="2434" t="s">
        <v>2148</v>
      </c>
      <c r="B18" s="2435"/>
      <c r="C18" s="142">
        <f>ROUND(C17/SUM(C17:D17),2)</f>
        <v>0.6</v>
      </c>
      <c r="D18" s="142">
        <f>1-C18</f>
        <v>0.4</v>
      </c>
      <c r="E18" s="138"/>
      <c r="F18" s="138"/>
      <c r="G18" s="138"/>
      <c r="H18" s="138"/>
      <c r="I18" s="138"/>
      <c r="K18" s="2430" t="s">
        <v>2149</v>
      </c>
      <c r="L18" s="2430">
        <f>IF(C1="",'数据-汇总表'!E3,SUMIF(项目类型,C1,'数据-汇总表'!E17:E26)+SUMIF(项目类型,C1,'数据-汇总表'!I17:I26))</f>
        <v>5590.66</v>
      </c>
      <c r="M18" s="2430">
        <f>IF(C1="",'数据-汇总表'!E3,SUMIF(项目类型,C1,'数据-汇总表'!E17:E26))</f>
        <v>5590.66</v>
      </c>
    </row>
    <row r="19" spans="1:35" ht="15">
      <c r="A19" s="2436" t="s">
        <v>2150</v>
      </c>
      <c r="B19" s="2437" t="s">
        <v>2151</v>
      </c>
      <c r="C19" s="143">
        <f ca="1">SUMIF(INDIRECT("'"&amp;C4&amp;"'"&amp;"!A:A"),结果表!B19,INDIRECT("'"&amp;C4&amp;"'"&amp;"!B:B"))</f>
        <v>26793</v>
      </c>
      <c r="D19" s="144">
        <f ca="1">SUMIF(INDIRECT("'"&amp;D4&amp;"'"&amp;"!A:A"),结果表!B19,INDIRECT("'"&amp;D4&amp;"'"&amp;"!B:B"))</f>
        <v>21606</v>
      </c>
      <c r="E19" s="2436" t="s">
        <v>2152</v>
      </c>
      <c r="F19" s="2437" t="s">
        <v>2151</v>
      </c>
      <c r="G19" s="145">
        <f ca="1">ROUND(C19*$C$18+D19*$D$18,0)</f>
        <v>24718</v>
      </c>
      <c r="H19" s="2438" t="s">
        <v>2153</v>
      </c>
      <c r="I19" s="138"/>
      <c r="K19" s="2430" t="s">
        <v>2154</v>
      </c>
      <c r="L19" s="2430">
        <f>IF(C1="",'数据-汇总表'!D3,SUMIF(项目类型,C1,'数据-汇总表'!D17:D26)+SUMIF(项目类型,C1,'数据-汇总表'!H17:H27))</f>
        <v>0</v>
      </c>
      <c r="M19" s="2430">
        <f>IF(C1="",'数据-汇总表'!D3,SUMIF(项目类型,C1,'数据-汇总表'!D17:D26))</f>
        <v>0</v>
      </c>
    </row>
    <row r="20" spans="1:35" ht="15">
      <c r="A20" s="2439"/>
      <c r="B20" s="1249" t="s">
        <v>2155</v>
      </c>
      <c r="C20" s="146">
        <f ca="1">SUMIF(INDIRECT("'"&amp;C4&amp;"'"&amp;"!A:A"),结果表!B20,INDIRECT("'"&amp;C4&amp;"'"&amp;"!B:B"))</f>
        <v>59472</v>
      </c>
      <c r="D20" s="147">
        <f ca="1">SUMIF(INDIRECT("'"&amp;D4&amp;"'"&amp;"!A:A"),结果表!B20,INDIRECT("'"&amp;D4&amp;"'"&amp;"!B:B"))</f>
        <v>38647</v>
      </c>
      <c r="E20" s="2439"/>
      <c r="F20" s="1249" t="s">
        <v>2155</v>
      </c>
      <c r="G20" s="148">
        <f ca="1">ROUND(C20*$C$18+D20*$D$18,0)</f>
        <v>51142</v>
      </c>
      <c r="H20" s="982" t="s">
        <v>2156</v>
      </c>
      <c r="I20" s="138"/>
    </row>
    <row r="21" spans="1:35" ht="15" customHeight="1" thickBot="1">
      <c r="A21" s="1002"/>
      <c r="B21" s="2440" t="s">
        <v>2157</v>
      </c>
      <c r="C21" s="788" t="e">
        <f ca="1">ROUND(C19*10000/L19,0)</f>
        <v>#DIV/0!</v>
      </c>
      <c r="D21" s="789" t="e">
        <f ca="1">ROUND(D19*10000/L19,0)</f>
        <v>#DIV/0!</v>
      </c>
      <c r="E21" s="1002"/>
      <c r="F21" s="2440" t="s">
        <v>2157</v>
      </c>
      <c r="G21" s="149" t="e">
        <f ca="1">ROUND(G19*10000/L19,0)</f>
        <v>#DIV/0!</v>
      </c>
      <c r="H21" s="2441" t="s">
        <v>2156</v>
      </c>
      <c r="I21" s="138"/>
    </row>
    <row r="22" spans="1:35" ht="15" thickBot="1">
      <c r="A22" s="2282" t="s">
        <v>2158</v>
      </c>
      <c r="B22" s="2442"/>
      <c r="C22" s="2443"/>
      <c r="D22" s="790">
        <f ca="1">IF(C19&lt;D19,D19/C19-1,C19/D19-1)</f>
        <v>0.24007220216606506</v>
      </c>
      <c r="E22" s="138"/>
      <c r="F22" s="138"/>
      <c r="G22" s="138"/>
      <c r="H22" s="138"/>
      <c r="I22" s="138"/>
    </row>
    <row r="23" spans="1:35" ht="13.5" thickBot="1">
      <c r="A23" s="2420"/>
      <c r="B23" s="2420"/>
      <c r="C23" s="2420"/>
      <c r="D23" s="2420"/>
      <c r="E23" s="138"/>
      <c r="F23" s="138"/>
      <c r="G23" s="138"/>
      <c r="H23" s="138"/>
      <c r="I23" s="138"/>
    </row>
    <row r="24" spans="1:35" ht="14.25">
      <c r="A24" s="3106" t="s">
        <v>2159</v>
      </c>
      <c r="B24" s="2437" t="s">
        <v>2151</v>
      </c>
      <c r="C24" s="145">
        <f>IF(B30=0,0,D30)</f>
        <v>0</v>
      </c>
      <c r="D24" s="2444"/>
      <c r="E24" s="138"/>
      <c r="F24" s="138"/>
      <c r="G24" s="138"/>
      <c r="H24" s="138"/>
      <c r="I24" s="138"/>
    </row>
    <row r="25" spans="1:35" ht="14.25">
      <c r="A25" s="3107"/>
      <c r="B25" s="1249"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29" t="s">
        <v>3044</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2165</v>
      </c>
      <c r="B32" s="2450"/>
      <c r="C32" s="153">
        <f ca="1">IF(D32="总价",G19-C24,G20-C25)</f>
        <v>24718</v>
      </c>
      <c r="D32" s="2451" t="s">
        <v>2166</v>
      </c>
      <c r="E32" s="138"/>
      <c r="F32" s="138"/>
      <c r="G32" s="138"/>
      <c r="H32" s="138"/>
      <c r="I32" s="138"/>
    </row>
    <row r="33" spans="1:15" ht="15">
      <c r="A33" s="959" t="s">
        <v>2167</v>
      </c>
      <c r="B33" s="2452"/>
      <c r="C33" s="2453"/>
      <c r="D33" s="2454"/>
      <c r="E33" s="2455" t="s">
        <v>2168</v>
      </c>
      <c r="F33" s="2456" t="str">
        <f>IF(D32="楼面单价","取值（单价）","取值（总价）")</f>
        <v>取值（总价）</v>
      </c>
      <c r="G33" s="138"/>
      <c r="H33" s="138"/>
      <c r="I33" s="138"/>
    </row>
    <row r="34" spans="1:15" ht="15">
      <c r="A34" s="2457"/>
      <c r="B34" s="2458"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2170</v>
      </c>
      <c r="F34" s="1738"/>
      <c r="G34" s="138"/>
      <c r="H34" s="138"/>
      <c r="I34" s="138"/>
    </row>
    <row r="35" spans="1:15" ht="15.75" thickBot="1">
      <c r="A35" s="2460"/>
      <c r="B35" s="2461"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2" t="s">
        <v>2172</v>
      </c>
      <c r="F35" s="163"/>
      <c r="G35" s="138"/>
      <c r="H35" s="138"/>
      <c r="I35" s="138"/>
    </row>
    <row r="36" spans="1:15" ht="15.75" thickBot="1">
      <c r="A36" s="3124" t="s">
        <v>2173</v>
      </c>
      <c r="B36" s="2463" t="s">
        <v>2174</v>
      </c>
      <c r="C36" s="154"/>
      <c r="D36" s="2464"/>
      <c r="E36" s="2465"/>
      <c r="F36" s="2466"/>
      <c r="G36" s="138"/>
      <c r="H36" s="138"/>
      <c r="I36" s="138"/>
    </row>
    <row r="37" spans="1:15" ht="15.75" thickBot="1">
      <c r="A37" s="3125"/>
      <c r="B37" s="2268" t="s">
        <v>2175</v>
      </c>
      <c r="C37" s="156"/>
      <c r="D37" s="1394"/>
      <c r="E37" s="1394"/>
      <c r="F37" s="2466"/>
      <c r="G37" s="138"/>
      <c r="H37" s="138"/>
      <c r="I37" s="138"/>
    </row>
    <row r="38" spans="1:15" ht="15.75" thickBot="1">
      <c r="A38" s="3126"/>
      <c r="B38" s="2467" t="s">
        <v>2176</v>
      </c>
      <c r="C38" s="726"/>
      <c r="D38" s="2468" t="s">
        <v>2177</v>
      </c>
      <c r="E38" s="1394"/>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103" t="s">
        <v>2187</v>
      </c>
      <c r="B45" s="3104"/>
      <c r="C45" s="3105"/>
      <c r="D45" s="164">
        <f ca="1">ROUND(H101*F45,0)</f>
        <v>24718</v>
      </c>
      <c r="E45" s="165" t="s">
        <v>2188</v>
      </c>
      <c r="F45" s="166">
        <v>1</v>
      </c>
      <c r="G45" s="167" t="s">
        <v>2189</v>
      </c>
      <c r="H45" s="138"/>
      <c r="I45" s="138"/>
      <c r="J45" s="3163" t="s">
        <v>2190</v>
      </c>
      <c r="K45" s="3163"/>
      <c r="L45" s="3163"/>
      <c r="M45" s="3163"/>
      <c r="N45" s="3163"/>
      <c r="O45" s="3163"/>
    </row>
    <row r="46" spans="1:15" ht="14.25" customHeight="1">
      <c r="A46" s="3100" t="s">
        <v>2191</v>
      </c>
      <c r="B46" s="3101"/>
      <c r="C46" s="3101"/>
      <c r="D46" s="3101"/>
      <c r="E46" s="3101"/>
      <c r="F46" s="3101"/>
      <c r="G46" s="3102"/>
      <c r="H46" s="2482"/>
      <c r="I46" s="168"/>
      <c r="J46" s="1811">
        <v>1</v>
      </c>
      <c r="K46" s="3163" t="s">
        <v>2192</v>
      </c>
      <c r="L46" s="3163"/>
      <c r="M46" s="3183"/>
      <c r="N46" s="3183"/>
      <c r="O46" s="3183"/>
    </row>
    <row r="47" spans="1:15" ht="12" customHeight="1">
      <c r="A47" s="169" t="s">
        <v>2193</v>
      </c>
      <c r="B47" s="170"/>
      <c r="C47" s="171"/>
      <c r="D47" s="172" t="s">
        <v>2194</v>
      </c>
      <c r="E47" s="24" t="s">
        <v>2195</v>
      </c>
      <c r="F47" s="173" t="s">
        <v>2196</v>
      </c>
      <c r="G47" s="174" t="s">
        <v>2197</v>
      </c>
      <c r="H47" s="2482"/>
      <c r="I47" s="168"/>
      <c r="J47" s="1811">
        <v>2</v>
      </c>
      <c r="K47" s="3163" t="s">
        <v>2198</v>
      </c>
      <c r="L47" s="3163"/>
      <c r="M47" s="3184">
        <f>'数据-取费表'!B2</f>
        <v>43172</v>
      </c>
      <c r="N47" s="3184"/>
      <c r="O47" s="3184"/>
    </row>
    <row r="48" spans="1:15" ht="25.5">
      <c r="A48" s="3131" t="s">
        <v>2199</v>
      </c>
      <c r="B48" s="3114"/>
      <c r="C48" s="3114"/>
      <c r="D48" s="140">
        <f>IF(H48="情况1",0,IF(H48="情况2",D52,IF(H48="情况3",D53,IF(H48="情况4",D54))))</f>
        <v>0</v>
      </c>
      <c r="E48" s="1800" t="str">
        <f>IF(H48="情况4","(销售额-原购置价)×税（费）率","销售额×税（费）率")</f>
        <v>销售额×税（费）率</v>
      </c>
      <c r="F48" s="175" t="str">
        <f>IF(H48="情况1","免征",'数据-取费表'!B41)</f>
        <v>免征</v>
      </c>
      <c r="G48" s="2483" t="s">
        <v>2200</v>
      </c>
      <c r="H48" s="2484" t="s">
        <v>2201</v>
      </c>
      <c r="I48" s="2482"/>
      <c r="J48" s="1811">
        <v>3</v>
      </c>
      <c r="K48" s="3163" t="s">
        <v>2202</v>
      </c>
      <c r="L48" s="3163"/>
      <c r="M48" s="3185">
        <f ca="1">H101</f>
        <v>24718</v>
      </c>
      <c r="N48" s="3185"/>
      <c r="O48" s="3185"/>
    </row>
    <row r="49" spans="1:35" ht="25.5" customHeight="1">
      <c r="A49" s="176" t="s">
        <v>2203</v>
      </c>
      <c r="B49" s="3099" t="s">
        <v>2204</v>
      </c>
      <c r="C49" s="3099"/>
      <c r="D49" s="177">
        <v>0</v>
      </c>
      <c r="E49" s="23" t="s">
        <v>2205</v>
      </c>
      <c r="F49" s="28" t="s">
        <v>34</v>
      </c>
      <c r="G49" s="3169"/>
      <c r="H49" s="138"/>
      <c r="I49" s="2485"/>
      <c r="J49" s="1811">
        <v>4</v>
      </c>
      <c r="K49" s="3163" t="str">
        <f>IF(项目基本情况!E8="房地产抵押价值","房地产抵押价值","抵押担保权已注销时的房地产抵押价值")</f>
        <v>房地产抵押价值</v>
      </c>
      <c r="L49" s="3163"/>
      <c r="M49" s="3185">
        <f ca="1">IF(项目基本情况!E8="房地产抵押价值",H107,H109)</f>
        <v>24718</v>
      </c>
      <c r="N49" s="3185"/>
      <c r="O49" s="3185"/>
    </row>
    <row r="50" spans="1:35" ht="25.5" customHeight="1">
      <c r="A50" s="178"/>
      <c r="B50" s="3099" t="s">
        <v>2206</v>
      </c>
      <c r="C50" s="3099"/>
      <c r="D50" s="179"/>
      <c r="E50" s="31"/>
      <c r="F50" s="180"/>
      <c r="G50" s="3170"/>
      <c r="H50" s="138"/>
      <c r="I50" s="2485"/>
      <c r="J50" s="3163" t="s">
        <v>2207</v>
      </c>
      <c r="K50" s="3163"/>
      <c r="L50" s="3163"/>
      <c r="M50" s="3163"/>
      <c r="N50" s="3163"/>
      <c r="O50" s="3163"/>
    </row>
    <row r="51" spans="1:35" ht="12" customHeight="1">
      <c r="A51" s="181"/>
      <c r="B51" s="3099" t="s">
        <v>2208</v>
      </c>
      <c r="C51" s="3099"/>
      <c r="D51" s="182"/>
      <c r="E51" s="30"/>
      <c r="F51" s="180"/>
      <c r="G51" s="3171"/>
      <c r="H51" s="138"/>
      <c r="I51" s="2485"/>
      <c r="J51" s="2486" t="s">
        <v>2209</v>
      </c>
      <c r="K51" s="3163" t="s">
        <v>2210</v>
      </c>
      <c r="L51" s="3163"/>
      <c r="M51" s="2486" t="s">
        <v>2211</v>
      </c>
      <c r="N51" s="2486" t="s">
        <v>2212</v>
      </c>
      <c r="O51" s="2486" t="s">
        <v>2213</v>
      </c>
    </row>
    <row r="52" spans="1:35" ht="24" customHeight="1">
      <c r="A52" s="183" t="s">
        <v>2214</v>
      </c>
      <c r="B52" s="3099" t="s">
        <v>2215</v>
      </c>
      <c r="C52" s="3099"/>
      <c r="D52" s="182">
        <f ca="1">ROUND(D45*'数据-取费表'!B41/(1+'数据-取费表'!C42),0)</f>
        <v>1295</v>
      </c>
      <c r="E52" s="11" t="s">
        <v>2216</v>
      </c>
      <c r="F52" s="184">
        <f>'数据-取费表'!B41</f>
        <v>5.5000000000000007E-2</v>
      </c>
      <c r="G52" s="2487"/>
      <c r="H52" s="138"/>
      <c r="I52" s="2485"/>
      <c r="J52" s="1811">
        <v>1</v>
      </c>
      <c r="K52" s="3164" t="s">
        <v>2217</v>
      </c>
      <c r="L52" s="3164"/>
      <c r="M52" s="1753">
        <f>D48</f>
        <v>0</v>
      </c>
      <c r="N52" s="1811" t="str">
        <f>E48</f>
        <v>销售额×税（费）率</v>
      </c>
      <c r="O52" s="1754" t="str">
        <f>F48</f>
        <v>免征</v>
      </c>
    </row>
    <row r="53" spans="1:35" ht="12" customHeight="1">
      <c r="A53" s="183" t="s">
        <v>2218</v>
      </c>
      <c r="B53" s="3122" t="s">
        <v>2219</v>
      </c>
      <c r="C53" s="3123"/>
      <c r="D53" s="182">
        <f ca="1">ROUND(D45*'数据-取费表'!B41/(1+'数据-取费表'!C42),0)</f>
        <v>1295</v>
      </c>
      <c r="E53" s="11" t="s">
        <v>2216</v>
      </c>
      <c r="F53" s="184">
        <f>'数据-取费表'!B41</f>
        <v>5.5000000000000007E-2</v>
      </c>
      <c r="G53" s="2487"/>
      <c r="H53" s="138"/>
      <c r="I53" s="2485"/>
      <c r="J53" s="1811">
        <v>2</v>
      </c>
      <c r="K53" s="3164" t="s">
        <v>2220</v>
      </c>
      <c r="L53" s="3164"/>
      <c r="M53" s="1753">
        <f t="shared" ref="M53:O54" ca="1" si="0">D55</f>
        <v>12</v>
      </c>
      <c r="N53" s="1811" t="str">
        <f t="shared" si="0"/>
        <v>销售额×税（费）率</v>
      </c>
      <c r="O53" s="1754">
        <f t="shared" si="0"/>
        <v>5.0000000000000001E-4</v>
      </c>
    </row>
    <row r="54" spans="1:35" ht="12" customHeight="1">
      <c r="A54" s="183" t="s">
        <v>2221</v>
      </c>
      <c r="B54" s="3122" t="s">
        <v>2222</v>
      </c>
      <c r="C54" s="3123"/>
      <c r="D54" s="182">
        <f ca="1">C68</f>
        <v>1295</v>
      </c>
      <c r="E54" s="30" t="s">
        <v>2223</v>
      </c>
      <c r="F54" s="184">
        <f>'数据-取费表'!B41</f>
        <v>5.5000000000000007E-2</v>
      </c>
      <c r="G54" s="2487"/>
      <c r="H54" s="2488"/>
      <c r="I54" s="2485"/>
      <c r="J54" s="1811">
        <v>3</v>
      </c>
      <c r="K54" s="3164" t="s">
        <v>2224</v>
      </c>
      <c r="L54" s="3164"/>
      <c r="M54" s="1753">
        <f t="shared" ca="1" si="0"/>
        <v>14013</v>
      </c>
      <c r="N54" s="1811" t="str">
        <f t="shared" si="0"/>
        <v>增值额×税（费）率</v>
      </c>
      <c r="O54" s="1755" t="str">
        <f t="shared" si="0"/>
        <v>——</v>
      </c>
    </row>
    <row r="55" spans="1:35" ht="24" customHeight="1">
      <c r="A55" s="3113" t="s">
        <v>2225</v>
      </c>
      <c r="B55" s="3114"/>
      <c r="C55" s="3114"/>
      <c r="D55" s="185">
        <f ca="1">IF(H55="个人住宅",0,ROUND(D45*I55,0))</f>
        <v>12</v>
      </c>
      <c r="E55" s="11" t="s">
        <v>2226</v>
      </c>
      <c r="F55" s="184">
        <f>IF(H55="正常",I55,"免征")</f>
        <v>5.0000000000000001E-4</v>
      </c>
      <c r="G55" s="2487"/>
      <c r="H55" s="2484" t="s">
        <v>2227</v>
      </c>
      <c r="I55" s="186">
        <f>'数据-取费表'!B49</f>
        <v>5.0000000000000001E-4</v>
      </c>
      <c r="J55" s="1811" t="str">
        <f>IF(H59="非个人房产","",4)</f>
        <v/>
      </c>
      <c r="K55" s="3164" t="str">
        <f>IF(H59="非个人房产","——","个人所得税")</f>
        <v>——</v>
      </c>
      <c r="L55" s="3164"/>
      <c r="M55" s="1756" t="str">
        <f>D59</f>
        <v>——</v>
      </c>
      <c r="N55" s="1809" t="str">
        <f>E59</f>
        <v>——</v>
      </c>
      <c r="O55" s="1757" t="str">
        <f>F59</f>
        <v>——</v>
      </c>
    </row>
    <row r="56" spans="1:35" ht="24.75">
      <c r="A56" s="3113" t="s">
        <v>2228</v>
      </c>
      <c r="B56" s="3114"/>
      <c r="C56" s="3114"/>
      <c r="D56" s="185">
        <f ca="1">IF(H56="个人住宅",D57,D58)</f>
        <v>14013</v>
      </c>
      <c r="E56" s="11" t="s">
        <v>2229</v>
      </c>
      <c r="F56" s="184" t="str">
        <f>IF(H56="正常",F58,"免征")</f>
        <v>——</v>
      </c>
      <c r="G56" s="2489" t="s">
        <v>2230</v>
      </c>
      <c r="H56" s="2490" t="s">
        <v>2227</v>
      </c>
      <c r="I56" s="2491"/>
      <c r="J56" s="1811" t="str">
        <f>IF(项目基本情况!K6="上海银行",IF(J55="",4,J55+1),"")</f>
        <v/>
      </c>
      <c r="K56" s="3187" t="str">
        <f>IF(项目基本情况!K6="上海银行","其他处置费用","")</f>
        <v/>
      </c>
      <c r="L56" s="3188"/>
      <c r="M56" s="1753" t="str">
        <f>IF(项目基本情况!K6="上海银行",M69,"")</f>
        <v/>
      </c>
      <c r="N56" s="3190" t="str">
        <f>IF(项目基本情况!K6="上海银行","包含处置中涉及的律师、诉讼、拍卖、评估等费用","")</f>
        <v/>
      </c>
      <c r="O56" s="3191"/>
    </row>
    <row r="57" spans="1:35" ht="12.75">
      <c r="A57" s="183" t="s">
        <v>2203</v>
      </c>
      <c r="B57" s="3129" t="s">
        <v>2231</v>
      </c>
      <c r="C57" s="3138"/>
      <c r="D57" s="187">
        <v>0</v>
      </c>
      <c r="E57" s="23" t="s">
        <v>2205</v>
      </c>
      <c r="F57" s="155"/>
      <c r="G57" s="2487"/>
      <c r="H57" s="2491"/>
      <c r="I57" s="2491"/>
      <c r="J57" s="3164">
        <f>IF(AND(J55="",J56=""),4,IF(项目基本情况!K6="上海银行",结果表!J56+1,结果表!J55+1))</f>
        <v>4</v>
      </c>
      <c r="K57" s="3164" t="s">
        <v>2232</v>
      </c>
      <c r="L57" s="2492" t="s">
        <v>2233</v>
      </c>
      <c r="M57" s="1758"/>
      <c r="N57" s="1759">
        <f ca="1">SUMIF(M52:M56,"&lt;9e307")</f>
        <v>14025</v>
      </c>
      <c r="O57" s="2493"/>
      <c r="P57" s="1752">
        <f ca="1">N57/M49</f>
        <v>0.56740027510316371</v>
      </c>
    </row>
    <row r="58" spans="1:35" ht="24.75">
      <c r="A58" s="183" t="s">
        <v>2214</v>
      </c>
      <c r="B58" s="3129" t="s">
        <v>2234</v>
      </c>
      <c r="C58" s="3130"/>
      <c r="D58" s="185">
        <f ca="1">IF(H58="转让取得",C81,C97)</f>
        <v>14013</v>
      </c>
      <c r="E58" s="11" t="s">
        <v>2229</v>
      </c>
      <c r="F58" s="24" t="s">
        <v>34</v>
      </c>
      <c r="G58" s="2487"/>
      <c r="H58" s="2490" t="s">
        <v>2235</v>
      </c>
      <c r="I58" s="2491"/>
      <c r="J58" s="3164"/>
      <c r="K58" s="3164"/>
      <c r="L58" s="2492" t="s">
        <v>2236</v>
      </c>
      <c r="M58" s="1760"/>
      <c r="N58" s="2494" t="str">
        <f ca="1">NUMBERSTRING(INT(N57*10000),2)&amp;"元整"</f>
        <v>壹亿肆仟零贰拾伍万元整</v>
      </c>
      <c r="O58" s="2495"/>
    </row>
    <row r="59" spans="1:35" ht="24.75" thickBot="1">
      <c r="A59" s="3167" t="s">
        <v>2237</v>
      </c>
      <c r="B59" s="3168"/>
      <c r="C59" s="3168"/>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165">
        <f>J57+1</f>
        <v>5</v>
      </c>
      <c r="K59" s="3164" t="s">
        <v>2239</v>
      </c>
      <c r="L59" s="1811" t="s">
        <v>2233</v>
      </c>
      <c r="M59" s="1761"/>
      <c r="N59" s="1762">
        <f ca="1">M49-N57</f>
        <v>10693</v>
      </c>
      <c r="O59" s="2497"/>
    </row>
    <row r="60" spans="1:35" ht="12" customHeight="1">
      <c r="A60" s="2498"/>
      <c r="B60" s="2420"/>
      <c r="C60" s="2420"/>
      <c r="D60" s="2420"/>
      <c r="E60" s="2167"/>
      <c r="F60" s="2491"/>
      <c r="G60" s="2491"/>
      <c r="H60" s="2499"/>
      <c r="I60" s="138"/>
      <c r="J60" s="3166"/>
      <c r="K60" s="3164"/>
      <c r="L60" s="2492" t="s">
        <v>2236</v>
      </c>
      <c r="M60" s="1760"/>
      <c r="N60" s="2494" t="str">
        <f ca="1">NUMBERSTRING(INT(N59*10000),2)&amp;"元整"</f>
        <v>壹亿零陆佰玖拾叁万元整</v>
      </c>
      <c r="O60" s="2495"/>
    </row>
    <row r="61" spans="1:35" ht="13.5" thickBot="1">
      <c r="A61" s="3111" t="s">
        <v>2240</v>
      </c>
      <c r="B61" s="3111"/>
      <c r="C61" s="3111"/>
      <c r="D61" s="3111"/>
      <c r="E61" s="3111"/>
      <c r="F61" s="2491"/>
      <c r="G61" s="2491"/>
      <c r="H61" s="2499"/>
      <c r="I61" s="138"/>
      <c r="J61" s="1811">
        <f>J59+1</f>
        <v>6</v>
      </c>
      <c r="K61" s="3164" t="s">
        <v>2241</v>
      </c>
      <c r="L61" s="3164"/>
      <c r="M61" s="1763"/>
      <c r="N61" s="1764">
        <f ca="1">ROUND(N59*10000/'数据-汇总表'!E3,0)</f>
        <v>15772</v>
      </c>
      <c r="O61" s="2500"/>
    </row>
    <row r="62" spans="1:35" ht="12.75">
      <c r="A62" s="3127" t="s">
        <v>2242</v>
      </c>
      <c r="B62" s="3128"/>
      <c r="C62" s="1803"/>
      <c r="D62" s="1803" t="s">
        <v>2243</v>
      </c>
      <c r="E62" s="192" t="s">
        <v>2244</v>
      </c>
      <c r="F62" s="2491"/>
      <c r="G62" s="2491"/>
      <c r="H62" s="2499"/>
      <c r="I62" s="138"/>
    </row>
    <row r="63" spans="1:35" ht="12.75">
      <c r="A63" s="203" t="s">
        <v>775</v>
      </c>
      <c r="B63" s="193" t="s">
        <v>2245</v>
      </c>
      <c r="C63" s="194">
        <f ca="1">ROUND((C64+C65)/(1+'数据-取费表'!C42),0)</f>
        <v>23541</v>
      </c>
      <c r="D63" s="195"/>
      <c r="E63" s="196"/>
      <c r="F63" s="2491"/>
      <c r="G63" s="2491"/>
      <c r="H63" s="2499"/>
      <c r="I63" s="138"/>
      <c r="J63" s="3189" t="s">
        <v>2246</v>
      </c>
      <c r="K63" s="2501" t="s">
        <v>2247</v>
      </c>
      <c r="L63" s="1751">
        <f ca="1">IF(M49&gt;10000,M49*0.5%,IF(AND(M49&gt;1000,M49&lt;=10000),M49*1%,IF(AND(M49&gt;100,M49&lt;=1000),M49*3%,IF(AND(M49&gt;10,M49&lt;=100),M49*5%,M49*8%))))</f>
        <v>123.59</v>
      </c>
      <c r="M63" s="24">
        <f ca="1">ROUND(L63,1)</f>
        <v>123.6</v>
      </c>
      <c r="Z63" s="2425"/>
      <c r="AI63" s="2426"/>
    </row>
    <row r="64" spans="1:35" ht="14.25" customHeight="1">
      <c r="A64" s="197" t="s">
        <v>770</v>
      </c>
      <c r="B64" s="198" t="s">
        <v>2248</v>
      </c>
      <c r="C64" s="199">
        <f ca="1">D45</f>
        <v>24718</v>
      </c>
      <c r="D64" s="200" t="s">
        <v>32</v>
      </c>
      <c r="E64" s="201"/>
      <c r="F64" s="2491"/>
      <c r="G64" s="2491"/>
      <c r="H64" s="2499"/>
      <c r="I64" s="138"/>
      <c r="J64" s="3189"/>
      <c r="K64" s="2501" t="s">
        <v>2249</v>
      </c>
      <c r="L64" s="1751">
        <f ca="1">IF(M49&gt;2000,M49*0.5%,IF(AND(M49&gt;1000,M49&lt;=2000),M49*0.6%,IF(AND(M49&gt;500,M49&lt;=1000),M49*0.7%,IF(AND(M49&gt;200,M49&lt;=500),M49*0.8%,IF(AND(M49&gt;100,M49&lt;=200),M49*0.9%,IF(AND(M49&gt;50,M49&lt;=100),M49*1%,IF(AND(M49&gt;20,M49&lt;=50),M49*1.5%,IF(AND(M49&gt;10,M49&lt;=20),M49*2%,IF(AND(M49&gt;1,M49&lt;=10),M49*2.5%)))))))))</f>
        <v>123.59</v>
      </c>
      <c r="M64" s="24">
        <f t="shared" ref="M64:M65" ca="1" si="1">ROUND(L64,1)</f>
        <v>123.6</v>
      </c>
      <c r="N64" s="138" t="s">
        <v>2250</v>
      </c>
      <c r="Z64" s="2425"/>
      <c r="AI64" s="2426"/>
    </row>
    <row r="65" spans="1:35" ht="14.25" customHeight="1">
      <c r="A65" s="197" t="s">
        <v>771</v>
      </c>
      <c r="B65" s="198" t="s">
        <v>2251</v>
      </c>
      <c r="C65" s="202"/>
      <c r="D65" s="200"/>
      <c r="E65" s="201"/>
      <c r="F65" s="2491"/>
      <c r="G65" s="2491"/>
      <c r="H65" s="2499"/>
      <c r="I65" s="138"/>
      <c r="J65" s="3189"/>
      <c r="K65" s="2501" t="s">
        <v>2252</v>
      </c>
      <c r="L65" s="1751">
        <f ca="1">IF(M49&gt;1000,M49*0.1%,IF(AND(M49&gt;500,M49&lt;=1000),M49*0.5%,IF(AND(M49&gt;50,M49&lt;=500),M49*1%,IF(AND(M49&gt;1,M49&lt;=50),M49*1.5%))))</f>
        <v>24.718</v>
      </c>
      <c r="M65" s="24">
        <f t="shared" ca="1" si="1"/>
        <v>24.7</v>
      </c>
      <c r="N65" s="138" t="s">
        <v>2250</v>
      </c>
      <c r="Z65" s="2425"/>
      <c r="AI65" s="2426"/>
    </row>
    <row r="66" spans="1:35" ht="14.25" customHeight="1">
      <c r="A66" s="203" t="s">
        <v>772</v>
      </c>
      <c r="B66" s="204" t="s">
        <v>2253</v>
      </c>
      <c r="C66" s="205"/>
      <c r="D66" s="206" t="s">
        <v>32</v>
      </c>
      <c r="E66" s="1775" t="s">
        <v>1371</v>
      </c>
      <c r="F66" s="2491"/>
      <c r="G66" s="2491"/>
      <c r="H66" s="2499"/>
      <c r="I66" s="138"/>
      <c r="J66" s="3189"/>
      <c r="K66" s="2501" t="s">
        <v>2254</v>
      </c>
      <c r="L66" s="1751">
        <f ca="1">M49*0.5%</f>
        <v>123.59</v>
      </c>
      <c r="M66" s="24">
        <f ca="1">IF(L66&gt;0.5,0.5,ROUND(L66,0))</f>
        <v>0.5</v>
      </c>
      <c r="N66" s="138" t="s">
        <v>2255</v>
      </c>
      <c r="Z66" s="2425"/>
      <c r="AI66" s="2426"/>
    </row>
    <row r="67" spans="1:35" ht="14.25" customHeight="1">
      <c r="A67" s="203" t="s">
        <v>773</v>
      </c>
      <c r="B67" s="204" t="s">
        <v>2256</v>
      </c>
      <c r="C67" s="207">
        <f ca="1">C63-C66</f>
        <v>23541</v>
      </c>
      <c r="D67" s="200" t="s">
        <v>32</v>
      </c>
      <c r="E67" s="201"/>
      <c r="F67" s="2491"/>
      <c r="G67" s="2491"/>
      <c r="H67" s="2499"/>
      <c r="I67" s="138"/>
      <c r="J67" s="3189"/>
      <c r="K67" s="2501" t="s">
        <v>2257</v>
      </c>
      <c r="L67" s="1751">
        <f ca="1">IF(M49&gt;=10000,(8.25+(M49-10000)*0.01%),IF(AND(M49&gt;=8000,M49&lt;10000),(7.85+(M49-8000)*0.02%),IF(AND(M49&gt;=5000,M49&lt;8000),(6.65+(M49-5000)*0.04%),IF(AND(M49&gt;=2000,M49&lt;5000),(4.25+(PM49-2000)*0.08%),IF(AND(M49&gt;=1000,M49&lt;2000),(2.75+(M49-1000)*0.15%),IF(AND(M49&gt;=100,M49&lt;1000),(0.5+(M49-100)*0.25%),IF(AND(M49&gt;0,M49&lt;100),M49*0.5%)))))))</f>
        <v>9.7218</v>
      </c>
      <c r="M67" s="24">
        <f ca="1">ROUND(L67*0.9,1)</f>
        <v>8.6999999999999993</v>
      </c>
      <c r="Z67" s="2425"/>
      <c r="AI67" s="2426"/>
    </row>
    <row r="68" spans="1:35" ht="14.25" customHeight="1" thickBot="1">
      <c r="A68" s="208" t="s">
        <v>774</v>
      </c>
      <c r="B68" s="209" t="s">
        <v>2258</v>
      </c>
      <c r="C68" s="210">
        <f ca="1">IF(C67&lt;=0,0,ROUND(C67*D68,0))</f>
        <v>1295</v>
      </c>
      <c r="D68" s="211">
        <f>'数据-取费表'!B41</f>
        <v>5.5000000000000007E-2</v>
      </c>
      <c r="E68" s="212"/>
      <c r="F68" s="2491"/>
      <c r="G68" s="2491"/>
      <c r="H68" s="2499"/>
      <c r="I68" s="138"/>
      <c r="J68" s="3189"/>
      <c r="K68" s="2501" t="s">
        <v>2259</v>
      </c>
      <c r="L68" s="1751">
        <f ca="1">IF(M49&gt;10000,M49*0.5%,IF(AND(M49&gt;5000,M49&lt;=10000),M49*1%,IF(AND(M49&gt;1000,M49&lt;=5000),M49*2%,IF(AND(M49&gt;200,M49&lt;=1000),M49*3%,M49*5%))))</f>
        <v>123.59</v>
      </c>
      <c r="M68" s="24">
        <f ca="1">ROUND(L68,1)</f>
        <v>123.6</v>
      </c>
      <c r="Z68" s="2425"/>
      <c r="AI68" s="2426"/>
    </row>
    <row r="69" spans="1:35" s="2448" customFormat="1" ht="16.5" customHeight="1">
      <c r="A69" s="2502"/>
      <c r="B69" s="2503"/>
      <c r="C69" s="2504"/>
      <c r="D69" s="2505"/>
      <c r="E69" s="2506"/>
      <c r="F69" s="2167"/>
      <c r="G69" s="2167"/>
      <c r="H69" s="2166"/>
      <c r="I69" s="2420"/>
      <c r="J69" s="3189"/>
      <c r="K69" s="2501" t="s">
        <v>2260</v>
      </c>
      <c r="L69" s="2507"/>
      <c r="M69" s="24">
        <f ca="1">ROUND(SUM(M63:M68),0)</f>
        <v>405</v>
      </c>
      <c r="N69" s="1752">
        <f ca="1">M69/M49</f>
        <v>1.6384820778380129E-2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8" t="s">
        <v>2261</v>
      </c>
      <c r="B70" s="3149"/>
      <c r="C70" s="3149"/>
      <c r="D70" s="3149"/>
      <c r="E70" s="3149"/>
      <c r="F70" s="3149"/>
      <c r="G70" s="3149"/>
      <c r="H70" s="314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7" t="s">
        <v>2242</v>
      </c>
      <c r="B71" s="3128"/>
      <c r="C71" s="1803"/>
      <c r="D71" s="1803"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2262</v>
      </c>
      <c r="C72" s="207">
        <f ca="1">ROUND(D45/(1+'数据-取费表'!C42),0)</f>
        <v>23541</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2263</v>
      </c>
      <c r="C73" s="207">
        <f ca="1">C74+C78</f>
        <v>118</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122" t="s">
        <v>2270</v>
      </c>
      <c r="F76" s="3099"/>
      <c r="G76" s="3099"/>
      <c r="H76" s="314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5" t="s">
        <v>2273</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118</v>
      </c>
      <c r="D78" s="226">
        <f>'数据-取费表'!B43</f>
        <v>5.000000000000001E-3</v>
      </c>
      <c r="E78" s="3108" t="s">
        <v>2275</v>
      </c>
      <c r="F78" s="3109"/>
      <c r="G78" s="3109"/>
      <c r="H78" s="311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2276</v>
      </c>
      <c r="C79" s="207">
        <f ca="1">C72-C73</f>
        <v>23423</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198.5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2278</v>
      </c>
      <c r="C81" s="228">
        <f ca="1">ROUND(IF(C79&lt;=0,0,IF(C80&gt;=200%,C79*60%-C73*35%,IF(C80&gt;=100%,C79*50%-C73*15%,IF(C80&gt;=50%,C79*40%-C73*5%,IF(C80&lt;50%,C79*30%,0))))),0)</f>
        <v>14013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8" t="s">
        <v>2279</v>
      </c>
      <c r="B83" s="3149"/>
      <c r="C83" s="3149"/>
      <c r="D83" s="3149"/>
      <c r="E83" s="3149"/>
      <c r="F83" s="3149"/>
      <c r="G83" s="3149"/>
      <c r="H83" s="314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7" t="s">
        <v>2242</v>
      </c>
      <c r="B84" s="3128"/>
      <c r="C84" s="1803"/>
      <c r="D84" s="1803"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2262</v>
      </c>
      <c r="C85" s="207">
        <f ca="1">ROUND(D45/(1+'数据-取费表'!C42),0)</f>
        <v>23541</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2263</v>
      </c>
      <c r="C86" s="207">
        <f ca="1">IF(H88="仅含出让金",C87+C90+C91+C92+C93+C94,C87+C91+C92+C93+C94)</f>
        <v>118</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2280</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2281</v>
      </c>
      <c r="C88" s="236"/>
      <c r="D88" s="226"/>
      <c r="E88" s="237" t="s">
        <v>2282</v>
      </c>
      <c r="F88" s="1799"/>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2271</v>
      </c>
      <c r="C89" s="225">
        <f>ROUND(C88*D89,0)</f>
        <v>0</v>
      </c>
      <c r="D89" s="226">
        <f>'数据-取费表'!B48+'数据-取费表'!B49</f>
        <v>3.0499999999999999E-2</v>
      </c>
      <c r="E89" s="237" t="s">
        <v>2284</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2285</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108" t="s">
        <v>2288</v>
      </c>
      <c r="F91" s="3109"/>
      <c r="G91" s="3109"/>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108" t="s">
        <v>2292</v>
      </c>
      <c r="F92" s="3109"/>
      <c r="G92" s="3109"/>
      <c r="H92" s="311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118</v>
      </c>
      <c r="D93" s="226">
        <f>'数据-取费表'!B43</f>
        <v>5.000000000000001E-3</v>
      </c>
      <c r="E93" s="3108" t="s">
        <v>2275</v>
      </c>
      <c r="F93" s="3109"/>
      <c r="G93" s="3109"/>
      <c r="H93" s="311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119" t="s">
        <v>2296</v>
      </c>
      <c r="F94" s="3120"/>
      <c r="G94" s="3120"/>
      <c r="H94" s="312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2276</v>
      </c>
      <c r="C95" s="207">
        <f ca="1">ROUND(C85-C86,0)</f>
        <v>23423</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198.5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2278</v>
      </c>
      <c r="C97" s="228">
        <f ca="1">ROUND(IF(C95&lt;=0,0,IF(C96&gt;=200%,C95*60%-C86*35%,IF(C96&gt;=100%,C95*50%-C86*15%,IF(C96&gt;=50%,C95*40%-C86*5%,IF(C96&lt;50%,C95*30%,0))))),0)</f>
        <v>14013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2297</v>
      </c>
      <c r="B99" s="2420"/>
      <c r="C99" s="2420"/>
      <c r="D99" s="2420"/>
      <c r="E99" s="2167"/>
      <c r="F99" s="2167"/>
      <c r="G99" s="2167"/>
      <c r="H99" s="2166"/>
      <c r="I99" s="138"/>
    </row>
    <row r="100" spans="1:35" ht="18.75" customHeight="1">
      <c r="A100" s="3093" t="s">
        <v>2298</v>
      </c>
      <c r="B100" s="3094"/>
      <c r="C100" s="3094"/>
      <c r="D100" s="3110"/>
      <c r="E100" s="3094" t="s">
        <v>2299</v>
      </c>
      <c r="F100" s="3094"/>
      <c r="G100" s="3094"/>
      <c r="H100" s="3110"/>
      <c r="I100" s="138"/>
    </row>
    <row r="101" spans="1:35" ht="18.75" customHeight="1">
      <c r="A101" s="3172" t="s">
        <v>2300</v>
      </c>
      <c r="B101" s="3173"/>
      <c r="C101" s="735" t="str">
        <f>C4</f>
        <v>典型户型修正-48</v>
      </c>
      <c r="D101" s="736" t="str">
        <f>D4</f>
        <v>收益法</v>
      </c>
      <c r="E101" s="3186" t="s">
        <v>2301</v>
      </c>
      <c r="F101" s="3140"/>
      <c r="G101" s="2522" t="s">
        <v>2302</v>
      </c>
      <c r="H101" s="1047">
        <f ca="1">H118</f>
        <v>24718</v>
      </c>
      <c r="I101" s="138"/>
    </row>
    <row r="102" spans="1:35" ht="18.75" customHeight="1">
      <c r="A102" s="3142" t="s">
        <v>2303</v>
      </c>
      <c r="B102" s="2522" t="s">
        <v>2302</v>
      </c>
      <c r="C102" s="735">
        <f ca="1">C19</f>
        <v>26793</v>
      </c>
      <c r="D102" s="736">
        <f ca="1">D19</f>
        <v>21606</v>
      </c>
      <c r="E102" s="3186"/>
      <c r="F102" s="3140"/>
      <c r="G102" s="2522" t="s">
        <v>2304</v>
      </c>
      <c r="H102" s="371">
        <f ca="1">I118</f>
        <v>44213</v>
      </c>
      <c r="I102" s="138"/>
    </row>
    <row r="103" spans="1:35" ht="42.75" customHeight="1">
      <c r="A103" s="3142"/>
      <c r="B103" s="2522" t="s">
        <v>2304</v>
      </c>
      <c r="C103" s="737">
        <f ca="1">C20</f>
        <v>59472</v>
      </c>
      <c r="D103" s="738">
        <f ca="1">D20</f>
        <v>38647</v>
      </c>
      <c r="E103" s="3181" t="s">
        <v>2305</v>
      </c>
      <c r="F103" s="3182"/>
      <c r="G103" s="2523" t="s">
        <v>2306</v>
      </c>
      <c r="H103" s="1047">
        <f>IF(D36="正常操作",H104+H105+H106,H105+H106)</f>
        <v>0</v>
      </c>
      <c r="I103" s="138"/>
    </row>
    <row r="104" spans="1:35" ht="18.75" customHeight="1">
      <c r="A104" s="3142" t="s">
        <v>2307</v>
      </c>
      <c r="B104" s="2524" t="s">
        <v>2302</v>
      </c>
      <c r="C104" s="739">
        <f ca="1">H118</f>
        <v>24718</v>
      </c>
      <c r="D104" s="740"/>
      <c r="E104" s="2268" t="s">
        <v>2308</v>
      </c>
      <c r="F104" s="2259"/>
      <c r="G104" s="2523" t="s">
        <v>2306</v>
      </c>
      <c r="H104" s="1048">
        <f>IF(D36="同一抵押权人同一抵押物续贷",C36&amp;"（未扣减，详见特别提示）",C36)</f>
        <v>0</v>
      </c>
      <c r="I104" s="138"/>
    </row>
    <row r="105" spans="1:35" ht="18.75" customHeight="1" thickBot="1">
      <c r="A105" s="3143"/>
      <c r="B105" s="2525" t="s">
        <v>2304</v>
      </c>
      <c r="C105" s="741">
        <f ca="1">I118</f>
        <v>44213</v>
      </c>
      <c r="D105" s="742"/>
      <c r="E105" s="2268" t="s">
        <v>2309</v>
      </c>
      <c r="F105" s="2259"/>
      <c r="G105" s="2523" t="s">
        <v>2306</v>
      </c>
      <c r="H105" s="1048">
        <f>C37</f>
        <v>0</v>
      </c>
      <c r="I105" s="138"/>
    </row>
    <row r="106" spans="1:35" ht="18.75" customHeight="1">
      <c r="A106" s="2420" t="s">
        <v>2310</v>
      </c>
      <c r="B106" s="2420"/>
      <c r="C106" s="2420"/>
      <c r="D106" s="2420"/>
      <c r="E106" s="2526" t="s">
        <v>2311</v>
      </c>
      <c r="F106" s="2259"/>
      <c r="G106" s="2523" t="s">
        <v>2306</v>
      </c>
      <c r="H106" s="1048">
        <f>C38</f>
        <v>0</v>
      </c>
      <c r="I106" s="138"/>
    </row>
    <row r="107" spans="1:35" ht="18.75" customHeight="1">
      <c r="A107" s="138"/>
      <c r="B107" s="138"/>
      <c r="C107" s="138"/>
      <c r="D107" s="138"/>
      <c r="E107" s="3139" t="str">
        <f>IF(项目基本情况!E8="已注销","——","3.房地产抵押价值")</f>
        <v>3.房地产抵押价值</v>
      </c>
      <c r="F107" s="3140"/>
      <c r="G107" s="2522" t="s">
        <v>2302</v>
      </c>
      <c r="H107" s="1047">
        <f ca="1">IF(E107="——","——",H101-H103)</f>
        <v>24718</v>
      </c>
      <c r="I107" s="138"/>
    </row>
    <row r="108" spans="1:35" ht="18.75" customHeight="1">
      <c r="A108" s="138"/>
      <c r="B108" s="138"/>
      <c r="C108" s="138"/>
      <c r="D108" s="138"/>
      <c r="E108" s="3139"/>
      <c r="F108" s="3140"/>
      <c r="G108" s="2522" t="s">
        <v>2304</v>
      </c>
      <c r="H108" s="371">
        <f ca="1">ROUND(H107*10000/'数据-汇总表'!E3,0)</f>
        <v>36458</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22" t="s">
        <v>2302</v>
      </c>
      <c r="H109" s="348" t="str">
        <f>IF(E109="——","——",H101-H105-H106)</f>
        <v>——</v>
      </c>
      <c r="I109" s="138"/>
    </row>
    <row r="110" spans="1:35" ht="18.75" customHeight="1">
      <c r="A110" s="138"/>
      <c r="B110" s="138"/>
      <c r="C110" s="138"/>
      <c r="D110" s="138"/>
      <c r="E110" s="3139"/>
      <c r="F110" s="3140"/>
      <c r="G110" s="2522" t="s">
        <v>2304</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22" t="s">
        <v>2302</v>
      </c>
      <c r="H111" s="1047" t="str">
        <f>IF(E111="——","——",N59)</f>
        <v>——</v>
      </c>
      <c r="I111" s="138"/>
    </row>
    <row r="112" spans="1:35" ht="18.75" customHeight="1" thickBot="1">
      <c r="A112" s="138"/>
      <c r="B112" s="138"/>
      <c r="C112" s="138"/>
      <c r="D112" s="138"/>
      <c r="E112" s="3176"/>
      <c r="F112" s="3177"/>
      <c r="G112" s="2527" t="s">
        <v>2304</v>
      </c>
      <c r="H112" s="789" t="str">
        <f>IF(E111="——","——",N61)</f>
        <v>——</v>
      </c>
      <c r="I112" s="138"/>
    </row>
    <row r="113" spans="1:11" ht="18.75" customHeight="1">
      <c r="A113" s="138"/>
      <c r="B113" s="138"/>
      <c r="C113" s="138"/>
      <c r="D113" s="138"/>
      <c r="E113" s="3144" t="s">
        <v>2310</v>
      </c>
      <c r="F113" s="3144"/>
      <c r="G113" s="3144"/>
      <c r="H113" s="3144"/>
      <c r="I113" s="138"/>
    </row>
    <row r="114" spans="1:11" ht="3.75" customHeight="1">
      <c r="A114" s="2420"/>
      <c r="B114" s="2420"/>
      <c r="C114" s="2420"/>
      <c r="D114" s="2420"/>
      <c r="E114" s="2498"/>
      <c r="F114" s="2498"/>
      <c r="G114" s="2498"/>
      <c r="H114" s="2498"/>
      <c r="I114" s="2420"/>
    </row>
    <row r="115" spans="1:11" ht="18.75" customHeight="1">
      <c r="A115" s="3157" t="s">
        <v>2312</v>
      </c>
      <c r="B115" s="3158"/>
      <c r="C115" s="3158"/>
      <c r="D115" s="3158"/>
      <c r="E115" s="3158"/>
      <c r="F115" s="3158"/>
      <c r="G115" s="3158"/>
      <c r="H115" s="3158"/>
      <c r="I115" s="3159"/>
    </row>
    <row r="116" spans="1:11" ht="27" customHeight="1">
      <c r="A116" s="3046" t="s">
        <v>2313</v>
      </c>
      <c r="B116" s="3145" t="s">
        <v>2314</v>
      </c>
      <c r="C116" s="3145" t="s">
        <v>2315</v>
      </c>
      <c r="D116" s="3161" t="s">
        <v>2316</v>
      </c>
      <c r="E116" s="3162"/>
      <c r="F116" s="3153" t="s">
        <v>2317</v>
      </c>
      <c r="G116" s="3153"/>
      <c r="H116" s="3046" t="s">
        <v>2318</v>
      </c>
      <c r="I116" s="3046"/>
    </row>
    <row r="117" spans="1:11" ht="18.75" customHeight="1">
      <c r="A117" s="3046"/>
      <c r="B117" s="3146"/>
      <c r="C117" s="3146"/>
      <c r="D117" s="1797" t="s">
        <v>2319</v>
      </c>
      <c r="E117" s="1797" t="s">
        <v>2320</v>
      </c>
      <c r="F117" s="1797" t="s">
        <v>2319</v>
      </c>
      <c r="G117" s="1797" t="s">
        <v>2321</v>
      </c>
      <c r="H117" s="1797" t="s">
        <v>2319</v>
      </c>
      <c r="I117" s="1797" t="s">
        <v>2321</v>
      </c>
    </row>
    <row r="118" spans="1:11" ht="24.75" customHeight="1">
      <c r="A118" s="2528" t="str">
        <f>项目基本情况!S2</f>
        <v>北京市大兴区兴华园48号楼46号、201号及11幢3套商业用房房地产</v>
      </c>
      <c r="B118" s="1797">
        <f>M18</f>
        <v>5590.66</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24718</v>
      </c>
      <c r="I118" s="1797">
        <f ca="1">ROUND(IF(D32="楼面单价",C32,H118*10000/B118),0)</f>
        <v>44213</v>
      </c>
    </row>
    <row r="119" spans="1:11" ht="18.75" customHeight="1">
      <c r="A119" s="3046" t="s">
        <v>2322</v>
      </c>
      <c r="B119" s="3046"/>
      <c r="C119" s="3046"/>
      <c r="D119" s="3150" t="e">
        <f ca="1">NUMBERSTRING(INT(D118*10000),2)&amp;"元整"</f>
        <v>#REF!</v>
      </c>
      <c r="E119" s="3152"/>
      <c r="F119" s="3150" t="e">
        <f ca="1">NUMBERSTRING(INT(F118*10000),2)&amp;"元整"</f>
        <v>#REF!</v>
      </c>
      <c r="G119" s="3152"/>
      <c r="H119" s="3150" t="str">
        <f ca="1">NUMBERSTRING(INT(H118*10000),2)&amp;"元整"</f>
        <v>贰亿肆仟柒佰壹拾捌万元整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5" t="str">
        <f>IF(D120=0,"故，本次评估不存在"&amp;A120,"故，本次评估"&amp;A120&amp;"为人民币"&amp;D120&amp;"万元整。")</f>
        <v>故，本次评估不存在估价师知悉的法定优先受偿款</v>
      </c>
    </row>
    <row r="121" spans="1:11" ht="18.75" customHeight="1">
      <c r="A121" s="3154" t="s">
        <v>2322</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24718</v>
      </c>
      <c r="E122" s="3179"/>
      <c r="F122" s="3179"/>
      <c r="G122" s="3179"/>
      <c r="H122" s="3179"/>
      <c r="I122" s="3180"/>
    </row>
    <row r="123" spans="1:11" ht="18.75" customHeight="1">
      <c r="A123" s="3046" t="s">
        <v>2322</v>
      </c>
      <c r="B123" s="3046"/>
      <c r="C123" s="3046"/>
      <c r="D123" s="3150" t="str">
        <f ca="1">NUMBERSTRING(INT(D122*10000),2)&amp;"元整"</f>
        <v>贰亿肆仟柒佰壹拾捌万元整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46" t="s">
        <v>2322</v>
      </c>
      <c r="B125" s="3046"/>
      <c r="C125" s="3046"/>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46" t="s">
        <v>2322</v>
      </c>
      <c r="B127" s="3046"/>
      <c r="C127" s="3046"/>
      <c r="D127" s="3150" t="e">
        <f>NUMBERSTRING(INT(D126*10000),2)&amp;"元整"</f>
        <v>#VALUE!</v>
      </c>
      <c r="E127" s="3151"/>
      <c r="F127" s="3151"/>
      <c r="G127" s="3151"/>
      <c r="H127" s="3151"/>
      <c r="I127" s="3152"/>
    </row>
    <row r="128" spans="1:11" ht="21.75" customHeight="1">
      <c r="A128" s="3160" t="s">
        <v>2323</v>
      </c>
      <c r="B128" s="3160"/>
      <c r="C128" s="3160"/>
      <c r="D128" s="3160"/>
      <c r="E128" s="3160"/>
      <c r="F128" s="3160"/>
      <c r="G128" s="3160"/>
      <c r="H128" s="3160"/>
      <c r="I128" s="3160"/>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2326</v>
      </c>
      <c r="G135" s="2546"/>
      <c r="H135" s="2546"/>
      <c r="I135" s="2547" t="s">
        <v>2327</v>
      </c>
    </row>
    <row r="136" spans="1:35" ht="21.75" customHeight="1">
      <c r="A136" s="794"/>
      <c r="B136" s="254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2329</v>
      </c>
    </row>
    <row r="139" spans="1:35" ht="21.75" customHeight="1">
      <c r="A139" s="794"/>
      <c r="B139" s="2548" t="s">
        <v>2330</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2329</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2" t="str">
        <f>项目基本情况!B1</f>
        <v>北京市大兴区兴华园48号楼46号、201号及11幢3套商业用房房地产抵押价值预评估</v>
      </c>
      <c r="C37" s="3002"/>
      <c r="D37" s="3002"/>
      <c r="E37" s="3002"/>
      <c r="F37" s="3002"/>
      <c r="G37" s="3002"/>
      <c r="H37" s="3002"/>
      <c r="I37" s="3002"/>
    </row>
    <row r="38" spans="1:9">
      <c r="A38" s="1018"/>
      <c r="B38" s="1018"/>
    </row>
    <row r="39" spans="1:9">
      <c r="A39" s="1016" t="s">
        <v>818</v>
      </c>
      <c r="B39" s="1016" t="s">
        <v>820</v>
      </c>
    </row>
    <row r="40" spans="1:9">
      <c r="A40" s="1016"/>
      <c r="B40" s="1944" t="str">
        <f>项目基本情况!B5</f>
        <v>北京福发房地产开发有限公司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刘梅（注册号：1120140022)、吴薇（注册号：1419970001)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1">
        <f>MATCH(B1,'数据-取费表'!A6:A16,0)+5</f>
        <v>9</v>
      </c>
    </row>
    <row r="2" spans="1:9" s="244" customFormat="1" ht="18" customHeight="1">
      <c r="A2" s="245" t="s">
        <v>2332</v>
      </c>
      <c r="B2" s="246">
        <f ca="1">IF(D2="——",C52,C52-E2)</f>
        <v>2494</v>
      </c>
      <c r="C2" s="243" t="s">
        <v>2333</v>
      </c>
      <c r="D2" s="2551" t="s">
        <v>70</v>
      </c>
      <c r="E2" s="1442" t="e">
        <f ca="1">SUMIF(INDIRECT("'"&amp;G2&amp;"'"&amp;"!A:A"),"承租人权益价值",INDIRECT("'"&amp;G2&amp;"'"&amp;"!c:c"))</f>
        <v>#REF!</v>
      </c>
      <c r="F2" s="2552" t="s">
        <v>2333</v>
      </c>
      <c r="G2" s="2553"/>
    </row>
    <row r="3" spans="1:9" s="244" customFormat="1" ht="18" customHeight="1" thickBot="1">
      <c r="A3" s="247" t="s">
        <v>2334</v>
      </c>
      <c r="B3" s="248">
        <f ca="1">ROUND(B2*10000/(IF(B1="",'数据-汇总表'!E3,INDIRECT("'数据-取费表'!k"&amp;$G$1))),0)</f>
        <v>3679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1" t="s">
        <v>2342</v>
      </c>
      <c r="B6" s="259" t="s">
        <v>2343</v>
      </c>
      <c r="C6" s="260"/>
      <c r="D6" s="261"/>
      <c r="E6" s="262"/>
      <c r="F6" s="262"/>
      <c r="G6" s="263"/>
    </row>
    <row r="7" spans="1:9" s="258" customFormat="1" ht="13.5" customHeight="1">
      <c r="A7" s="951" t="s">
        <v>2344</v>
      </c>
      <c r="B7" s="259" t="s">
        <v>2345</v>
      </c>
      <c r="C7" s="264">
        <f>ROUND(C6*F7,0)</f>
        <v>0</v>
      </c>
      <c r="D7" s="264"/>
      <c r="E7" s="262"/>
      <c r="F7" s="265">
        <f>'数据-取费表'!B48+'数据-取费表'!B49</f>
        <v>3.0499999999999999E-2</v>
      </c>
      <c r="G7" s="263"/>
    </row>
    <row r="8" spans="1:9" s="267" customFormat="1">
      <c r="A8" s="951" t="s">
        <v>2346</v>
      </c>
      <c r="B8" s="259" t="s">
        <v>2347</v>
      </c>
      <c r="C8" s="264">
        <f>IF(G8="已包含在土地购买价格中","0",IF(B1="",'数据-取费表'!B29,IF(G9="全部缴纳",C9+C10,H9)))</f>
        <v>0</v>
      </c>
      <c r="D8" s="266"/>
      <c r="E8" s="264"/>
      <c r="F8" s="265"/>
      <c r="G8" s="2554"/>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0</v>
      </c>
      <c r="F9" s="265"/>
      <c r="G9" s="2555"/>
      <c r="H9" s="1392"/>
      <c r="I9" s="2556" t="s">
        <v>2349</v>
      </c>
    </row>
    <row r="10" spans="1:9" s="258" customFormat="1" ht="13.5" customHeight="1">
      <c r="A10" s="952" t="s">
        <v>801</v>
      </c>
      <c r="B10" s="268" t="s">
        <v>2350</v>
      </c>
      <c r="C10" s="269">
        <f ca="1">ROUND(D10*E10/10000,0)</f>
        <v>136</v>
      </c>
      <c r="D10" s="1034">
        <f ca="1">IF(B1="",'数据-汇总表'!E6,IF(INDIRECT("'数据-取费表'!c"&amp;$G$1)="住宅",INDIRECT("'数据-取费表'!s"&amp;$G$1),INDIRECT("'数据-取费表'!k"&amp;$G$1)+INDIRECT("'数据-取费表'!s"&amp;$G$1)))</f>
        <v>6779.85</v>
      </c>
      <c r="E10" s="269">
        <f>'数据-取费表'!B28</f>
        <v>200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f ca="1">IF(G19="已包含在土地取得成本中","0",ROUND(D19*E19/10000,0))</f>
        <v>136</v>
      </c>
      <c r="D19" s="1038">
        <f ca="1">D9+D10</f>
        <v>6779.85</v>
      </c>
      <c r="E19" s="255">
        <f>'数据-取费表'!B31</f>
        <v>200</v>
      </c>
      <c r="F19" s="275"/>
      <c r="G19" s="2554"/>
    </row>
    <row r="20" spans="1:7" s="258" customFormat="1" ht="13.5" customHeight="1">
      <c r="A20" s="299" t="s">
        <v>2363</v>
      </c>
      <c r="B20" s="254" t="s">
        <v>2364</v>
      </c>
      <c r="C20" s="276">
        <f ca="1">ROUND((C5+C19)*F20,0)</f>
        <v>1</v>
      </c>
      <c r="D20" s="276"/>
      <c r="E20" s="276"/>
      <c r="F20" s="277">
        <f>'数据-取费表'!B37</f>
        <v>0.01</v>
      </c>
      <c r="G20" s="278" t="s">
        <v>2365</v>
      </c>
    </row>
    <row r="21" spans="1:7" s="258" customFormat="1" ht="13.5" customHeight="1">
      <c r="A21" s="299" t="s">
        <v>2366</v>
      </c>
      <c r="B21" s="254" t="s">
        <v>2367</v>
      </c>
      <c r="C21" s="279">
        <f>F21</f>
        <v>0.01</v>
      </c>
      <c r="D21" s="280" t="s">
        <v>2368</v>
      </c>
      <c r="E21" s="276"/>
      <c r="F21" s="277">
        <f>'数据-取费表'!B38</f>
        <v>0.01</v>
      </c>
      <c r="G21" s="278" t="s">
        <v>2369</v>
      </c>
    </row>
    <row r="22" spans="1:7" s="258" customFormat="1" ht="13.5" customHeight="1">
      <c r="A22" s="299" t="s">
        <v>2370</v>
      </c>
      <c r="B22" s="254" t="s">
        <v>2371</v>
      </c>
      <c r="C22" s="1356">
        <f ca="1">ROUND(SUM(C23:C25),0)</f>
        <v>13</v>
      </c>
      <c r="D22" s="279">
        <f ca="1">C26</f>
        <v>5.0000000000000001E-4</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0</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13</v>
      </c>
      <c r="D24" s="282"/>
      <c r="E24" s="282"/>
      <c r="F24" s="283"/>
      <c r="G24" s="284" t="s">
        <v>2377</v>
      </c>
    </row>
    <row r="25" spans="1:7" s="258" customFormat="1" ht="24">
      <c r="A25" s="953" t="s">
        <v>2378</v>
      </c>
      <c r="B25" s="259" t="s">
        <v>2379</v>
      </c>
      <c r="C25" s="1357">
        <f ca="1">ROUND(IF('数据-取费表'!B22&lt;=1,C20*F22*'数据-取费表'!B23/2,C20*(POWER((1+F22),'数据-取费表'!B23/2)-1)),0)</f>
        <v>0</v>
      </c>
      <c r="D25" s="282"/>
      <c r="E25" s="285"/>
      <c r="F25" s="283"/>
      <c r="G25" s="286" t="s">
        <v>2380</v>
      </c>
    </row>
    <row r="26" spans="1:7" s="258" customFormat="1">
      <c r="A26" s="953" t="s">
        <v>795</v>
      </c>
      <c r="B26" s="259" t="s">
        <v>2381</v>
      </c>
      <c r="C26" s="282">
        <f ca="1">ROUND(IF('数据-取费表'!B22&lt;=1,F21*F22*'数据-取费表'!B23/2,F21*(POWER((1+F22),'数据-取费表'!B23/2)-1)),4)</f>
        <v>5.0000000000000001E-4</v>
      </c>
      <c r="D26" s="282"/>
      <c r="E26" s="285"/>
      <c r="F26" s="283"/>
      <c r="G26" s="287"/>
    </row>
    <row r="27" spans="1:7" s="258" customFormat="1" ht="24.75">
      <c r="A27" s="299" t="s">
        <v>2382</v>
      </c>
      <c r="B27" s="288" t="s">
        <v>2383</v>
      </c>
      <c r="C27" s="289">
        <f ca="1">C28</f>
        <v>34</v>
      </c>
      <c r="D27" s="279">
        <f ca="1">C29</f>
        <v>2.5000000000000001E-3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34</v>
      </c>
      <c r="D28" s="279"/>
      <c r="E28" s="280"/>
      <c r="F28" s="290"/>
      <c r="G28" s="291"/>
    </row>
    <row r="29" spans="1:7" s="258" customFormat="1" ht="13.5" customHeight="1">
      <c r="A29" s="953" t="s">
        <v>792</v>
      </c>
      <c r="B29" s="292" t="s">
        <v>2387</v>
      </c>
      <c r="C29" s="282">
        <f ca="1">ROUND(C21*F27*'数据-取费表'!B21/'数据-取费表'!B20,4)</f>
        <v>2.5000000000000001E-3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197</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1978</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1763</v>
      </c>
      <c r="D34" s="261"/>
      <c r="E34" s="264"/>
      <c r="F34" s="301">
        <f ca="1">IF('数据-取费表'!B24=0,1,IF(B1="",'数据-取费表'!N16,INDIRECT("'数据-取费表'!n"&amp;$G$1)))</f>
        <v>1</v>
      </c>
      <c r="G34" s="263" t="s">
        <v>2396</v>
      </c>
    </row>
    <row r="35" spans="1:7" ht="13.5" customHeight="1">
      <c r="A35" s="953" t="s">
        <v>796</v>
      </c>
      <c r="B35" s="259" t="s">
        <v>2397</v>
      </c>
      <c r="C35" s="264">
        <f ca="1">ROUND(C34*F35,0)</f>
        <v>53</v>
      </c>
      <c r="D35" s="264"/>
      <c r="E35" s="264"/>
      <c r="F35" s="303">
        <f>'数据-取费表'!B33</f>
        <v>0.03</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136</v>
      </c>
      <c r="D37" s="261">
        <f ca="1">D19</f>
        <v>6779.85</v>
      </c>
      <c r="E37" s="293">
        <f>'数据-取费表'!B35</f>
        <v>200</v>
      </c>
      <c r="F37" s="303"/>
      <c r="G37" s="305" t="s">
        <v>2402</v>
      </c>
    </row>
    <row r="38" spans="1:7" ht="13.5" customHeight="1">
      <c r="A38" s="953" t="s">
        <v>799</v>
      </c>
      <c r="B38" s="259" t="s">
        <v>2403</v>
      </c>
      <c r="C38" s="264">
        <f ca="1">ROUND(C34*F38,0)</f>
        <v>26</v>
      </c>
      <c r="D38" s="264"/>
      <c r="E38" s="264"/>
      <c r="F38" s="303">
        <f>'数据-取费表'!B36</f>
        <v>1.4999999999999999E-2</v>
      </c>
      <c r="G38" s="263" t="s">
        <v>2398</v>
      </c>
    </row>
    <row r="39" spans="1:7" s="258" customFormat="1" ht="13.5" customHeight="1">
      <c r="A39" s="299" t="s">
        <v>2404</v>
      </c>
      <c r="B39" s="254" t="s">
        <v>2405</v>
      </c>
      <c r="C39" s="276">
        <f ca="1">ROUND(C33*F20,0)</f>
        <v>20</v>
      </c>
      <c r="D39" s="276"/>
      <c r="E39" s="276"/>
      <c r="F39" s="277"/>
      <c r="G39" s="278" t="s">
        <v>2406</v>
      </c>
    </row>
    <row r="40" spans="1:7" s="258" customFormat="1" ht="13.5" customHeight="1">
      <c r="A40" s="299" t="s">
        <v>2407</v>
      </c>
      <c r="B40" s="254" t="s">
        <v>2408</v>
      </c>
      <c r="C40" s="1730">
        <f>F21</f>
        <v>0.01</v>
      </c>
      <c r="D40" s="280" t="s">
        <v>2409</v>
      </c>
      <c r="E40" s="276"/>
      <c r="F40" s="277"/>
      <c r="G40" s="278" t="s">
        <v>2410</v>
      </c>
    </row>
    <row r="41" spans="1:7" s="258" customFormat="1" ht="13.5" customHeight="1">
      <c r="A41" s="299" t="s">
        <v>2411</v>
      </c>
      <c r="B41" s="254" t="s">
        <v>2412</v>
      </c>
      <c r="C41" s="276">
        <f ca="1">ROUND(SUM(C42:C43),0)</f>
        <v>95</v>
      </c>
      <c r="D41" s="279">
        <f ca="1">C44</f>
        <v>5.0000000000000001E-4</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94</v>
      </c>
      <c r="D42" s="282"/>
      <c r="E42" s="282"/>
      <c r="F42" s="283"/>
      <c r="G42" s="3192" t="s">
        <v>2414</v>
      </c>
    </row>
    <row r="43" spans="1:7" ht="13.5" customHeight="1">
      <c r="A43" s="953" t="s">
        <v>792</v>
      </c>
      <c r="B43" s="259" t="s">
        <v>2415</v>
      </c>
      <c r="C43" s="282">
        <f ca="1">ROUND(IF('数据-取费表'!B22&lt;=1,C39*F22*'数据-取费表'!B21/2,C39*(POWER((1+F22),'数据-取费表'!B21/2)-1)),0)</f>
        <v>1</v>
      </c>
      <c r="D43" s="282"/>
      <c r="E43" s="282"/>
      <c r="F43" s="283"/>
      <c r="G43" s="3193"/>
    </row>
    <row r="44" spans="1:7" ht="13.5" customHeight="1">
      <c r="A44" s="953" t="s">
        <v>793</v>
      </c>
      <c r="B44" s="259" t="s">
        <v>2416</v>
      </c>
      <c r="C44" s="282">
        <f ca="1">ROUND(IF('数据-取费表'!B22&lt;=1,C40*F22*'数据-取费表'!B21/2,C40*(POWER((1+F22),'数据-取费表'!B21/2)-1)),4)</f>
        <v>5.0000000000000001E-4</v>
      </c>
      <c r="D44" s="282"/>
      <c r="E44" s="282"/>
      <c r="F44" s="283"/>
      <c r="G44" s="3194"/>
    </row>
    <row r="45" spans="1:7" s="258" customFormat="1" ht="13.5" customHeight="1">
      <c r="A45" s="299" t="s">
        <v>2417</v>
      </c>
      <c r="B45" s="288" t="s">
        <v>2383</v>
      </c>
      <c r="C45" s="289">
        <f ca="1">C46</f>
        <v>500</v>
      </c>
      <c r="D45" s="279">
        <f ca="1">C47</f>
        <v>2.5000000000000001E-3</v>
      </c>
      <c r="E45" s="280" t="s">
        <v>2409</v>
      </c>
      <c r="F45" s="290"/>
      <c r="G45" s="291" t="s">
        <v>2418</v>
      </c>
    </row>
    <row r="46" spans="1:7" s="258" customFormat="1" ht="13.5" customHeight="1">
      <c r="A46" s="953" t="s">
        <v>791</v>
      </c>
      <c r="B46" s="292" t="s">
        <v>2419</v>
      </c>
      <c r="C46" s="293">
        <f ca="1">ROUND((C33+C39)*F27,0)</f>
        <v>500</v>
      </c>
      <c r="D46" s="307"/>
      <c r="E46" s="280"/>
      <c r="F46" s="290"/>
      <c r="G46" s="291"/>
    </row>
    <row r="47" spans="1:7" s="258" customFormat="1" ht="13.5" customHeight="1">
      <c r="A47" s="953" t="s">
        <v>792</v>
      </c>
      <c r="B47" s="292" t="s">
        <v>2420</v>
      </c>
      <c r="C47" s="282">
        <f ca="1">ROUND(C40*F27,4)</f>
        <v>2.5000000000000001E-3</v>
      </c>
      <c r="D47" s="307"/>
      <c r="E47" s="280"/>
      <c r="F47" s="290"/>
      <c r="G47" s="291"/>
    </row>
    <row r="48" spans="1:7" s="258" customFormat="1" ht="13.5" customHeight="1">
      <c r="A48" s="299" t="s">
        <v>2382</v>
      </c>
      <c r="B48" s="254" t="s">
        <v>2421</v>
      </c>
      <c r="C48" s="1730">
        <f>ROUND(F30/(1+'数据-取费表'!C42),4)</f>
        <v>5.2400000000000002E-2</v>
      </c>
      <c r="D48" s="280" t="s">
        <v>2409</v>
      </c>
      <c r="E48" s="276"/>
      <c r="F48" s="281"/>
      <c r="G48" s="278" t="s">
        <v>2422</v>
      </c>
    </row>
    <row r="49" spans="1:7" ht="16.5" customHeight="1">
      <c r="A49" s="299" t="s">
        <v>2388</v>
      </c>
      <c r="B49" s="254" t="s">
        <v>2423</v>
      </c>
      <c r="C49" s="276">
        <f ca="1">ROUND((C33+C39+C41+C45)/(1-C40-D41-D45-C48),0)</f>
        <v>2774</v>
      </c>
      <c r="D49" s="276"/>
      <c r="E49" s="276"/>
      <c r="F49" s="308"/>
      <c r="G49" s="278" t="s">
        <v>2424</v>
      </c>
    </row>
    <row r="50" spans="1:7" s="302" customFormat="1" ht="24">
      <c r="A50" s="299" t="s">
        <v>2425</v>
      </c>
      <c r="B50" s="254" t="s">
        <v>2426</v>
      </c>
      <c r="C50" s="276"/>
      <c r="D50" s="276"/>
      <c r="E50" s="276"/>
      <c r="F50" s="308">
        <f>IF('数据-取费表'!B24=0,'数据-取费表'!N16,1)</f>
        <v>0.82799999999999996</v>
      </c>
      <c r="G50" s="291" t="s">
        <v>2427</v>
      </c>
    </row>
    <row r="51" spans="1:7" ht="16.5" customHeight="1">
      <c r="A51" s="299" t="s">
        <v>2428</v>
      </c>
      <c r="B51" s="254" t="s">
        <v>2429</v>
      </c>
      <c r="C51" s="276">
        <f ca="1">ROUND(C49*F50,0)</f>
        <v>2297</v>
      </c>
      <c r="D51" s="276"/>
      <c r="E51" s="276"/>
      <c r="F51" s="308"/>
      <c r="G51" s="278" t="s">
        <v>2430</v>
      </c>
    </row>
    <row r="52" spans="1:7" s="252" customFormat="1" ht="16.5" thickBot="1">
      <c r="A52" s="309" t="s">
        <v>2431</v>
      </c>
      <c r="B52" s="310"/>
      <c r="C52" s="311">
        <f ca="1">C31+C51</f>
        <v>2494</v>
      </c>
      <c r="D52" s="310"/>
      <c r="E52" s="310"/>
      <c r="F52" s="310"/>
      <c r="G52" s="312"/>
    </row>
    <row r="55" spans="1:7" ht="15">
      <c r="B55" s="314" t="s">
        <v>2432</v>
      </c>
      <c r="C55" s="315"/>
    </row>
    <row r="56" spans="1:7">
      <c r="B56" s="317" t="s">
        <v>1514</v>
      </c>
      <c r="C56" s="319">
        <f ca="1">1-C57</f>
        <v>7.8999999999999959E-2</v>
      </c>
    </row>
    <row r="57" spans="1:7">
      <c r="B57" s="317" t="s">
        <v>1515</v>
      </c>
      <c r="C57" s="318">
        <f ca="1">ROUND(C51/C52,3)</f>
        <v>0.92100000000000004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7" t="s">
        <v>2433</v>
      </c>
      <c r="D1" s="242"/>
      <c r="E1" s="242"/>
      <c r="F1" s="242"/>
      <c r="G1" s="1381">
        <f>MATCH(B1,'数据-取费表'!A6:A16,0)+5</f>
        <v>9</v>
      </c>
      <c r="H1" s="1284" t="str">
        <f>IF(ISERROR(FIND("住宅",B1)),"非住宅","住宅")</f>
        <v>非住宅</v>
      </c>
    </row>
    <row r="2" spans="1:8" s="244" customFormat="1" ht="18" customHeight="1">
      <c r="A2" s="245" t="s">
        <v>2332</v>
      </c>
      <c r="B2" s="246">
        <f ca="1">ROUND(IF(D2="——",C52/10000,C52/10000-E2),0)</f>
        <v>2691</v>
      </c>
      <c r="C2" s="243" t="s">
        <v>2333</v>
      </c>
      <c r="D2" s="2551" t="s">
        <v>70</v>
      </c>
      <c r="E2" s="1442" t="e">
        <f ca="1">SUMIF(INDIRECT("'"&amp;G2&amp;"'"&amp;"!A:A"),"承租人权益价值",INDIRECT("'"&amp;G2&amp;"'"&amp;"!c:c"))</f>
        <v>#REF!</v>
      </c>
      <c r="F2" s="2552" t="s">
        <v>2333</v>
      </c>
      <c r="G2" s="2553"/>
    </row>
    <row r="3" spans="1:8" s="244" customFormat="1" ht="18" customHeight="1" thickBot="1">
      <c r="A3" s="247" t="s">
        <v>2334</v>
      </c>
      <c r="B3" s="248">
        <f ca="1">ROUND(B2*10000/(IF(B1="",'数据-汇总表'!E3,INDIRECT("'数据-取费表'!k"&amp;$G$1))),0)</f>
        <v>3969</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1355970</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1355970</v>
      </c>
      <c r="D8" s="266"/>
      <c r="E8" s="264"/>
      <c r="F8" s="265"/>
      <c r="G8" s="2554"/>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2350</v>
      </c>
      <c r="C10" s="269">
        <f ca="1">ROUND(D10*E10,0)</f>
        <v>1355970</v>
      </c>
      <c r="D10" s="1034">
        <f ca="1">IF(B1="",'数据-汇总表'!E6,IF(INDIRECT("'数据-取费表'!c"&amp;$G$1)="住宅",INDIRECT("'数据-取费表'!s"&amp;$G$1),INDIRECT("'数据-取费表'!k"&amp;$G$1)+INDIRECT("'数据-取费表'!s"&amp;$G$1)))</f>
        <v>6779.85</v>
      </c>
      <c r="E10" s="269">
        <f>'数据-取费表'!B28</f>
        <v>200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1355970</v>
      </c>
      <c r="D19" s="1038">
        <f ca="1">D9+D10</f>
        <v>6779.85</v>
      </c>
      <c r="E19" s="255">
        <f>'数据-取费表'!B31</f>
        <v>200</v>
      </c>
      <c r="F19" s="275"/>
      <c r="G19" s="2554"/>
    </row>
    <row r="20" spans="1:7" s="258" customFormat="1" ht="13.5" customHeight="1">
      <c r="A20" s="299" t="s">
        <v>2444</v>
      </c>
      <c r="B20" s="254" t="s">
        <v>2445</v>
      </c>
      <c r="C20" s="276">
        <f ca="1">ROUND((C5+C19)*F20,0)</f>
        <v>27119</v>
      </c>
      <c r="D20" s="276"/>
      <c r="E20" s="276"/>
      <c r="F20" s="277">
        <f>'数据-取费表'!B37</f>
        <v>0.01</v>
      </c>
      <c r="G20" s="278" t="s">
        <v>2446</v>
      </c>
    </row>
    <row r="21" spans="1:7" s="258" customFormat="1" ht="13.5" customHeight="1">
      <c r="A21" s="299" t="s">
        <v>2447</v>
      </c>
      <c r="B21" s="254" t="s">
        <v>2448</v>
      </c>
      <c r="C21" s="279">
        <f>F21</f>
        <v>0.01</v>
      </c>
      <c r="D21" s="280" t="s">
        <v>2449</v>
      </c>
      <c r="E21" s="276"/>
      <c r="F21" s="277">
        <f>'数据-取费表'!B38</f>
        <v>0.01</v>
      </c>
      <c r="G21" s="278" t="s">
        <v>2450</v>
      </c>
    </row>
    <row r="22" spans="1:7" s="258" customFormat="1" ht="13.5" customHeight="1">
      <c r="A22" s="299" t="s">
        <v>2451</v>
      </c>
      <c r="B22" s="254" t="s">
        <v>2452</v>
      </c>
      <c r="C22" s="1382">
        <f ca="1">ROUND(SUM(C23:C25),0)</f>
        <v>265042</v>
      </c>
      <c r="D22" s="279">
        <f ca="1">C26</f>
        <v>5.0000000000000001E-4</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131877</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131877</v>
      </c>
      <c r="D24" s="282"/>
      <c r="E24" s="282"/>
      <c r="F24" s="283"/>
      <c r="G24" s="284" t="s">
        <v>2456</v>
      </c>
    </row>
    <row r="25" spans="1:7" s="258" customFormat="1" ht="24">
      <c r="A25" s="953" t="s">
        <v>2346</v>
      </c>
      <c r="B25" s="259" t="s">
        <v>2457</v>
      </c>
      <c r="C25" s="1383">
        <f ca="1">ROUND(IF('数据-取费表'!B22&lt;=1,C20*F22*'数据-取费表'!B22/2,C20*(POWER((1+F22),'数据-取费表'!B22/2)-1)),0)</f>
        <v>1288</v>
      </c>
      <c r="D25" s="282"/>
      <c r="E25" s="285"/>
      <c r="F25" s="283"/>
      <c r="G25" s="286" t="s">
        <v>2458</v>
      </c>
    </row>
    <row r="26" spans="1:7" s="258" customFormat="1">
      <c r="A26" s="953" t="s">
        <v>795</v>
      </c>
      <c r="B26" s="259" t="s">
        <v>2381</v>
      </c>
      <c r="C26" s="282">
        <f ca="1">ROUND(IF('数据-取费表'!B22&lt;=1,F21*F22*'数据-取费表'!B22/2,F21*(POWER((1+F22),'数据-取费表'!B22/2)-1)),4)</f>
        <v>5.0000000000000001E-4</v>
      </c>
      <c r="D26" s="282"/>
      <c r="E26" s="285"/>
      <c r="F26" s="283"/>
      <c r="G26" s="287"/>
    </row>
    <row r="27" spans="1:7" s="258" customFormat="1" ht="24.75">
      <c r="A27" s="299" t="s">
        <v>2382</v>
      </c>
      <c r="B27" s="288" t="s">
        <v>2383</v>
      </c>
      <c r="C27" s="289">
        <f ca="1">C28</f>
        <v>684765</v>
      </c>
      <c r="D27" s="279">
        <f ca="1">C29</f>
        <v>2.5000000000000001E-3</v>
      </c>
      <c r="E27" s="280" t="s">
        <v>2384</v>
      </c>
      <c r="F27" s="290">
        <f ca="1">IF(B1="",'数据-取费表'!Q16,INDIRECT("'数据-取费表'!q"&amp;$G$1))</f>
        <v>0.25</v>
      </c>
      <c r="G27" s="291" t="s">
        <v>2385</v>
      </c>
    </row>
    <row r="28" spans="1:7" s="258" customFormat="1" ht="13.5" customHeight="1">
      <c r="A28" s="953" t="s">
        <v>791</v>
      </c>
      <c r="B28" s="292" t="s">
        <v>2386</v>
      </c>
      <c r="C28" s="293">
        <f ca="1">ROUND((C5+C19+C20)*F27,0)</f>
        <v>684765</v>
      </c>
      <c r="D28" s="279"/>
      <c r="E28" s="280"/>
      <c r="F28" s="290"/>
      <c r="G28" s="291"/>
    </row>
    <row r="29" spans="1:7" s="258" customFormat="1" ht="13.5" customHeight="1">
      <c r="A29" s="953" t="s">
        <v>792</v>
      </c>
      <c r="B29" s="292" t="s">
        <v>2387</v>
      </c>
      <c r="C29" s="282">
        <f ca="1">ROUND(C21*F27,4)</f>
        <v>2.5000000000000001E-3</v>
      </c>
      <c r="D29" s="279"/>
      <c r="E29" s="280"/>
      <c r="F29" s="290"/>
      <c r="G29" s="291"/>
    </row>
    <row r="30" spans="1:7" s="258" customFormat="1" ht="13.5" customHeight="1">
      <c r="A30" s="299" t="s">
        <v>2388</v>
      </c>
      <c r="B30" s="254" t="s">
        <v>2389</v>
      </c>
      <c r="C30" s="279">
        <f>ROUND(F30/(1+'数据-取费表'!C42),4)</f>
        <v>5.2400000000000002E-2</v>
      </c>
      <c r="D30" s="280" t="s">
        <v>2384</v>
      </c>
      <c r="E30" s="285"/>
      <c r="F30" s="281">
        <f>'数据-取费表'!B41</f>
        <v>5.5000000000000007E-2</v>
      </c>
      <c r="G30" s="278" t="s">
        <v>2390</v>
      </c>
    </row>
    <row r="31" spans="1:7" ht="16.5" customHeight="1">
      <c r="A31" s="253">
        <v>1</v>
      </c>
      <c r="B31" s="254" t="s">
        <v>2391</v>
      </c>
      <c r="C31" s="255">
        <f ca="1">ROUND((C5+C19+C20+C22+C27)/(1-C21-D22-D27-C30),0)</f>
        <v>3947000</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19776822</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17627610</v>
      </c>
      <c r="D34" s="261"/>
      <c r="E34" s="264"/>
      <c r="F34" s="301"/>
      <c r="G34" s="263"/>
    </row>
    <row r="35" spans="1:7" ht="13.5" customHeight="1">
      <c r="A35" s="953" t="s">
        <v>796</v>
      </c>
      <c r="B35" s="259" t="s">
        <v>2397</v>
      </c>
      <c r="C35" s="264">
        <f ca="1">ROUND(C34*F35,0)</f>
        <v>528828</v>
      </c>
      <c r="D35" s="264"/>
      <c r="E35" s="264"/>
      <c r="F35" s="303">
        <f>'数据-取费表'!B33</f>
        <v>0.03</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1355970</v>
      </c>
      <c r="D37" s="261">
        <f ca="1">D19</f>
        <v>6779.85</v>
      </c>
      <c r="E37" s="293">
        <f>'数据-取费表'!B35</f>
        <v>200</v>
      </c>
      <c r="F37" s="303"/>
      <c r="G37" s="305"/>
    </row>
    <row r="38" spans="1:7" ht="13.5" customHeight="1">
      <c r="A38" s="953" t="s">
        <v>799</v>
      </c>
      <c r="B38" s="259" t="s">
        <v>2403</v>
      </c>
      <c r="C38" s="264">
        <f ca="1">ROUND(C34*F38,0)</f>
        <v>264414</v>
      </c>
      <c r="D38" s="264"/>
      <c r="E38" s="264"/>
      <c r="F38" s="303">
        <f>'数据-取费表'!B36</f>
        <v>1.4999999999999999E-2</v>
      </c>
      <c r="G38" s="263" t="s">
        <v>2398</v>
      </c>
    </row>
    <row r="39" spans="1:7" s="258" customFormat="1" ht="13.5" customHeight="1">
      <c r="A39" s="299" t="s">
        <v>2404</v>
      </c>
      <c r="B39" s="254" t="s">
        <v>2405</v>
      </c>
      <c r="C39" s="276">
        <f ca="1">ROUND(C33*F20,0)</f>
        <v>197768</v>
      </c>
      <c r="D39" s="276"/>
      <c r="E39" s="276"/>
      <c r="F39" s="277"/>
      <c r="G39" s="278" t="s">
        <v>2406</v>
      </c>
    </row>
    <row r="40" spans="1:7" s="258" customFormat="1" ht="13.5" customHeight="1">
      <c r="A40" s="299" t="s">
        <v>2407</v>
      </c>
      <c r="B40" s="254" t="s">
        <v>2408</v>
      </c>
      <c r="C40" s="1730">
        <f>F21</f>
        <v>0.01</v>
      </c>
      <c r="D40" s="280" t="s">
        <v>2409</v>
      </c>
      <c r="E40" s="276"/>
      <c r="F40" s="277"/>
      <c r="G40" s="278" t="s">
        <v>2410</v>
      </c>
    </row>
    <row r="41" spans="1:7" s="258" customFormat="1" ht="13.5" customHeight="1">
      <c r="A41" s="299" t="s">
        <v>2411</v>
      </c>
      <c r="B41" s="254" t="s">
        <v>2412</v>
      </c>
      <c r="C41" s="276">
        <f ca="1">ROUND(SUM(C42:C43),0)</f>
        <v>948793</v>
      </c>
      <c r="D41" s="279">
        <f ca="1">C44</f>
        <v>5.0000000000000001E-4</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939399</v>
      </c>
      <c r="D42" s="282"/>
      <c r="E42" s="282"/>
      <c r="F42" s="283"/>
      <c r="G42" s="3192" t="s">
        <v>2461</v>
      </c>
    </row>
    <row r="43" spans="1:7" ht="13.5" customHeight="1">
      <c r="A43" s="953" t="s">
        <v>792</v>
      </c>
      <c r="B43" s="259" t="s">
        <v>2415</v>
      </c>
      <c r="C43" s="282">
        <f ca="1">ROUND(IF('数据-取费表'!B22&lt;=1,C39*F22*'数据-取费表'!B20/2,C39*(POWER((1+F22),'数据-取费表'!B20/2)-1)),0)</f>
        <v>9394</v>
      </c>
      <c r="D43" s="282"/>
      <c r="E43" s="282"/>
      <c r="F43" s="283"/>
      <c r="G43" s="3193"/>
    </row>
    <row r="44" spans="1:7" ht="13.5" customHeight="1">
      <c r="A44" s="953" t="s">
        <v>793</v>
      </c>
      <c r="B44" s="259" t="s">
        <v>2416</v>
      </c>
      <c r="C44" s="282">
        <f ca="1">ROUND(IF('数据-取费表'!B22&lt;=1,C40*F22*'数据-取费表'!B20/2,C40*(POWER((1+F22),'数据-取费表'!B20/2)-1)),4)</f>
        <v>5.0000000000000001E-4</v>
      </c>
      <c r="D44" s="282"/>
      <c r="E44" s="282"/>
      <c r="F44" s="283"/>
      <c r="G44" s="3194"/>
    </row>
    <row r="45" spans="1:7" s="258" customFormat="1" ht="13.5" customHeight="1">
      <c r="A45" s="299" t="s">
        <v>2417</v>
      </c>
      <c r="B45" s="288" t="s">
        <v>2383</v>
      </c>
      <c r="C45" s="289">
        <f ca="1">C46</f>
        <v>4993648</v>
      </c>
      <c r="D45" s="279">
        <f ca="1">C47</f>
        <v>2.5000000000000001E-3</v>
      </c>
      <c r="E45" s="280" t="s">
        <v>2409</v>
      </c>
      <c r="F45" s="290"/>
      <c r="G45" s="291" t="s">
        <v>2418</v>
      </c>
    </row>
    <row r="46" spans="1:7" s="258" customFormat="1" ht="13.5" customHeight="1">
      <c r="A46" s="953" t="s">
        <v>791</v>
      </c>
      <c r="B46" s="292" t="s">
        <v>2419</v>
      </c>
      <c r="C46" s="293">
        <f ca="1">ROUND((C33+C39)*F27,0)</f>
        <v>4993648</v>
      </c>
      <c r="D46" s="307"/>
      <c r="E46" s="280"/>
      <c r="F46" s="290"/>
      <c r="G46" s="291"/>
    </row>
    <row r="47" spans="1:7" s="258" customFormat="1" ht="13.5" customHeight="1">
      <c r="A47" s="953" t="s">
        <v>792</v>
      </c>
      <c r="B47" s="292" t="s">
        <v>2420</v>
      </c>
      <c r="C47" s="282">
        <f ca="1">ROUND(C40*F27,4)</f>
        <v>2.5000000000000001E-3</v>
      </c>
      <c r="D47" s="307"/>
      <c r="E47" s="280"/>
      <c r="F47" s="290"/>
      <c r="G47" s="291"/>
    </row>
    <row r="48" spans="1:7" s="258" customFormat="1" ht="13.5" customHeight="1">
      <c r="A48" s="299" t="s">
        <v>2382</v>
      </c>
      <c r="B48" s="254" t="s">
        <v>2421</v>
      </c>
      <c r="C48" s="306">
        <f>ROUND(F30/(1+'数据-取费表'!C42),4)</f>
        <v>5.2400000000000002E-2</v>
      </c>
      <c r="D48" s="280" t="s">
        <v>2409</v>
      </c>
      <c r="E48" s="276"/>
      <c r="F48" s="281"/>
      <c r="G48" s="278" t="s">
        <v>2422</v>
      </c>
    </row>
    <row r="49" spans="1:7" ht="16.5" customHeight="1">
      <c r="A49" s="299" t="s">
        <v>2388</v>
      </c>
      <c r="B49" s="254" t="s">
        <v>2462</v>
      </c>
      <c r="C49" s="276">
        <f ca="1">ROUND((C33+C39+C41+C45)/(1-C40-D41-D45-C48),0)</f>
        <v>27730613</v>
      </c>
      <c r="D49" s="276"/>
      <c r="E49" s="276"/>
      <c r="F49" s="308"/>
      <c r="G49" s="278" t="s">
        <v>2424</v>
      </c>
    </row>
    <row r="50" spans="1:7" s="302" customFormat="1">
      <c r="A50" s="299" t="s">
        <v>2425</v>
      </c>
      <c r="B50" s="254" t="s">
        <v>2426</v>
      </c>
      <c r="C50" s="276"/>
      <c r="D50" s="276"/>
      <c r="E50" s="276"/>
      <c r="F50" s="308">
        <f>IF('数据-取费表'!B24=0,'数据-取费表'!N16,1)</f>
        <v>0.82799999999999996</v>
      </c>
      <c r="G50" s="291"/>
    </row>
    <row r="51" spans="1:7" ht="16.5" customHeight="1">
      <c r="A51" s="299" t="s">
        <v>2428</v>
      </c>
      <c r="B51" s="254" t="s">
        <v>2463</v>
      </c>
      <c r="C51" s="276">
        <f ca="1">ROUND(C49*F50,0)</f>
        <v>22960948</v>
      </c>
      <c r="D51" s="276"/>
      <c r="E51" s="276"/>
      <c r="F51" s="308"/>
      <c r="G51" s="278" t="s">
        <v>2430</v>
      </c>
    </row>
    <row r="52" spans="1:7" s="252" customFormat="1" ht="16.5" thickBot="1">
      <c r="A52" s="309" t="s">
        <v>2431</v>
      </c>
      <c r="B52" s="310"/>
      <c r="C52" s="311">
        <f ca="1">C31+C51</f>
        <v>26907948</v>
      </c>
      <c r="D52" s="310"/>
      <c r="E52" s="310"/>
      <c r="F52" s="310"/>
      <c r="G52" s="312"/>
    </row>
    <row r="55" spans="1:7" ht="15">
      <c r="B55" s="314" t="s">
        <v>2432</v>
      </c>
      <c r="C55" s="315"/>
    </row>
    <row r="56" spans="1:7">
      <c r="B56" s="317" t="s">
        <v>1514</v>
      </c>
      <c r="C56" s="319">
        <f ca="1">1-C57</f>
        <v>0.14700000000000002</v>
      </c>
    </row>
    <row r="57" spans="1:7">
      <c r="B57" s="317" t="s">
        <v>1515</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3"/>
      <c r="C1" s="1584"/>
      <c r="D1" s="1582"/>
      <c r="E1" s="320"/>
      <c r="F1" s="320"/>
      <c r="G1" s="1583"/>
      <c r="H1" s="320"/>
      <c r="I1" s="320"/>
      <c r="J1" s="320"/>
      <c r="K1" s="320">
        <f>MATCH(C1,'数据-取费表'!A6:A16,0)+5</f>
        <v>9</v>
      </c>
    </row>
    <row r="2" spans="1:33" ht="18" customHeight="1">
      <c r="A2" s="245" t="s">
        <v>2332</v>
      </c>
      <c r="B2" s="248">
        <f ca="1">C32</f>
        <v>-166</v>
      </c>
      <c r="C2" s="320" t="s">
        <v>2465</v>
      </c>
      <c r="D2" s="320"/>
      <c r="E2" s="320"/>
      <c r="F2" s="320"/>
      <c r="G2" s="320"/>
      <c r="H2" s="320"/>
      <c r="I2" s="320"/>
      <c r="J2" s="320"/>
      <c r="K2" s="320"/>
    </row>
    <row r="3" spans="1:33" ht="18" customHeight="1" thickBot="1">
      <c r="A3" s="247" t="s">
        <v>2334</v>
      </c>
      <c r="B3" s="248">
        <f ca="1">ROUND(B2*10000/IF(C1="",'数据-汇总表'!E3,INDIRECT("'数据-取费表'!K"&amp;$K$1)),0)</f>
        <v>-245</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8" t="s">
        <v>2470</v>
      </c>
      <c r="D5" s="2558" t="s">
        <v>2471</v>
      </c>
      <c r="E5" s="2558" t="s">
        <v>2472</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0.05</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6779.85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6779.85</v>
      </c>
      <c r="E17" s="24">
        <f>'数据-取费表'!B32</f>
        <v>0</v>
      </c>
      <c r="F17" s="980"/>
      <c r="G17" s="140"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136</v>
      </c>
      <c r="D18" s="1035"/>
      <c r="E18" s="24"/>
      <c r="F18" s="978"/>
      <c r="G18" s="2560"/>
      <c r="H18" s="1579"/>
      <c r="I18" s="2561"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2500</v>
      </c>
      <c r="C20" s="24">
        <f ca="1">ROUND(D20*E20/10000,0)</f>
        <v>136</v>
      </c>
      <c r="D20" s="1035">
        <f ca="1">IF(C1="",'数据-汇总表'!E6,IF(INDIRECT("'数据-取费表'!c"&amp;$K$1)="住宅",INDIRECT("'数据-取费表'!s"&amp;$K$1),INDIRECT("'数据-取费表'!k"&amp;$K$1)+INDIRECT("'数据-取费表'!s"&amp;$K$1)))</f>
        <v>6779.85</v>
      </c>
      <c r="E20" s="24">
        <f>'数据-取费表'!B28</f>
        <v>200</v>
      </c>
      <c r="F20" s="978"/>
      <c r="G20" s="15"/>
      <c r="H20" s="983"/>
      <c r="I20" s="983"/>
      <c r="J20" s="983"/>
      <c r="K20" s="984"/>
    </row>
    <row r="21" spans="1:33" s="977" customFormat="1" ht="13.5" customHeight="1">
      <c r="A21" s="963" t="s">
        <v>802</v>
      </c>
      <c r="B21" s="987" t="s">
        <v>2501</v>
      </c>
      <c r="C21" s="988">
        <f ca="1">C16+C17+C18</f>
        <v>136</v>
      </c>
      <c r="D21" s="989"/>
      <c r="E21" s="325"/>
      <c r="F21" s="325"/>
      <c r="G21" s="140" t="s">
        <v>2502</v>
      </c>
      <c r="H21" s="981"/>
      <c r="I21" s="981"/>
      <c r="J21" s="981"/>
      <c r="K21" s="982"/>
    </row>
    <row r="22" spans="1:33" s="977" customFormat="1" ht="13.5" customHeight="1">
      <c r="A22" s="963" t="s">
        <v>2474</v>
      </c>
      <c r="B22" s="987" t="s">
        <v>2503</v>
      </c>
      <c r="C22" s="988">
        <f ca="1">ROUND(C21*F22,0)</f>
        <v>1</v>
      </c>
      <c r="D22" s="325"/>
      <c r="E22" s="325"/>
      <c r="F22" s="990">
        <f>'数据-取费表'!B37</f>
        <v>0.01</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0.01</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2514</v>
      </c>
      <c r="B28" s="2563" t="s">
        <v>2515</v>
      </c>
      <c r="C28" s="331">
        <f ca="1">C30</f>
        <v>34</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34</v>
      </c>
      <c r="D30" s="328"/>
      <c r="E30" s="329"/>
      <c r="F30" s="334"/>
      <c r="G30" s="140"/>
      <c r="H30" s="981"/>
      <c r="I30" s="981"/>
      <c r="J30" s="981"/>
      <c r="K30" s="982"/>
    </row>
    <row r="31" spans="1:33" s="977" customFormat="1" ht="13.5" customHeight="1" thickBot="1">
      <c r="A31" s="2564" t="s">
        <v>2519</v>
      </c>
      <c r="B31" s="1007" t="s">
        <v>2520</v>
      </c>
      <c r="C31" s="1008">
        <f>ROUND(C4*F31/(1+'数据-取费表'!C42),0)</f>
        <v>0</v>
      </c>
      <c r="D31" s="1009"/>
      <c r="E31" s="1010"/>
      <c r="F31" s="1011">
        <f>'数据-取费表'!B41</f>
        <v>5.5000000000000007E-2</v>
      </c>
      <c r="G31" s="1012" t="s">
        <v>2521</v>
      </c>
      <c r="H31" s="1013"/>
      <c r="I31" s="1013"/>
      <c r="J31" s="1013"/>
      <c r="K31" s="1014"/>
    </row>
    <row r="32" spans="1:33" s="972" customFormat="1" ht="13.5" customHeight="1" thickBot="1">
      <c r="A32" s="1002" t="s">
        <v>2522</v>
      </c>
      <c r="B32" s="1003"/>
      <c r="C32" s="1004">
        <f ca="1">ROUND((C4-C21-C22-C23-C25-C28-C31)/(1+C24+D25+D28),0)</f>
        <v>-166</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A26" sqref="A2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2122</v>
      </c>
      <c r="B1" s="2420"/>
      <c r="C1" s="2421" t="s">
        <v>3114</v>
      </c>
      <c r="D1" s="2420"/>
      <c r="E1" s="2420"/>
      <c r="F1" s="2422" t="s">
        <v>2123</v>
      </c>
      <c r="G1" s="2071" t="s">
        <v>3083</v>
      </c>
      <c r="H1" s="2423" t="str">
        <f>IF(G1="现房","——","估价对象范围")</f>
        <v>——</v>
      </c>
      <c r="I1" s="2424" t="s">
        <v>3084</v>
      </c>
    </row>
    <row r="2" spans="1:12" ht="21.75" customHeight="1" thickBot="1">
      <c r="A2" s="3132" t="str">
        <f>项目基本情况!S2</f>
        <v>北京市大兴区兴华园48号楼46号、201号及11幢3套商业用房房地产</v>
      </c>
      <c r="B2" s="3133"/>
      <c r="C2" s="3133"/>
      <c r="D2" s="3133"/>
      <c r="E2" s="3133"/>
      <c r="F2" s="3133"/>
      <c r="G2" s="3133"/>
      <c r="H2" s="3133"/>
      <c r="I2" s="3134"/>
    </row>
    <row r="3" spans="1:12" ht="12.75">
      <c r="A3" s="3136" t="s">
        <v>2124</v>
      </c>
      <c r="B3" s="3137"/>
      <c r="C3" s="3137"/>
      <c r="D3" s="3137"/>
      <c r="E3" s="3137"/>
      <c r="F3" s="3137"/>
      <c r="G3" s="3137"/>
      <c r="H3" s="3137"/>
      <c r="I3" s="3137"/>
    </row>
    <row r="4" spans="1:12" ht="14.25">
      <c r="A4" s="2427" t="s">
        <v>2125</v>
      </c>
      <c r="B4" s="2428" t="s">
        <v>2126</v>
      </c>
      <c r="C4" s="2429" t="s">
        <v>3117</v>
      </c>
      <c r="D4" s="2429" t="s">
        <v>3115</v>
      </c>
      <c r="E4" s="3129" t="s">
        <v>2127</v>
      </c>
      <c r="F4" s="3130"/>
      <c r="G4" s="3130"/>
      <c r="H4" s="3130"/>
      <c r="I4" s="3138"/>
      <c r="K4" s="2430" t="str">
        <f>IF(ISNUMBER(FIND("比较法",'结果表-会所'!C4)),"比较法",IF(ISNUMBER(FIND("成本法",'结果表-会所'!C4)),"成本法",IF(ISNUMBER(FIND("假设开发法",'结果表-会所'!C4)),"假设开发法",IF(ISNUMBER(FIND("收益法",'结果表-会所'!C4)),"收益法","基准地价系数修正法"))))</f>
        <v>比较法</v>
      </c>
      <c r="L4" s="2430" t="str">
        <f>IF(ISNUMBER(FIND("比较法",'结果表-会所'!D4)),"比较法",IF(ISNUMBER(FIND("成本法",'结果表-会所'!D4)),"成本法",IF(ISNUMBER(FIND("假设开发法",'结果表-会所'!D4)),"假设开发法",IF(ISNUMBER(FIND("收益法",'结果表-会所'!D4)),"收益法","基准地价系数修正法"))))</f>
        <v>收益法</v>
      </c>
    </row>
    <row r="5" spans="1:12" ht="12.75">
      <c r="A5" s="3112" t="s">
        <v>2128</v>
      </c>
      <c r="B5" s="3046">
        <v>25</v>
      </c>
      <c r="C5" s="3115"/>
      <c r="D5" s="3135"/>
      <c r="E5" s="140" t="s">
        <v>2129</v>
      </c>
      <c r="F5" s="2431"/>
      <c r="G5" s="2431"/>
      <c r="H5" s="2431"/>
      <c r="I5" s="1833"/>
    </row>
    <row r="6" spans="1:12" ht="12.75">
      <c r="A6" s="3112"/>
      <c r="B6" s="3046"/>
      <c r="C6" s="3116"/>
      <c r="D6" s="3135"/>
      <c r="E6" s="140" t="s">
        <v>2130</v>
      </c>
      <c r="F6" s="2431"/>
      <c r="G6" s="2431"/>
      <c r="H6" s="2431"/>
      <c r="I6" s="1833"/>
    </row>
    <row r="7" spans="1:12" ht="12.75">
      <c r="A7" s="3112"/>
      <c r="B7" s="3046"/>
      <c r="C7" s="3117"/>
      <c r="D7" s="3135"/>
      <c r="E7" s="140" t="s">
        <v>2131</v>
      </c>
      <c r="F7" s="2431"/>
      <c r="G7" s="2431"/>
      <c r="H7" s="2431"/>
      <c r="I7" s="1833"/>
    </row>
    <row r="8" spans="1:12" ht="12.75">
      <c r="A8" s="3112" t="s">
        <v>2132</v>
      </c>
      <c r="B8" s="3046">
        <v>15</v>
      </c>
      <c r="C8" s="3115"/>
      <c r="D8" s="3135"/>
      <c r="E8" s="140" t="s">
        <v>2133</v>
      </c>
      <c r="F8" s="2431"/>
      <c r="G8" s="2431"/>
      <c r="H8" s="2431"/>
      <c r="I8" s="1833"/>
    </row>
    <row r="9" spans="1:12" ht="12.75">
      <c r="A9" s="3112"/>
      <c r="B9" s="3046"/>
      <c r="C9" s="3117"/>
      <c r="D9" s="3135"/>
      <c r="E9" s="140" t="s">
        <v>2134</v>
      </c>
      <c r="F9" s="2431"/>
      <c r="G9" s="2431"/>
      <c r="H9" s="2431"/>
      <c r="I9" s="1833"/>
    </row>
    <row r="10" spans="1:12" ht="12.75">
      <c r="A10" s="3112" t="s">
        <v>2135</v>
      </c>
      <c r="B10" s="3046">
        <v>15</v>
      </c>
      <c r="C10" s="3115"/>
      <c r="D10" s="3135"/>
      <c r="E10" s="140" t="s">
        <v>2136</v>
      </c>
      <c r="F10" s="2431"/>
      <c r="G10" s="2431"/>
      <c r="H10" s="2431"/>
      <c r="I10" s="1833"/>
    </row>
    <row r="11" spans="1:12" ht="12.75">
      <c r="A11" s="3112"/>
      <c r="B11" s="3046"/>
      <c r="C11" s="3117"/>
      <c r="D11" s="3135"/>
      <c r="E11" s="140" t="s">
        <v>2137</v>
      </c>
      <c r="F11" s="2431"/>
      <c r="G11" s="2431"/>
      <c r="H11" s="2431"/>
      <c r="I11" s="1833"/>
    </row>
    <row r="12" spans="1:12" ht="12.75">
      <c r="A12" s="3112" t="s">
        <v>2138</v>
      </c>
      <c r="B12" s="3046">
        <v>15</v>
      </c>
      <c r="C12" s="3115"/>
      <c r="D12" s="3135"/>
      <c r="E12" s="140" t="s">
        <v>2139</v>
      </c>
      <c r="F12" s="2431"/>
      <c r="G12" s="2431"/>
      <c r="H12" s="2431"/>
      <c r="I12" s="1833"/>
    </row>
    <row r="13" spans="1:12" ht="12.75">
      <c r="A13" s="3112"/>
      <c r="B13" s="3046"/>
      <c r="C13" s="3117"/>
      <c r="D13" s="3135"/>
      <c r="E13" s="140" t="s">
        <v>2140</v>
      </c>
      <c r="F13" s="2431"/>
      <c r="G13" s="2431"/>
      <c r="H13" s="2431"/>
      <c r="I13" s="1833"/>
    </row>
    <row r="14" spans="1:12" ht="12.75">
      <c r="A14" s="3112" t="s">
        <v>2141</v>
      </c>
      <c r="B14" s="3046">
        <v>30</v>
      </c>
      <c r="C14" s="3115">
        <v>8</v>
      </c>
      <c r="D14" s="3135">
        <v>2</v>
      </c>
      <c r="E14" s="140" t="s">
        <v>2142</v>
      </c>
      <c r="F14" s="2431"/>
      <c r="G14" s="2431"/>
      <c r="H14" s="2431"/>
      <c r="I14" s="1833"/>
    </row>
    <row r="15" spans="1:12" ht="12.75">
      <c r="A15" s="3112"/>
      <c r="B15" s="3046"/>
      <c r="C15" s="3116"/>
      <c r="D15" s="3135"/>
      <c r="E15" s="140" t="s">
        <v>2143</v>
      </c>
      <c r="F15" s="2431"/>
      <c r="G15" s="2431"/>
      <c r="H15" s="2431"/>
      <c r="I15" s="1833"/>
    </row>
    <row r="16" spans="1:12" ht="12.75">
      <c r="A16" s="3112"/>
      <c r="B16" s="3046"/>
      <c r="C16" s="3117"/>
      <c r="D16" s="3135"/>
      <c r="E16" s="140" t="s">
        <v>2144</v>
      </c>
      <c r="F16" s="2431"/>
      <c r="G16" s="2431"/>
      <c r="H16" s="2431"/>
      <c r="I16" s="1833"/>
    </row>
    <row r="17" spans="1:35" ht="15">
      <c r="A17" s="2432" t="s">
        <v>2145</v>
      </c>
      <c r="B17" s="64"/>
      <c r="C17" s="141">
        <f>SUM(C5:C16)</f>
        <v>8</v>
      </c>
      <c r="D17" s="141">
        <f>SUM(D5:D16)</f>
        <v>2</v>
      </c>
      <c r="E17" s="138"/>
      <c r="F17" s="138"/>
      <c r="G17" s="138"/>
      <c r="H17" s="138"/>
      <c r="I17" s="138"/>
      <c r="K17" s="2430"/>
      <c r="L17" s="2433" t="s">
        <v>2146</v>
      </c>
      <c r="M17" s="2433" t="s">
        <v>2147</v>
      </c>
    </row>
    <row r="18" spans="1:35" ht="15.75" thickBot="1">
      <c r="A18" s="2434" t="s">
        <v>2148</v>
      </c>
      <c r="B18" s="2435"/>
      <c r="C18" s="142">
        <f>ROUND(C17/SUM(C17:D17),2)</f>
        <v>0.8</v>
      </c>
      <c r="D18" s="142">
        <f>1-C18</f>
        <v>0.19999999999999996</v>
      </c>
      <c r="E18" s="138"/>
      <c r="F18" s="138"/>
      <c r="G18" s="138"/>
      <c r="H18" s="138"/>
      <c r="I18" s="138"/>
      <c r="K18" s="2430" t="s">
        <v>2149</v>
      </c>
      <c r="L18" s="2430">
        <f>IF(C1="",'数据-汇总表'!E3,SUMIF(项目类型,C1,'数据-汇总表'!E17:E26)+SUMIF(项目类型,C1,'数据-汇总表'!I17:I26))</f>
        <v>1189.19</v>
      </c>
      <c r="M18" s="2430">
        <f>IF(C1="",'数据-汇总表'!E3,SUMIF(项目类型,C1,'数据-汇总表'!E17:E26))</f>
        <v>1189.19</v>
      </c>
    </row>
    <row r="19" spans="1:35" ht="15">
      <c r="A19" s="2436" t="s">
        <v>2150</v>
      </c>
      <c r="B19" s="2437" t="s">
        <v>2151</v>
      </c>
      <c r="C19" s="143">
        <f ca="1">SUMIF(INDIRECT("'"&amp;C4&amp;"'"&amp;"!A:A"),'结果表-会所'!B19,INDIRECT("'"&amp;C4&amp;"'"&amp;"!B:B"))</f>
        <v>4593</v>
      </c>
      <c r="D19" s="144">
        <f ca="1">SUMIF(INDIRECT("'"&amp;D4&amp;"'"&amp;"!A:A"),'结果表-会所'!B19,INDIRECT("'"&amp;D4&amp;"'"&amp;"!B:B"))</f>
        <v>1058</v>
      </c>
      <c r="E19" s="2436" t="s">
        <v>2152</v>
      </c>
      <c r="F19" s="2437" t="s">
        <v>2151</v>
      </c>
      <c r="G19" s="145">
        <f ca="1">ROUND(C19*$C$18+D19*$D$18,0)</f>
        <v>3886</v>
      </c>
      <c r="H19" s="2438" t="s">
        <v>2153</v>
      </c>
      <c r="I19" s="138"/>
      <c r="K19" s="2430" t="s">
        <v>2154</v>
      </c>
      <c r="L19" s="2430">
        <f>IF(C1="",'数据-汇总表'!D3,SUMIF(项目类型,C1,'数据-汇总表'!D17:D26)+SUMIF(项目类型,C1,'数据-汇总表'!H17:H27))</f>
        <v>0</v>
      </c>
      <c r="M19" s="2430">
        <f>IF(C1="",'数据-汇总表'!D3,SUMIF(项目类型,C1,'数据-汇总表'!D17:D26))</f>
        <v>0</v>
      </c>
    </row>
    <row r="20" spans="1:35" ht="15">
      <c r="A20" s="2439"/>
      <c r="B20" s="1249" t="s">
        <v>2155</v>
      </c>
      <c r="C20" s="146">
        <f ca="1">SUMIF(INDIRECT("'"&amp;C4&amp;"'"&amp;"!A:A"),'结果表-会所'!B20,INDIRECT("'"&amp;C4&amp;"'"&amp;"!B:B"))</f>
        <v>38623</v>
      </c>
      <c r="D20" s="147">
        <f ca="1">SUMIF(INDIRECT("'"&amp;D4&amp;"'"&amp;"!A:A"),'结果表-会所'!B20,INDIRECT("'"&amp;D4&amp;"'"&amp;"!B:B"))</f>
        <v>8897</v>
      </c>
      <c r="E20" s="2439"/>
      <c r="F20" s="1249" t="s">
        <v>2155</v>
      </c>
      <c r="G20" s="148">
        <f ca="1">ROUND(C20*$C$18+D20*$D$18,0)</f>
        <v>32678</v>
      </c>
      <c r="H20" s="982" t="s">
        <v>2156</v>
      </c>
      <c r="I20" s="138"/>
    </row>
    <row r="21" spans="1:35" ht="15" customHeight="1" thickBot="1">
      <c r="A21" s="1002"/>
      <c r="B21" s="2440" t="s">
        <v>2157</v>
      </c>
      <c r="C21" s="788" t="e">
        <f ca="1">ROUND(C19*10000/L19,0)</f>
        <v>#DIV/0!</v>
      </c>
      <c r="D21" s="789" t="e">
        <f ca="1">ROUND(D19*10000/L19,0)</f>
        <v>#DIV/0!</v>
      </c>
      <c r="E21" s="1002"/>
      <c r="F21" s="2440" t="s">
        <v>2157</v>
      </c>
      <c r="G21" s="149" t="e">
        <f ca="1">ROUND(G19*10000/L19,0)</f>
        <v>#DIV/0!</v>
      </c>
      <c r="H21" s="2441" t="s">
        <v>2156</v>
      </c>
      <c r="I21" s="138"/>
    </row>
    <row r="22" spans="1:35" ht="15" thickBot="1">
      <c r="A22" s="2282" t="s">
        <v>2158</v>
      </c>
      <c r="B22" s="2442"/>
      <c r="C22" s="2443"/>
      <c r="D22" s="790">
        <f ca="1">IF(C19&lt;D19,D19/C19-1,C19/D19-1)</f>
        <v>3.3412098298676751</v>
      </c>
      <c r="E22" s="138"/>
      <c r="F22" s="138"/>
      <c r="G22" s="138"/>
      <c r="H22" s="138"/>
      <c r="I22" s="138"/>
    </row>
    <row r="23" spans="1:35" ht="13.5" thickBot="1">
      <c r="A23" s="2420"/>
      <c r="B23" s="2420"/>
      <c r="C23" s="2420"/>
      <c r="D23" s="2420"/>
      <c r="E23" s="138"/>
      <c r="F23" s="138"/>
      <c r="G23" s="138"/>
      <c r="H23" s="138"/>
      <c r="I23" s="138"/>
    </row>
    <row r="24" spans="1:35" ht="14.25">
      <c r="A24" s="3106" t="s">
        <v>2159</v>
      </c>
      <c r="B24" s="2437" t="s">
        <v>2151</v>
      </c>
      <c r="C24" s="145">
        <f>IF(B30=0,0,D30)</f>
        <v>0</v>
      </c>
      <c r="D24" s="2444"/>
      <c r="E24" s="138"/>
      <c r="F24" s="138"/>
      <c r="G24" s="138"/>
      <c r="H24" s="138"/>
      <c r="I24" s="138"/>
    </row>
    <row r="25" spans="1:35" ht="14.25">
      <c r="A25" s="3107"/>
      <c r="B25" s="1249"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29" t="s">
        <v>3044</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2165</v>
      </c>
      <c r="B32" s="2450"/>
      <c r="C32" s="153">
        <f ca="1">IF(D32="总价",G19-C24,G20-C25)</f>
        <v>3886</v>
      </c>
      <c r="D32" s="2451" t="s">
        <v>2166</v>
      </c>
      <c r="E32" s="138"/>
      <c r="F32" s="138"/>
      <c r="G32" s="138"/>
      <c r="H32" s="138"/>
      <c r="I32" s="138"/>
    </row>
    <row r="33" spans="1:15" ht="15">
      <c r="A33" s="959" t="s">
        <v>2167</v>
      </c>
      <c r="B33" s="2452"/>
      <c r="C33" s="2453"/>
      <c r="D33" s="2454"/>
      <c r="E33" s="2455" t="s">
        <v>2168</v>
      </c>
      <c r="F33" s="2960" t="str">
        <f>IF(D32="楼面单价","取值（单价）","取值（总价）")</f>
        <v>取值（总价）</v>
      </c>
      <c r="G33" s="138"/>
      <c r="H33" s="138"/>
      <c r="I33" s="138"/>
    </row>
    <row r="34" spans="1:15" ht="15">
      <c r="A34" s="2457"/>
      <c r="B34" s="2458"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2170</v>
      </c>
      <c r="F34" s="1738"/>
      <c r="G34" s="138"/>
      <c r="H34" s="138"/>
      <c r="I34" s="138"/>
    </row>
    <row r="35" spans="1:15" ht="15.75" thickBot="1">
      <c r="A35" s="2460"/>
      <c r="B35" s="2461"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2" t="s">
        <v>2172</v>
      </c>
      <c r="F35" s="163"/>
      <c r="G35" s="138"/>
      <c r="H35" s="138"/>
      <c r="I35" s="138"/>
    </row>
    <row r="36" spans="1:15" ht="15.75" thickBot="1">
      <c r="A36" s="3124" t="s">
        <v>2173</v>
      </c>
      <c r="B36" s="2463" t="s">
        <v>2174</v>
      </c>
      <c r="C36" s="154"/>
      <c r="D36" s="2464"/>
      <c r="E36" s="2465"/>
      <c r="F36" s="2466"/>
      <c r="G36" s="138"/>
      <c r="H36" s="138"/>
      <c r="I36" s="138"/>
    </row>
    <row r="37" spans="1:15" ht="15.75" thickBot="1">
      <c r="A37" s="3125"/>
      <c r="B37" s="2268" t="s">
        <v>2175</v>
      </c>
      <c r="C37" s="156"/>
      <c r="D37" s="1394"/>
      <c r="E37" s="1394"/>
      <c r="F37" s="2466"/>
      <c r="G37" s="138"/>
      <c r="H37" s="138"/>
      <c r="I37" s="138"/>
    </row>
    <row r="38" spans="1:15" ht="15.75" thickBot="1">
      <c r="A38" s="3126"/>
      <c r="B38" s="2467" t="s">
        <v>2176</v>
      </c>
      <c r="C38" s="726"/>
      <c r="D38" s="2468" t="s">
        <v>2177</v>
      </c>
      <c r="E38" s="1394"/>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103" t="s">
        <v>2187</v>
      </c>
      <c r="B45" s="3104"/>
      <c r="C45" s="3105"/>
      <c r="D45" s="164">
        <f ca="1">ROUND(H101*F45,0)</f>
        <v>3886</v>
      </c>
      <c r="E45" s="165" t="s">
        <v>2188</v>
      </c>
      <c r="F45" s="166">
        <v>1</v>
      </c>
      <c r="G45" s="167" t="s">
        <v>2189</v>
      </c>
      <c r="H45" s="138"/>
      <c r="I45" s="138"/>
      <c r="J45" s="3163" t="s">
        <v>2190</v>
      </c>
      <c r="K45" s="3163"/>
      <c r="L45" s="3163"/>
      <c r="M45" s="3163"/>
      <c r="N45" s="3163"/>
      <c r="O45" s="3163"/>
    </row>
    <row r="46" spans="1:15" ht="14.25" customHeight="1">
      <c r="A46" s="3100" t="s">
        <v>2191</v>
      </c>
      <c r="B46" s="3101"/>
      <c r="C46" s="3101"/>
      <c r="D46" s="3101"/>
      <c r="E46" s="3101"/>
      <c r="F46" s="3101"/>
      <c r="G46" s="3102"/>
      <c r="H46" s="2482"/>
      <c r="I46" s="168"/>
      <c r="J46" s="2970">
        <v>1</v>
      </c>
      <c r="K46" s="3163" t="s">
        <v>2192</v>
      </c>
      <c r="L46" s="3163"/>
      <c r="M46" s="3183"/>
      <c r="N46" s="3183"/>
      <c r="O46" s="3183"/>
    </row>
    <row r="47" spans="1:15" ht="12" customHeight="1">
      <c r="A47" s="169" t="s">
        <v>2193</v>
      </c>
      <c r="B47" s="170"/>
      <c r="C47" s="171"/>
      <c r="D47" s="172" t="s">
        <v>2194</v>
      </c>
      <c r="E47" s="24" t="s">
        <v>2195</v>
      </c>
      <c r="F47" s="173" t="s">
        <v>2196</v>
      </c>
      <c r="G47" s="174" t="s">
        <v>2197</v>
      </c>
      <c r="H47" s="2482"/>
      <c r="I47" s="168"/>
      <c r="J47" s="2970">
        <v>2</v>
      </c>
      <c r="K47" s="3163" t="s">
        <v>2198</v>
      </c>
      <c r="L47" s="3163"/>
      <c r="M47" s="3184">
        <f>'数据-取费表'!B2</f>
        <v>43172</v>
      </c>
      <c r="N47" s="3184"/>
      <c r="O47" s="3184"/>
    </row>
    <row r="48" spans="1:15" ht="25.5">
      <c r="A48" s="3131" t="s">
        <v>2199</v>
      </c>
      <c r="B48" s="3114"/>
      <c r="C48" s="3114"/>
      <c r="D48" s="140">
        <f>IF(H48="情况1",0,IF(H48="情况2",D52,IF(H48="情况3",D53,IF(H48="情况4",D54))))</f>
        <v>0</v>
      </c>
      <c r="E48" s="2980" t="str">
        <f>IF(H48="情况4","(销售额-原购置价)×税（费）率","销售额×税（费）率")</f>
        <v>销售额×税（费）率</v>
      </c>
      <c r="F48" s="175" t="str">
        <f>IF(H48="情况1","免征",'数据-取费表'!B41)</f>
        <v>免征</v>
      </c>
      <c r="G48" s="2483" t="s">
        <v>2200</v>
      </c>
      <c r="H48" s="2484" t="s">
        <v>2201</v>
      </c>
      <c r="I48" s="2482"/>
      <c r="J48" s="2970">
        <v>3</v>
      </c>
      <c r="K48" s="3163" t="s">
        <v>2202</v>
      </c>
      <c r="L48" s="3163"/>
      <c r="M48" s="3185">
        <f ca="1">H101</f>
        <v>3886</v>
      </c>
      <c r="N48" s="3185"/>
      <c r="O48" s="3185"/>
    </row>
    <row r="49" spans="1:35" ht="25.5" customHeight="1">
      <c r="A49" s="176" t="s">
        <v>2203</v>
      </c>
      <c r="B49" s="3099" t="s">
        <v>2204</v>
      </c>
      <c r="C49" s="3099"/>
      <c r="D49" s="177">
        <v>0</v>
      </c>
      <c r="E49" s="23" t="s">
        <v>2205</v>
      </c>
      <c r="F49" s="28" t="s">
        <v>34</v>
      </c>
      <c r="G49" s="3169"/>
      <c r="H49" s="138"/>
      <c r="I49" s="2485"/>
      <c r="J49" s="2970">
        <v>4</v>
      </c>
      <c r="K49" s="3163" t="str">
        <f>IF(项目基本情况!E8="房地产抵押价值","房地产抵押价值","抵押担保权已注销时的房地产抵押价值")</f>
        <v>房地产抵押价值</v>
      </c>
      <c r="L49" s="3163"/>
      <c r="M49" s="3185">
        <f ca="1">IF(项目基本情况!E8="房地产抵押价值",H107,H109)</f>
        <v>3886</v>
      </c>
      <c r="N49" s="3185"/>
      <c r="O49" s="3185"/>
    </row>
    <row r="50" spans="1:35" ht="25.5" customHeight="1">
      <c r="A50" s="178"/>
      <c r="B50" s="3099" t="s">
        <v>2206</v>
      </c>
      <c r="C50" s="3099"/>
      <c r="D50" s="179"/>
      <c r="E50" s="31"/>
      <c r="F50" s="180"/>
      <c r="G50" s="3170"/>
      <c r="H50" s="138"/>
      <c r="I50" s="2485"/>
      <c r="J50" s="3163" t="s">
        <v>2207</v>
      </c>
      <c r="K50" s="3163"/>
      <c r="L50" s="3163"/>
      <c r="M50" s="3163"/>
      <c r="N50" s="3163"/>
      <c r="O50" s="3163"/>
    </row>
    <row r="51" spans="1:35" ht="12" customHeight="1">
      <c r="A51" s="181"/>
      <c r="B51" s="3099" t="s">
        <v>2208</v>
      </c>
      <c r="C51" s="3099"/>
      <c r="D51" s="182"/>
      <c r="E51" s="30"/>
      <c r="F51" s="180"/>
      <c r="G51" s="3171"/>
      <c r="H51" s="138"/>
      <c r="I51" s="2485"/>
      <c r="J51" s="2963" t="s">
        <v>2209</v>
      </c>
      <c r="K51" s="3163" t="s">
        <v>2210</v>
      </c>
      <c r="L51" s="3163"/>
      <c r="M51" s="2963" t="s">
        <v>2211</v>
      </c>
      <c r="N51" s="2963" t="s">
        <v>2212</v>
      </c>
      <c r="O51" s="2963" t="s">
        <v>2213</v>
      </c>
    </row>
    <row r="52" spans="1:35" ht="24" customHeight="1">
      <c r="A52" s="183" t="s">
        <v>2214</v>
      </c>
      <c r="B52" s="3099" t="s">
        <v>2215</v>
      </c>
      <c r="C52" s="3099"/>
      <c r="D52" s="182">
        <f ca="1">ROUND(D45*'数据-取费表'!B41/(1+'数据-取费表'!C42),0)</f>
        <v>204</v>
      </c>
      <c r="E52" s="11" t="s">
        <v>2216</v>
      </c>
      <c r="F52" s="184">
        <f>'数据-取费表'!B41</f>
        <v>5.5000000000000007E-2</v>
      </c>
      <c r="G52" s="2487"/>
      <c r="H52" s="138"/>
      <c r="I52" s="2485"/>
      <c r="J52" s="2970">
        <v>1</v>
      </c>
      <c r="K52" s="3164" t="s">
        <v>2217</v>
      </c>
      <c r="L52" s="3164"/>
      <c r="M52" s="1753">
        <f>D48</f>
        <v>0</v>
      </c>
      <c r="N52" s="2970" t="str">
        <f>E48</f>
        <v>销售额×税（费）率</v>
      </c>
      <c r="O52" s="1754" t="str">
        <f>F48</f>
        <v>免征</v>
      </c>
    </row>
    <row r="53" spans="1:35" ht="12" customHeight="1">
      <c r="A53" s="183" t="s">
        <v>2218</v>
      </c>
      <c r="B53" s="3122" t="s">
        <v>2219</v>
      </c>
      <c r="C53" s="3123"/>
      <c r="D53" s="182">
        <f ca="1">ROUND(D45*'数据-取费表'!B41/(1+'数据-取费表'!C42),0)</f>
        <v>204</v>
      </c>
      <c r="E53" s="11" t="s">
        <v>2216</v>
      </c>
      <c r="F53" s="184">
        <f>'数据-取费表'!B41</f>
        <v>5.5000000000000007E-2</v>
      </c>
      <c r="G53" s="2487"/>
      <c r="H53" s="138"/>
      <c r="I53" s="2485"/>
      <c r="J53" s="2970">
        <v>2</v>
      </c>
      <c r="K53" s="3164" t="s">
        <v>2220</v>
      </c>
      <c r="L53" s="3164"/>
      <c r="M53" s="1753">
        <f t="shared" ref="M53:O54" ca="1" si="0">D55</f>
        <v>2</v>
      </c>
      <c r="N53" s="2970" t="str">
        <f t="shared" si="0"/>
        <v>销售额×税（费）率</v>
      </c>
      <c r="O53" s="1754">
        <f t="shared" si="0"/>
        <v>5.0000000000000001E-4</v>
      </c>
    </row>
    <row r="54" spans="1:35" ht="12" customHeight="1">
      <c r="A54" s="183" t="s">
        <v>2221</v>
      </c>
      <c r="B54" s="3122" t="s">
        <v>2222</v>
      </c>
      <c r="C54" s="3123"/>
      <c r="D54" s="182">
        <f ca="1">C68</f>
        <v>204</v>
      </c>
      <c r="E54" s="30" t="s">
        <v>2223</v>
      </c>
      <c r="F54" s="184">
        <f>'数据-取费表'!B41</f>
        <v>5.5000000000000007E-2</v>
      </c>
      <c r="G54" s="2487"/>
      <c r="H54" s="2488"/>
      <c r="I54" s="2485"/>
      <c r="J54" s="2970">
        <v>3</v>
      </c>
      <c r="K54" s="3164" t="s">
        <v>2224</v>
      </c>
      <c r="L54" s="3164"/>
      <c r="M54" s="1753">
        <f t="shared" ca="1" si="0"/>
        <v>2203</v>
      </c>
      <c r="N54" s="2970" t="str">
        <f t="shared" si="0"/>
        <v>增值额×税（费）率</v>
      </c>
      <c r="O54" s="1755" t="str">
        <f t="shared" si="0"/>
        <v>——</v>
      </c>
    </row>
    <row r="55" spans="1:35" ht="24" customHeight="1">
      <c r="A55" s="3113" t="s">
        <v>2225</v>
      </c>
      <c r="B55" s="3114"/>
      <c r="C55" s="3114"/>
      <c r="D55" s="185">
        <f ca="1">IF(H55="个人住宅",0,ROUND(D45*I55,0))</f>
        <v>2</v>
      </c>
      <c r="E55" s="11" t="s">
        <v>2226</v>
      </c>
      <c r="F55" s="184">
        <f>IF(H55="正常",I55,"免征")</f>
        <v>5.0000000000000001E-4</v>
      </c>
      <c r="G55" s="2487"/>
      <c r="H55" s="2484" t="s">
        <v>2227</v>
      </c>
      <c r="I55" s="186">
        <f>'数据-取费表'!B49</f>
        <v>5.0000000000000001E-4</v>
      </c>
      <c r="J55" s="2970" t="str">
        <f>IF(H59="非个人房产","",4)</f>
        <v/>
      </c>
      <c r="K55" s="3164" t="str">
        <f>IF(H59="非个人房产","——","个人所得税")</f>
        <v>——</v>
      </c>
      <c r="L55" s="3164"/>
      <c r="M55" s="1756" t="str">
        <f>D59</f>
        <v>——</v>
      </c>
      <c r="N55" s="2971" t="str">
        <f>E59</f>
        <v>——</v>
      </c>
      <c r="O55" s="1757" t="str">
        <f>F59</f>
        <v>——</v>
      </c>
    </row>
    <row r="56" spans="1:35" ht="24.75">
      <c r="A56" s="3113" t="s">
        <v>2228</v>
      </c>
      <c r="B56" s="3114"/>
      <c r="C56" s="3114"/>
      <c r="D56" s="185">
        <f ca="1">IF(H56="个人住宅",D57,D58)</f>
        <v>2203</v>
      </c>
      <c r="E56" s="11" t="s">
        <v>2229</v>
      </c>
      <c r="F56" s="184" t="str">
        <f>IF(H56="正常",F58,"免征")</f>
        <v>——</v>
      </c>
      <c r="G56" s="2489" t="s">
        <v>2230</v>
      </c>
      <c r="H56" s="2490" t="s">
        <v>2227</v>
      </c>
      <c r="I56" s="2491"/>
      <c r="J56" s="2970" t="str">
        <f>IF(项目基本情况!K6="上海银行",IF(J55="",4,J55+1),"")</f>
        <v/>
      </c>
      <c r="K56" s="3187" t="str">
        <f>IF(项目基本情况!K6="上海银行","其他处置费用","")</f>
        <v/>
      </c>
      <c r="L56" s="3188"/>
      <c r="M56" s="1753" t="str">
        <f>IF(项目基本情况!K6="上海银行",M69,"")</f>
        <v/>
      </c>
      <c r="N56" s="3190" t="str">
        <f>IF(项目基本情况!K6="上海银行","包含处置中涉及的律师、诉讼、拍卖、评估等费用","")</f>
        <v/>
      </c>
      <c r="O56" s="3191"/>
    </row>
    <row r="57" spans="1:35" ht="12.75">
      <c r="A57" s="183" t="s">
        <v>2203</v>
      </c>
      <c r="B57" s="3129" t="s">
        <v>2231</v>
      </c>
      <c r="C57" s="3138"/>
      <c r="D57" s="187">
        <v>0</v>
      </c>
      <c r="E57" s="23" t="s">
        <v>2205</v>
      </c>
      <c r="F57" s="155"/>
      <c r="G57" s="2487"/>
      <c r="H57" s="2491"/>
      <c r="I57" s="2491"/>
      <c r="J57" s="3164">
        <f>IF(AND(J55="",J56=""),4,IF(项目基本情况!K6="上海银行",'结果表-会所'!J56+1,'结果表-会所'!J55+1))</f>
        <v>4</v>
      </c>
      <c r="K57" s="3164" t="s">
        <v>2232</v>
      </c>
      <c r="L57" s="2492" t="s">
        <v>2233</v>
      </c>
      <c r="M57" s="1758"/>
      <c r="N57" s="1759">
        <f ca="1">SUMIF(M52:M56,"&lt;9e307")</f>
        <v>2205</v>
      </c>
      <c r="O57" s="2493"/>
      <c r="P57" s="1752">
        <f ca="1">N57/M49</f>
        <v>0.56742151312403499</v>
      </c>
    </row>
    <row r="58" spans="1:35" ht="24.75">
      <c r="A58" s="183" t="s">
        <v>2214</v>
      </c>
      <c r="B58" s="3129" t="s">
        <v>2234</v>
      </c>
      <c r="C58" s="3130"/>
      <c r="D58" s="185">
        <f ca="1">IF(H58="转让取得",C81,C97)</f>
        <v>2203</v>
      </c>
      <c r="E58" s="11" t="s">
        <v>2229</v>
      </c>
      <c r="F58" s="24" t="s">
        <v>34</v>
      </c>
      <c r="G58" s="2487"/>
      <c r="H58" s="2490" t="s">
        <v>2235</v>
      </c>
      <c r="I58" s="2491"/>
      <c r="J58" s="3164"/>
      <c r="K58" s="3164"/>
      <c r="L58" s="2492" t="s">
        <v>2236</v>
      </c>
      <c r="M58" s="1760"/>
      <c r="N58" s="2494" t="str">
        <f ca="1">NUMBERSTRING(INT(N57*10000),2)&amp;"元整"</f>
        <v>贰仟贰佰零伍万元整</v>
      </c>
      <c r="O58" s="2495"/>
    </row>
    <row r="59" spans="1:35" ht="24.75" thickBot="1">
      <c r="A59" s="3167" t="s">
        <v>2237</v>
      </c>
      <c r="B59" s="3168"/>
      <c r="C59" s="3168"/>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165">
        <f>J57+1</f>
        <v>5</v>
      </c>
      <c r="K59" s="3164" t="s">
        <v>2239</v>
      </c>
      <c r="L59" s="2970" t="s">
        <v>2233</v>
      </c>
      <c r="M59" s="1761"/>
      <c r="N59" s="1762">
        <f ca="1">M49-N57</f>
        <v>1681</v>
      </c>
      <c r="O59" s="2497"/>
    </row>
    <row r="60" spans="1:35" ht="12" customHeight="1">
      <c r="A60" s="2498"/>
      <c r="B60" s="2420"/>
      <c r="C60" s="2420"/>
      <c r="D60" s="2420"/>
      <c r="E60" s="2167"/>
      <c r="F60" s="2491"/>
      <c r="G60" s="2491"/>
      <c r="H60" s="2499"/>
      <c r="I60" s="138"/>
      <c r="J60" s="3166"/>
      <c r="K60" s="3164"/>
      <c r="L60" s="2492" t="s">
        <v>2236</v>
      </c>
      <c r="M60" s="1760"/>
      <c r="N60" s="2494" t="str">
        <f ca="1">NUMBERSTRING(INT(N59*10000),2)&amp;"元整"</f>
        <v>壹仟陆佰捌拾壹万元整</v>
      </c>
      <c r="O60" s="2495"/>
    </row>
    <row r="61" spans="1:35" ht="13.5" thickBot="1">
      <c r="A61" s="3111" t="s">
        <v>2240</v>
      </c>
      <c r="B61" s="3111"/>
      <c r="C61" s="3111"/>
      <c r="D61" s="3111"/>
      <c r="E61" s="3111"/>
      <c r="F61" s="2491"/>
      <c r="G61" s="2491"/>
      <c r="H61" s="2499"/>
      <c r="I61" s="138"/>
      <c r="J61" s="2970">
        <f>J59+1</f>
        <v>6</v>
      </c>
      <c r="K61" s="3164" t="s">
        <v>2241</v>
      </c>
      <c r="L61" s="3164"/>
      <c r="M61" s="1763"/>
      <c r="N61" s="1764">
        <f ca="1">ROUND(N59*10000/'数据-汇总表'!E3,0)</f>
        <v>2479</v>
      </c>
      <c r="O61" s="2500"/>
    </row>
    <row r="62" spans="1:35" ht="12.75">
      <c r="A62" s="3127" t="s">
        <v>2242</v>
      </c>
      <c r="B62" s="3128"/>
      <c r="C62" s="2975"/>
      <c r="D62" s="2975" t="s">
        <v>2243</v>
      </c>
      <c r="E62" s="192" t="s">
        <v>2244</v>
      </c>
      <c r="F62" s="2491"/>
      <c r="G62" s="2491"/>
      <c r="H62" s="2499"/>
      <c r="I62" s="138"/>
    </row>
    <row r="63" spans="1:35" ht="12.75">
      <c r="A63" s="203" t="s">
        <v>775</v>
      </c>
      <c r="B63" s="193" t="s">
        <v>2245</v>
      </c>
      <c r="C63" s="194">
        <f ca="1">ROUND((C64+C65)/(1+'数据-取费表'!C42),0)</f>
        <v>3701</v>
      </c>
      <c r="D63" s="195"/>
      <c r="E63" s="196"/>
      <c r="F63" s="2491"/>
      <c r="G63" s="2491"/>
      <c r="H63" s="2499"/>
      <c r="I63" s="138"/>
      <c r="J63" s="3189" t="s">
        <v>2246</v>
      </c>
      <c r="K63" s="2966" t="s">
        <v>2247</v>
      </c>
      <c r="L63" s="1751">
        <f ca="1">IF(M49&gt;10000,M49*0.5%,IF(AND(M49&gt;1000,M49&lt;=10000),M49*1%,IF(AND(M49&gt;100,M49&lt;=1000),M49*3%,IF(AND(M49&gt;10,M49&lt;=100),M49*5%,M49*8%))))</f>
        <v>38.86</v>
      </c>
      <c r="M63" s="24">
        <f ca="1">ROUND(L63,1)</f>
        <v>38.9</v>
      </c>
      <c r="Z63" s="2425"/>
      <c r="AI63" s="2426"/>
    </row>
    <row r="64" spans="1:35" ht="14.25" customHeight="1">
      <c r="A64" s="197" t="s">
        <v>770</v>
      </c>
      <c r="B64" s="198" t="s">
        <v>2248</v>
      </c>
      <c r="C64" s="199">
        <f ca="1">D45</f>
        <v>3886</v>
      </c>
      <c r="D64" s="200" t="s">
        <v>32</v>
      </c>
      <c r="E64" s="201"/>
      <c r="F64" s="2491"/>
      <c r="G64" s="2491"/>
      <c r="H64" s="2499"/>
      <c r="I64" s="138"/>
      <c r="J64" s="3189"/>
      <c r="K64" s="2966" t="s">
        <v>2249</v>
      </c>
      <c r="L64" s="1751">
        <f ca="1">IF(M49&gt;2000,M49*0.5%,IF(AND(M49&gt;1000,M49&lt;=2000),M49*0.6%,IF(AND(M49&gt;500,M49&lt;=1000),M49*0.7%,IF(AND(M49&gt;200,M49&lt;=500),M49*0.8%,IF(AND(M49&gt;100,M49&lt;=200),M49*0.9%,IF(AND(M49&gt;50,M49&lt;=100),M49*1%,IF(AND(M49&gt;20,M49&lt;=50),M49*1.5%,IF(AND(M49&gt;10,M49&lt;=20),M49*2%,IF(AND(M49&gt;1,M49&lt;=10),M49*2.5%)))))))))</f>
        <v>19.43</v>
      </c>
      <c r="M64" s="24">
        <f t="shared" ref="M64:M65" ca="1" si="1">ROUND(L64,1)</f>
        <v>19.399999999999999</v>
      </c>
      <c r="N64" s="138" t="s">
        <v>2250</v>
      </c>
      <c r="Z64" s="2425"/>
      <c r="AI64" s="2426"/>
    </row>
    <row r="65" spans="1:35" ht="14.25" customHeight="1">
      <c r="A65" s="197" t="s">
        <v>771</v>
      </c>
      <c r="B65" s="198" t="s">
        <v>2251</v>
      </c>
      <c r="C65" s="202"/>
      <c r="D65" s="200"/>
      <c r="E65" s="201"/>
      <c r="F65" s="2491"/>
      <c r="G65" s="2491"/>
      <c r="H65" s="2499"/>
      <c r="I65" s="138"/>
      <c r="J65" s="3189"/>
      <c r="K65" s="2966" t="s">
        <v>2252</v>
      </c>
      <c r="L65" s="1751">
        <f ca="1">IF(M49&gt;1000,M49*0.1%,IF(AND(M49&gt;500,M49&lt;=1000),M49*0.5%,IF(AND(M49&gt;50,M49&lt;=500),M49*1%,IF(AND(M49&gt;1,M49&lt;=50),M49*1.5%))))</f>
        <v>3.8860000000000001</v>
      </c>
      <c r="M65" s="24">
        <f t="shared" ca="1" si="1"/>
        <v>3.9</v>
      </c>
      <c r="N65" s="138" t="s">
        <v>2250</v>
      </c>
      <c r="Z65" s="2425"/>
      <c r="AI65" s="2426"/>
    </row>
    <row r="66" spans="1:35" ht="14.25" customHeight="1">
      <c r="A66" s="203" t="s">
        <v>772</v>
      </c>
      <c r="B66" s="204" t="s">
        <v>2253</v>
      </c>
      <c r="C66" s="205"/>
      <c r="D66" s="206" t="s">
        <v>32</v>
      </c>
      <c r="E66" s="1775" t="s">
        <v>1371</v>
      </c>
      <c r="F66" s="2491"/>
      <c r="G66" s="2491"/>
      <c r="H66" s="2499"/>
      <c r="I66" s="138"/>
      <c r="J66" s="3189"/>
      <c r="K66" s="2966" t="s">
        <v>2254</v>
      </c>
      <c r="L66" s="1751">
        <f ca="1">M49*0.5%</f>
        <v>19.43</v>
      </c>
      <c r="M66" s="24">
        <f ca="1">IF(L66&gt;0.5,0.5,ROUND(L66,0))</f>
        <v>0.5</v>
      </c>
      <c r="N66" s="138" t="s">
        <v>2255</v>
      </c>
      <c r="Z66" s="2425"/>
      <c r="AI66" s="2426"/>
    </row>
    <row r="67" spans="1:35" ht="14.25" customHeight="1">
      <c r="A67" s="203" t="s">
        <v>773</v>
      </c>
      <c r="B67" s="204" t="s">
        <v>2256</v>
      </c>
      <c r="C67" s="207">
        <f ca="1">C63-C66</f>
        <v>3701</v>
      </c>
      <c r="D67" s="200" t="s">
        <v>32</v>
      </c>
      <c r="E67" s="201"/>
      <c r="F67" s="2491"/>
      <c r="G67" s="2491"/>
      <c r="H67" s="2499"/>
      <c r="I67" s="138"/>
      <c r="J67" s="3189"/>
      <c r="K67" s="2966" t="s">
        <v>2257</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2258</v>
      </c>
      <c r="C68" s="210">
        <f ca="1">IF(C67&lt;=0,0,ROUND(C67*D68,0))</f>
        <v>204</v>
      </c>
      <c r="D68" s="211">
        <f>'数据-取费表'!B41</f>
        <v>5.5000000000000007E-2</v>
      </c>
      <c r="E68" s="212"/>
      <c r="F68" s="2491"/>
      <c r="G68" s="2491"/>
      <c r="H68" s="2499"/>
      <c r="I68" s="138"/>
      <c r="J68" s="3189"/>
      <c r="K68" s="2966" t="s">
        <v>2259</v>
      </c>
      <c r="L68" s="1751">
        <f ca="1">IF(M49&gt;10000,M49*0.5%,IF(AND(M49&gt;5000,M49&lt;=10000),M49*1%,IF(AND(M49&gt;1000,M49&lt;=5000),M49*2%,IF(AND(M49&gt;200,M49&lt;=1000),M49*3%,M49*5%))))</f>
        <v>77.72</v>
      </c>
      <c r="M68" s="24">
        <f ca="1">ROUND(L68,1)</f>
        <v>77.7</v>
      </c>
      <c r="Z68" s="2425"/>
      <c r="AI68" s="2426"/>
    </row>
    <row r="69" spans="1:35" s="2448" customFormat="1" ht="16.5" customHeight="1">
      <c r="A69" s="2502"/>
      <c r="B69" s="2503"/>
      <c r="C69" s="2504"/>
      <c r="D69" s="2505"/>
      <c r="E69" s="2506"/>
      <c r="F69" s="2167"/>
      <c r="G69" s="2167"/>
      <c r="H69" s="2166"/>
      <c r="I69" s="2420"/>
      <c r="J69" s="3189"/>
      <c r="K69" s="2966" t="s">
        <v>2260</v>
      </c>
      <c r="L69" s="2507"/>
      <c r="M69" s="24">
        <f ca="1">ROUND(SUM(M63:M68),0)</f>
        <v>143</v>
      </c>
      <c r="N69" s="1752">
        <f ca="1">M69/M49</f>
        <v>3.6798764796706122E-2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48" t="s">
        <v>2261</v>
      </c>
      <c r="B70" s="3149"/>
      <c r="C70" s="3149"/>
      <c r="D70" s="3149"/>
      <c r="E70" s="3149"/>
      <c r="F70" s="3149"/>
      <c r="G70" s="3149"/>
      <c r="H70" s="314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7" t="s">
        <v>2242</v>
      </c>
      <c r="B71" s="3128"/>
      <c r="C71" s="2975"/>
      <c r="D71" s="2975"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2262</v>
      </c>
      <c r="C72" s="207">
        <f ca="1">ROUND(D45/(1+'数据-取费表'!C42),0)</f>
        <v>3701</v>
      </c>
      <c r="D72" s="200" t="s">
        <v>32</v>
      </c>
      <c r="E72" s="2977"/>
      <c r="F72" s="2976"/>
      <c r="G72" s="297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2263</v>
      </c>
      <c r="C73" s="207">
        <f ca="1">C74+C78</f>
        <v>19</v>
      </c>
      <c r="D73" s="200" t="s">
        <v>32</v>
      </c>
      <c r="E73" s="2977"/>
      <c r="F73" s="2976"/>
      <c r="G73" s="297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2977"/>
      <c r="F74" s="2976"/>
      <c r="G74" s="297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122" t="s">
        <v>2270</v>
      </c>
      <c r="F76" s="3099"/>
      <c r="G76" s="3099"/>
      <c r="H76" s="314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2967" t="s">
        <v>2272</v>
      </c>
      <c r="F77" s="224"/>
      <c r="G77" s="2515" t="s">
        <v>2273</v>
      </c>
      <c r="H77" s="297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19</v>
      </c>
      <c r="D78" s="226">
        <f>'数据-取费表'!B43</f>
        <v>5.000000000000001E-3</v>
      </c>
      <c r="E78" s="3108" t="s">
        <v>2275</v>
      </c>
      <c r="F78" s="3109"/>
      <c r="G78" s="3109"/>
      <c r="H78" s="311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2276</v>
      </c>
      <c r="C79" s="207">
        <f ca="1">C72-C73</f>
        <v>3682</v>
      </c>
      <c r="D79" s="200" t="s">
        <v>32</v>
      </c>
      <c r="E79" s="2977"/>
      <c r="F79" s="2976"/>
      <c r="G79" s="297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193.78947368421052</v>
      </c>
      <c r="D80" s="200" t="s">
        <v>32</v>
      </c>
      <c r="E80" s="2967" t="str">
        <f ca="1">IF(C80&gt;=200%,"增值额超过扣除项目金额200%",IF(C80&gt;=100%,"增值额超过扣除项目金额100%，未超过200%",IF(C80&gt;=50%,"增值额超过扣除项目金额50%，未超过100%",IF(C80&lt;50%,"增值额未超过扣除项目金额50%"))))</f>
        <v>增值额超过扣除项目金额200%</v>
      </c>
      <c r="F80" s="2976"/>
      <c r="G80" s="297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2278</v>
      </c>
      <c r="C81" s="228">
        <f ca="1">ROUND(IF(C79&lt;=0,0,IF(C80&gt;=200%,C79*60%-C73*35%,IF(C80&gt;=100%,C79*50%-C73*15%,IF(C80&gt;=50%,C79*40%-C73*5%,IF(C80&lt;50%,C79*30%,0))))),0)</f>
        <v>2203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8" t="s">
        <v>2279</v>
      </c>
      <c r="B83" s="3149"/>
      <c r="C83" s="3149"/>
      <c r="D83" s="3149"/>
      <c r="E83" s="3149"/>
      <c r="F83" s="3149"/>
      <c r="G83" s="3149"/>
      <c r="H83" s="314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7" t="s">
        <v>2242</v>
      </c>
      <c r="B84" s="3128"/>
      <c r="C84" s="2975"/>
      <c r="D84" s="2975"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2262</v>
      </c>
      <c r="C85" s="207">
        <f ca="1">ROUND(D45/(1+'数据-取费表'!C42),0)</f>
        <v>3701</v>
      </c>
      <c r="D85" s="200" t="s">
        <v>32</v>
      </c>
      <c r="E85" s="2977"/>
      <c r="F85" s="2976"/>
      <c r="G85" s="297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2263</v>
      </c>
      <c r="C86" s="207">
        <f ca="1">IF(H88="仅含出让金",C87+C90+C91+C92+C93+C94,C87+C91+C92+C93+C94)</f>
        <v>19</v>
      </c>
      <c r="D86" s="235"/>
      <c r="E86" s="2977"/>
      <c r="F86" s="2976"/>
      <c r="G86" s="297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2280</v>
      </c>
      <c r="C87" s="225">
        <f>C88+C89</f>
        <v>0</v>
      </c>
      <c r="D87" s="226"/>
      <c r="E87" s="2972"/>
      <c r="F87" s="2973"/>
      <c r="G87" s="2973"/>
      <c r="H87" s="2974"/>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2281</v>
      </c>
      <c r="C88" s="236"/>
      <c r="D88" s="226"/>
      <c r="E88" s="237" t="s">
        <v>2282</v>
      </c>
      <c r="F88" s="2973"/>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2271</v>
      </c>
      <c r="C89" s="225">
        <f>ROUND(C88*D89,0)</f>
        <v>0</v>
      </c>
      <c r="D89" s="226">
        <f>'数据-取费表'!B48+'数据-取费表'!B49</f>
        <v>3.0499999999999999E-2</v>
      </c>
      <c r="E89" s="237" t="s">
        <v>2284</v>
      </c>
      <c r="F89" s="2973"/>
      <c r="G89" s="2973"/>
      <c r="H89" s="2974"/>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2285</v>
      </c>
      <c r="C90" s="236"/>
      <c r="D90" s="226"/>
      <c r="E90" s="237" t="str">
        <f>IF(H88="-","土地取得成本中已包含该笔费用"," ")</f>
        <v xml:space="preserve"> </v>
      </c>
      <c r="F90" s="2973"/>
      <c r="G90" s="2973"/>
      <c r="H90" s="2974"/>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108" t="s">
        <v>2288</v>
      </c>
      <c r="F91" s="3109"/>
      <c r="G91" s="3109"/>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108" t="s">
        <v>2292</v>
      </c>
      <c r="F92" s="3109"/>
      <c r="G92" s="3109"/>
      <c r="H92" s="311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19</v>
      </c>
      <c r="D93" s="226">
        <f>'数据-取费表'!B43</f>
        <v>5.000000000000001E-3</v>
      </c>
      <c r="E93" s="3108" t="s">
        <v>2275</v>
      </c>
      <c r="F93" s="3109"/>
      <c r="G93" s="3109"/>
      <c r="H93" s="311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119" t="s">
        <v>2296</v>
      </c>
      <c r="F94" s="3120"/>
      <c r="G94" s="3120"/>
      <c r="H94" s="312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2276</v>
      </c>
      <c r="C95" s="207">
        <f ca="1">ROUND(C85-C86,0)</f>
        <v>3682</v>
      </c>
      <c r="D95" s="200" t="s">
        <v>32</v>
      </c>
      <c r="E95" s="2977"/>
      <c r="F95" s="2976"/>
      <c r="G95" s="297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193.78947368421052</v>
      </c>
      <c r="D96" s="200" t="s">
        <v>32</v>
      </c>
      <c r="E96" s="2967" t="str">
        <f ca="1">IF(C96&gt;=200%,"增值额超过扣除项目金额200%",IF(C96&gt;=100%,"增值额超过扣除项目金额100%，未超过200%",IF(C96&gt;=50%,"增值额超过扣除项目金额50%，未超过100%",IF(C96&lt;50%,"增值额未超过扣除项目金额50%"))))</f>
        <v>增值额超过扣除项目金额200%</v>
      </c>
      <c r="F96" s="2976"/>
      <c r="G96" s="297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2278</v>
      </c>
      <c r="C97" s="228">
        <f ca="1">ROUND(IF(C95&lt;=0,0,IF(C96&gt;=200%,C95*60%-C86*35%,IF(C96&gt;=100%,C95*50%-C86*15%,IF(C96&gt;=50%,C95*40%-C86*5%,IF(C96&lt;50%,C95*30%,0))))),0)</f>
        <v>2203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2297</v>
      </c>
      <c r="B99" s="2420"/>
      <c r="C99" s="2420"/>
      <c r="D99" s="2420"/>
      <c r="E99" s="2167"/>
      <c r="F99" s="2167"/>
      <c r="G99" s="2167"/>
      <c r="H99" s="2166"/>
      <c r="I99" s="138"/>
    </row>
    <row r="100" spans="1:35" ht="18.75" customHeight="1">
      <c r="A100" s="3093" t="s">
        <v>2298</v>
      </c>
      <c r="B100" s="3094"/>
      <c r="C100" s="3094"/>
      <c r="D100" s="3110"/>
      <c r="E100" s="3094" t="s">
        <v>2299</v>
      </c>
      <c r="F100" s="3094"/>
      <c r="G100" s="3094"/>
      <c r="H100" s="3110"/>
      <c r="I100" s="138"/>
    </row>
    <row r="101" spans="1:35" ht="18.75" customHeight="1">
      <c r="A101" s="3172" t="s">
        <v>2300</v>
      </c>
      <c r="B101" s="3173"/>
      <c r="C101" s="735" t="str">
        <f>C4</f>
        <v>比较法-会所</v>
      </c>
      <c r="D101" s="736" t="str">
        <f>D4</f>
        <v>收益法-会所</v>
      </c>
      <c r="E101" s="3186" t="s">
        <v>2301</v>
      </c>
      <c r="F101" s="3140"/>
      <c r="G101" s="2522" t="s">
        <v>2302</v>
      </c>
      <c r="H101" s="1047">
        <f ca="1">H118</f>
        <v>3886</v>
      </c>
      <c r="I101" s="138"/>
    </row>
    <row r="102" spans="1:35" ht="18.75" customHeight="1">
      <c r="A102" s="3142" t="s">
        <v>2303</v>
      </c>
      <c r="B102" s="2522" t="s">
        <v>2302</v>
      </c>
      <c r="C102" s="735">
        <f ca="1">C19</f>
        <v>4593</v>
      </c>
      <c r="D102" s="736">
        <f ca="1">D19</f>
        <v>1058</v>
      </c>
      <c r="E102" s="3186"/>
      <c r="F102" s="3140"/>
      <c r="G102" s="2522" t="s">
        <v>2304</v>
      </c>
      <c r="H102" s="371">
        <f ca="1">I118</f>
        <v>32678</v>
      </c>
      <c r="I102" s="138"/>
    </row>
    <row r="103" spans="1:35" ht="42.75" customHeight="1">
      <c r="A103" s="3142"/>
      <c r="B103" s="2522" t="s">
        <v>2304</v>
      </c>
      <c r="C103" s="737">
        <f ca="1">C20</f>
        <v>38623</v>
      </c>
      <c r="D103" s="738">
        <f ca="1">D20</f>
        <v>8897</v>
      </c>
      <c r="E103" s="3181" t="s">
        <v>2305</v>
      </c>
      <c r="F103" s="3182"/>
      <c r="G103" s="2523" t="s">
        <v>2306</v>
      </c>
      <c r="H103" s="1047">
        <f>IF(D36="正常操作",H104+H105+H106,H105+H106)</f>
        <v>0</v>
      </c>
      <c r="I103" s="138"/>
    </row>
    <row r="104" spans="1:35" ht="18.75" customHeight="1">
      <c r="A104" s="3142" t="s">
        <v>2307</v>
      </c>
      <c r="B104" s="2524" t="s">
        <v>2302</v>
      </c>
      <c r="C104" s="739">
        <f ca="1">H118</f>
        <v>3886</v>
      </c>
      <c r="D104" s="740"/>
      <c r="E104" s="2268" t="s">
        <v>2308</v>
      </c>
      <c r="F104" s="2259"/>
      <c r="G104" s="2523" t="s">
        <v>2306</v>
      </c>
      <c r="H104" s="1048">
        <f>IF(D36="同一抵押权人同一抵押物续贷",C36&amp;"（未扣减，详见特别提示）",C36)</f>
        <v>0</v>
      </c>
      <c r="I104" s="138"/>
    </row>
    <row r="105" spans="1:35" ht="18.75" customHeight="1" thickBot="1">
      <c r="A105" s="3143"/>
      <c r="B105" s="2525" t="s">
        <v>2304</v>
      </c>
      <c r="C105" s="741">
        <f ca="1">I118</f>
        <v>32678</v>
      </c>
      <c r="D105" s="742"/>
      <c r="E105" s="2268" t="s">
        <v>2309</v>
      </c>
      <c r="F105" s="2259"/>
      <c r="G105" s="2523" t="s">
        <v>2306</v>
      </c>
      <c r="H105" s="1048">
        <f>C37</f>
        <v>0</v>
      </c>
      <c r="I105" s="138"/>
    </row>
    <row r="106" spans="1:35" ht="18.75" customHeight="1">
      <c r="A106" s="2420" t="s">
        <v>2310</v>
      </c>
      <c r="B106" s="2420"/>
      <c r="C106" s="2420"/>
      <c r="D106" s="2420"/>
      <c r="E106" s="2526" t="s">
        <v>2311</v>
      </c>
      <c r="F106" s="2259"/>
      <c r="G106" s="2523" t="s">
        <v>2306</v>
      </c>
      <c r="H106" s="1048">
        <f>C38</f>
        <v>0</v>
      </c>
      <c r="I106" s="138"/>
    </row>
    <row r="107" spans="1:35" ht="18.75" customHeight="1">
      <c r="A107" s="138"/>
      <c r="B107" s="138"/>
      <c r="C107" s="138"/>
      <c r="D107" s="138"/>
      <c r="E107" s="3139" t="str">
        <f>IF(项目基本情况!E8="已注销","——","3.房地产抵押价值")</f>
        <v>3.房地产抵押价值</v>
      </c>
      <c r="F107" s="3140"/>
      <c r="G107" s="2522" t="s">
        <v>2302</v>
      </c>
      <c r="H107" s="1047">
        <f ca="1">IF(E107="——","——",H101-H103)</f>
        <v>3886</v>
      </c>
      <c r="I107" s="138"/>
    </row>
    <row r="108" spans="1:35" ht="18.75" customHeight="1">
      <c r="A108" s="138"/>
      <c r="B108" s="138"/>
      <c r="C108" s="138"/>
      <c r="D108" s="138"/>
      <c r="E108" s="3139"/>
      <c r="F108" s="3140"/>
      <c r="G108" s="2522" t="s">
        <v>2304</v>
      </c>
      <c r="H108" s="371">
        <f ca="1">ROUND(H107*10000/'数据-汇总表'!E3,0)</f>
        <v>5732</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22" t="s">
        <v>2302</v>
      </c>
      <c r="H109" s="348" t="str">
        <f>IF(E109="——","——",H101-H105-H106)</f>
        <v>——</v>
      </c>
      <c r="I109" s="138"/>
    </row>
    <row r="110" spans="1:35" ht="18.75" customHeight="1">
      <c r="A110" s="138"/>
      <c r="B110" s="138"/>
      <c r="C110" s="138"/>
      <c r="D110" s="138"/>
      <c r="E110" s="3139"/>
      <c r="F110" s="3140"/>
      <c r="G110" s="2522" t="s">
        <v>2304</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22" t="s">
        <v>2302</v>
      </c>
      <c r="H111" s="1047" t="str">
        <f>IF(E111="——","——",N59)</f>
        <v>——</v>
      </c>
      <c r="I111" s="138"/>
    </row>
    <row r="112" spans="1:35" ht="18.75" customHeight="1" thickBot="1">
      <c r="A112" s="138"/>
      <c r="B112" s="138"/>
      <c r="C112" s="138"/>
      <c r="D112" s="138"/>
      <c r="E112" s="3176"/>
      <c r="F112" s="3177"/>
      <c r="G112" s="2527" t="s">
        <v>2304</v>
      </c>
      <c r="H112" s="789" t="str">
        <f>IF(E111="——","——",N61)</f>
        <v>——</v>
      </c>
      <c r="I112" s="138"/>
    </row>
    <row r="113" spans="1:11" ht="18.75" customHeight="1">
      <c r="A113" s="138"/>
      <c r="B113" s="138"/>
      <c r="C113" s="138"/>
      <c r="D113" s="138"/>
      <c r="E113" s="3144" t="s">
        <v>2310</v>
      </c>
      <c r="F113" s="3144"/>
      <c r="G113" s="3144"/>
      <c r="H113" s="3144"/>
      <c r="I113" s="138"/>
    </row>
    <row r="114" spans="1:11" ht="3.75" customHeight="1">
      <c r="A114" s="2420"/>
      <c r="B114" s="2420"/>
      <c r="C114" s="2420"/>
      <c r="D114" s="2420"/>
      <c r="E114" s="2498"/>
      <c r="F114" s="2498"/>
      <c r="G114" s="2498"/>
      <c r="H114" s="2498"/>
      <c r="I114" s="2420"/>
    </row>
    <row r="115" spans="1:11" ht="18.75" customHeight="1">
      <c r="A115" s="3157" t="s">
        <v>2312</v>
      </c>
      <c r="B115" s="3158"/>
      <c r="C115" s="3158"/>
      <c r="D115" s="3158"/>
      <c r="E115" s="3158"/>
      <c r="F115" s="3158"/>
      <c r="G115" s="3158"/>
      <c r="H115" s="3158"/>
      <c r="I115" s="3159"/>
    </row>
    <row r="116" spans="1:11" ht="27" customHeight="1">
      <c r="A116" s="3046" t="s">
        <v>2313</v>
      </c>
      <c r="B116" s="3145" t="s">
        <v>2314</v>
      </c>
      <c r="C116" s="3145" t="s">
        <v>2315</v>
      </c>
      <c r="D116" s="3161" t="s">
        <v>2316</v>
      </c>
      <c r="E116" s="3162"/>
      <c r="F116" s="3153" t="s">
        <v>2317</v>
      </c>
      <c r="G116" s="3153"/>
      <c r="H116" s="3046" t="s">
        <v>2318</v>
      </c>
      <c r="I116" s="3046"/>
    </row>
    <row r="117" spans="1:11" ht="18.75" customHeight="1">
      <c r="A117" s="3046"/>
      <c r="B117" s="3146"/>
      <c r="C117" s="3146"/>
      <c r="D117" s="2961" t="s">
        <v>2319</v>
      </c>
      <c r="E117" s="2961" t="s">
        <v>2320</v>
      </c>
      <c r="F117" s="2961" t="s">
        <v>2319</v>
      </c>
      <c r="G117" s="2961" t="s">
        <v>2321</v>
      </c>
      <c r="H117" s="2961" t="s">
        <v>2319</v>
      </c>
      <c r="I117" s="2961" t="s">
        <v>2321</v>
      </c>
    </row>
    <row r="118" spans="1:11" ht="24.75" customHeight="1">
      <c r="A118" s="2528" t="str">
        <f>项目基本情况!S2</f>
        <v>北京市大兴区兴华园48号楼46号、201号及11幢3套商业用房房地产</v>
      </c>
      <c r="B118" s="2961">
        <f>M18</f>
        <v>1189.19</v>
      </c>
      <c r="C118" s="2961">
        <f>M19</f>
        <v>0</v>
      </c>
      <c r="D118" s="2961" t="e">
        <f ca="1">ROUND(IF(D32="总价",C34,E118*B118/10000),0)</f>
        <v>#REF!</v>
      </c>
      <c r="E118" s="2961" t="e">
        <f ca="1">ROUND(IF(C33="自定义",IF(D32="楼面单价",C34,D118*10000/B118),I118-G118),0)</f>
        <v>#REF!</v>
      </c>
      <c r="F118" s="2961" t="e">
        <f ca="1">ROUND(IF(D32="总价",C35,G118*B118/10000),0)</f>
        <v>#REF!</v>
      </c>
      <c r="G118" s="2961" t="e">
        <f ca="1">ROUND(IF(D32="楼面单价",C35,F118*10000/B118),0)</f>
        <v>#REF!</v>
      </c>
      <c r="H118" s="2961">
        <f ca="1">ROUND(IF(D32="总价",C32,I118*B118/10000),0)</f>
        <v>3886</v>
      </c>
      <c r="I118" s="2961">
        <f ca="1">ROUND(IF(D32="楼面单价",C32,H118*10000/B118),0)</f>
        <v>32678</v>
      </c>
    </row>
    <row r="119" spans="1:11" ht="18.75" customHeight="1">
      <c r="A119" s="3046" t="s">
        <v>2322</v>
      </c>
      <c r="B119" s="3046"/>
      <c r="C119" s="3046"/>
      <c r="D119" s="3150" t="e">
        <f ca="1">NUMBERSTRING(INT(D118*10000),2)&amp;"元整"</f>
        <v>#REF!</v>
      </c>
      <c r="E119" s="3152"/>
      <c r="F119" s="3150" t="e">
        <f ca="1">NUMBERSTRING(INT(F118*10000),2)&amp;"元整"</f>
        <v>#REF!</v>
      </c>
      <c r="G119" s="3152"/>
      <c r="H119" s="3150" t="str">
        <f ca="1">NUMBERSTRING(INT(H118*10000),2)&amp;"元整"</f>
        <v>叁仟捌佰捌拾陆万元整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5" t="str">
        <f>IF(D120=0,"故，本次评估不存在"&amp;A120,"故，本次评估"&amp;A120&amp;"为人民币"&amp;D120&amp;"万元整。")</f>
        <v>故，本次评估不存在估价师知悉的法定优先受偿款</v>
      </c>
    </row>
    <row r="121" spans="1:11" ht="18.75" customHeight="1">
      <c r="A121" s="3154" t="s">
        <v>2322</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3886</v>
      </c>
      <c r="E122" s="3179"/>
      <c r="F122" s="3179"/>
      <c r="G122" s="3179"/>
      <c r="H122" s="3179"/>
      <c r="I122" s="3180"/>
    </row>
    <row r="123" spans="1:11" ht="18.75" customHeight="1">
      <c r="A123" s="3046" t="s">
        <v>2322</v>
      </c>
      <c r="B123" s="3046"/>
      <c r="C123" s="3046"/>
      <c r="D123" s="3150" t="str">
        <f ca="1">NUMBERSTRING(INT(D122*10000),2)&amp;"元整"</f>
        <v>叁仟捌佰捌拾陆万元整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46" t="s">
        <v>2322</v>
      </c>
      <c r="B125" s="3046"/>
      <c r="C125" s="3046"/>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46" t="s">
        <v>2322</v>
      </c>
      <c r="B127" s="3046"/>
      <c r="C127" s="3046"/>
      <c r="D127" s="3150" t="e">
        <f>NUMBERSTRING(INT(D126*10000),2)&amp;"元整"</f>
        <v>#VALUE!</v>
      </c>
      <c r="E127" s="3151"/>
      <c r="F127" s="3151"/>
      <c r="G127" s="3151"/>
      <c r="H127" s="3151"/>
      <c r="I127" s="3152"/>
    </row>
    <row r="128" spans="1:11" ht="21.75" customHeight="1">
      <c r="A128" s="3160" t="s">
        <v>2323</v>
      </c>
      <c r="B128" s="3160"/>
      <c r="C128" s="3160"/>
      <c r="D128" s="3160"/>
      <c r="E128" s="3160"/>
      <c r="F128" s="3160"/>
      <c r="G128" s="3160"/>
      <c r="H128" s="3160"/>
      <c r="I128" s="3160"/>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2326</v>
      </c>
      <c r="G135" s="2546"/>
      <c r="H135" s="2546"/>
      <c r="I135" s="2547" t="s">
        <v>2327</v>
      </c>
    </row>
    <row r="136" spans="1:35" ht="21.75" customHeight="1">
      <c r="A136" s="794"/>
      <c r="B136" s="2548"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2329</v>
      </c>
    </row>
    <row r="139" spans="1:35" ht="21.75" customHeight="1">
      <c r="A139" s="794"/>
      <c r="B139" s="2548" t="s">
        <v>2330</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2329</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1"/>
      <c r="C1" s="1839"/>
      <c r="D1" s="1822"/>
      <c r="E1" s="1823" t="s">
        <v>1387</v>
      </c>
      <c r="F1" s="1285" t="b">
        <f>J53</f>
        <v>0</v>
      </c>
      <c r="G1" s="1838">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3"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95" t="s">
        <v>1403</v>
      </c>
      <c r="C6" s="1298">
        <f ca="1">ROUND(F6*F8*F7*(1-F9),0)</f>
        <v>0</v>
      </c>
      <c r="D6" s="164" t="s">
        <v>3033</v>
      </c>
      <c r="E6" s="347" t="s">
        <v>1405</v>
      </c>
      <c r="F6" s="348">
        <f ca="1">INDIRECT("'数据-取费表'!u"&amp;$G$1)</f>
        <v>0</v>
      </c>
      <c r="G6" s="1853"/>
      <c r="H6" s="1293" t="s">
        <v>1035</v>
      </c>
      <c r="I6" s="3195" t="s">
        <v>1403</v>
      </c>
      <c r="J6" s="346">
        <f ca="1">ROUND(M6*M8*M7*(1-M9),0)</f>
        <v>0</v>
      </c>
      <c r="K6" s="1836" t="s">
        <v>3036</v>
      </c>
      <c r="L6" s="347" t="s">
        <v>1405</v>
      </c>
      <c r="M6" s="348">
        <f ca="1">INDIRECT("'数据-取费表'!z"&amp;$G$1)</f>
        <v>0</v>
      </c>
    </row>
    <row r="7" spans="1:37" ht="18" customHeight="1">
      <c r="A7" s="1297"/>
      <c r="B7" s="3196"/>
      <c r="C7" s="1299"/>
      <c r="D7" s="352"/>
      <c r="E7" s="1300" t="s">
        <v>1406</v>
      </c>
      <c r="F7" s="348">
        <f ca="1">IF(INDIRECT("'数据-取费表'!ah"&amp;$G$1)="",INDIRECT("'数据-取费表'!k"&amp;$G$1),INDIRECT("'数据-取费表'!ah"&amp;$G$1))</f>
        <v>0</v>
      </c>
      <c r="G7" s="1853"/>
      <c r="H7" s="349"/>
      <c r="I7" s="3196"/>
      <c r="J7" s="351"/>
      <c r="K7" s="352"/>
      <c r="L7" s="347" t="s">
        <v>1406</v>
      </c>
      <c r="M7" s="348">
        <f ca="1">F7</f>
        <v>0</v>
      </c>
    </row>
    <row r="8" spans="1:37" ht="18" customHeight="1">
      <c r="A8" s="349"/>
      <c r="B8" s="3196"/>
      <c r="C8" s="351"/>
      <c r="D8" s="352"/>
      <c r="E8" s="347" t="s">
        <v>1407</v>
      </c>
      <c r="F8" s="348">
        <f ca="1">INDIRECT("'数据-取费表'!ai"&amp;$G$1)</f>
        <v>0</v>
      </c>
      <c r="G8" s="1853"/>
      <c r="H8" s="349"/>
      <c r="I8" s="3196"/>
      <c r="J8" s="351"/>
      <c r="K8" s="352"/>
      <c r="L8" s="347" t="s">
        <v>1407</v>
      </c>
      <c r="M8" s="348">
        <f ca="1">INDIRECT("'数据-取费表'!ai"&amp;$G$1)</f>
        <v>0</v>
      </c>
    </row>
    <row r="9" spans="1:37" ht="18" customHeight="1">
      <c r="A9" s="349"/>
      <c r="B9" s="3197"/>
      <c r="C9" s="351"/>
      <c r="D9" s="352"/>
      <c r="E9" s="347" t="s">
        <v>1408</v>
      </c>
      <c r="F9" s="357">
        <f ca="1">INDIRECT("'数据-取费表'!w"&amp;$G$1)</f>
        <v>0</v>
      </c>
      <c r="G9" s="1853"/>
      <c r="H9" s="349"/>
      <c r="I9" s="3197"/>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3034</v>
      </c>
      <c r="E10" s="358" t="s">
        <v>1411</v>
      </c>
      <c r="F10" s="1368"/>
      <c r="G10" s="1853"/>
      <c r="H10" s="1293" t="s">
        <v>1039</v>
      </c>
      <c r="I10" s="1825" t="s">
        <v>1409</v>
      </c>
      <c r="J10" s="346">
        <f ca="1">ROUND(IF(M10="押一",M6*M8*M7/12*M11,IF(M10="押二",M6*M8*M7/12*2*M11,IF(M10="押三",M6*M8*M7/12*3*M11,J11*M11))),0)</f>
        <v>0</v>
      </c>
      <c r="K10" s="1837" t="s">
        <v>3035</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7"/>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1"/>
      <c r="M14" s="982"/>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0.01</v>
      </c>
      <c r="G20" s="1856"/>
      <c r="H20" s="1203" t="s">
        <v>1389</v>
      </c>
      <c r="I20" s="164" t="s">
        <v>1442</v>
      </c>
      <c r="J20" s="25">
        <f ca="1">ROUND(M20*M21,0)</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4"/>
      <c r="I30" s="745"/>
      <c r="J30" s="746"/>
      <c r="K30" s="747"/>
      <c r="L30" s="748"/>
      <c r="M30" s="749"/>
    </row>
    <row r="31" spans="1:37" ht="18" customHeight="1">
      <c r="A31" s="1203" t="s">
        <v>1035</v>
      </c>
      <c r="B31" s="347" t="s">
        <v>1430</v>
      </c>
      <c r="C31" s="24">
        <f ca="1">ROUND(IF(项目基本情况!B11="自然人",C5*F31,C32+C33+C34),0)</f>
        <v>0</v>
      </c>
      <c r="D31" s="1802" t="s">
        <v>1431</v>
      </c>
      <c r="E31" s="1800" t="s">
        <v>1482</v>
      </c>
      <c r="F31" s="368">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7" t="s">
        <v>1434</v>
      </c>
      <c r="C32" s="24">
        <f ca="1">IF(项目基本情况!B11="自然人","——",ROUND(C5*F32/(1+'数据-取费表'!C42),0))</f>
        <v>0</v>
      </c>
      <c r="D32" s="1800" t="s">
        <v>1435</v>
      </c>
      <c r="E32" s="347" t="s">
        <v>1423</v>
      </c>
      <c r="F32" s="377">
        <f>'数据-取费表'!B41</f>
        <v>5.5000000000000007E-2</v>
      </c>
      <c r="G32" s="1853"/>
      <c r="H32" s="744"/>
      <c r="I32" s="745"/>
      <c r="J32" s="746"/>
      <c r="K32" s="747"/>
      <c r="L32" s="748"/>
      <c r="M32" s="749"/>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1.5</v>
      </c>
      <c r="G34" s="1853"/>
      <c r="H34" s="744"/>
      <c r="I34" s="1862"/>
      <c r="J34" s="1863"/>
      <c r="K34" s="1865"/>
      <c r="L34" s="1866"/>
      <c r="M34" s="1866"/>
    </row>
    <row r="35" spans="1:18" ht="18" customHeight="1">
      <c r="A35" s="1355"/>
      <c r="B35" s="1353"/>
      <c r="C35" s="29"/>
      <c r="D35" s="373"/>
      <c r="E35" s="347" t="s">
        <v>1448</v>
      </c>
      <c r="F35" s="348">
        <f ca="1">INDIRECT("'数据-取费表'!r"&amp;$G$1)</f>
        <v>0</v>
      </c>
      <c r="G35" s="1853"/>
      <c r="H35" s="744"/>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0"/>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0"/>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1478</v>
      </c>
      <c r="F42" s="357">
        <f ca="1">INDIRECT("'数据-取费表'!v"&amp;$G$1)</f>
        <v>0</v>
      </c>
      <c r="G42" s="1853"/>
      <c r="H42" s="731"/>
      <c r="I42" s="1862"/>
      <c r="J42" s="1863"/>
      <c r="K42" s="750"/>
      <c r="L42" s="731"/>
      <c r="M42" s="731"/>
    </row>
    <row r="43" spans="1:18" ht="18" customHeight="1" thickBot="1">
      <c r="A43" s="380" t="s">
        <v>1033</v>
      </c>
      <c r="B43" s="381" t="s">
        <v>1488</v>
      </c>
      <c r="C43" s="382" t="e">
        <f ca="1">ROUND(C40/F43,0)</f>
        <v>#DIV/0!</v>
      </c>
      <c r="D43" s="383" t="s">
        <v>1489</v>
      </c>
      <c r="E43" s="384" t="s">
        <v>1490</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1"/>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1"/>
      <c r="H48" s="792"/>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2"/>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2"/>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98" t="s">
        <v>1549</v>
      </c>
      <c r="L53" s="3199"/>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f ca="1">IF(项目基本情况!B11="企业","",IF(INDIRECT("'数据-取费表'!c"&amp;$G$1)="住宅",5%,IF(F49*F50*F51/12/(1+'数据-取费表'!C42)&gt;20000,12%,7%)))</f>
        <v>7.0000000000000007E-2</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5.5000000000000007E-2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2531</v>
      </c>
      <c r="B1" s="2566"/>
      <c r="C1" s="2566"/>
      <c r="D1" s="2566"/>
      <c r="E1" s="2567"/>
    </row>
    <row r="2" spans="1:6" ht="15.75">
      <c r="A2" s="2568" t="s">
        <v>2332</v>
      </c>
      <c r="B2" s="2569">
        <f ca="1">SUMIF(B6:B13,"&lt;&gt;#ref!",B6:B13)</f>
        <v>22664</v>
      </c>
      <c r="C2" s="2570" t="s">
        <v>2524</v>
      </c>
      <c r="D2" s="2571" t="s">
        <v>2525</v>
      </c>
      <c r="E2" s="2572">
        <f>SUM(E6:E13)</f>
        <v>6779.85</v>
      </c>
    </row>
    <row r="3" spans="1:6" ht="15.75">
      <c r="A3" s="2568" t="s">
        <v>1395</v>
      </c>
      <c r="B3" s="2569">
        <f ca="1">ROUND(B2*10000/E2,0)</f>
        <v>33428</v>
      </c>
      <c r="C3" s="2570" t="s">
        <v>2532</v>
      </c>
      <c r="D3" s="2573"/>
      <c r="E3" s="2574"/>
    </row>
    <row r="4" spans="1:6" ht="15.75">
      <c r="A4" s="2575"/>
      <c r="B4" s="2573"/>
      <c r="C4" s="2573"/>
      <c r="D4" s="2573"/>
      <c r="E4" s="2574"/>
    </row>
    <row r="5" spans="1:6" ht="15">
      <c r="A5" s="2576" t="s">
        <v>2526</v>
      </c>
      <c r="B5" s="3200" t="s">
        <v>2527</v>
      </c>
      <c r="C5" s="3200"/>
      <c r="D5" s="2577"/>
      <c r="E5" s="2578" t="s">
        <v>2528</v>
      </c>
      <c r="F5" s="2579" t="s">
        <v>2529</v>
      </c>
    </row>
    <row r="6" spans="1:6">
      <c r="A6" s="2580" t="str">
        <f>'数据-取费表'!AN6</f>
        <v>收益法</v>
      </c>
      <c r="B6" s="2579">
        <f ca="1">IF(F6="是",'数据-取费表'!AO6,0)</f>
        <v>21606</v>
      </c>
      <c r="C6" s="2570" t="s">
        <v>2524</v>
      </c>
      <c r="D6" s="2573"/>
      <c r="E6" s="2581">
        <f>IF(OR(A6=0,F6="否"),0,'数据-取费表'!K6+'数据-取费表'!S6)</f>
        <v>5590.66</v>
      </c>
      <c r="F6" s="2582" t="s">
        <v>2530</v>
      </c>
    </row>
    <row r="7" spans="1:6">
      <c r="A7" s="2580">
        <f>'数据-取费表'!AN7</f>
        <v>0</v>
      </c>
      <c r="B7" s="2579" t="e">
        <f ca="1">IF(F7="是",'数据-取费表'!AO7,0)</f>
        <v>#REF!</v>
      </c>
      <c r="C7" s="2570" t="s">
        <v>2524</v>
      </c>
      <c r="D7" s="2573"/>
      <c r="E7" s="2581">
        <f>IF(OR(A7=0,F7="否"),0,'数据-取费表'!K7+'数据-取费表'!S7)</f>
        <v>0</v>
      </c>
      <c r="F7" s="2582" t="s">
        <v>2530</v>
      </c>
    </row>
    <row r="8" spans="1:6">
      <c r="A8" s="2580" t="str">
        <f>'数据-取费表'!AN8</f>
        <v>收益法-会所</v>
      </c>
      <c r="B8" s="2579">
        <f ca="1">IF(F8="是",'数据-取费表'!AO8,0)</f>
        <v>1058</v>
      </c>
      <c r="C8" s="2570" t="s">
        <v>2524</v>
      </c>
      <c r="D8" s="2573"/>
      <c r="E8" s="2581">
        <f>IF(OR(A8=0,F8="否"),0,'数据-取费表'!K8+'数据-取费表'!S8)</f>
        <v>1189.19</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07" t="s">
        <v>1077</v>
      </c>
      <c r="B2" s="3208" t="s">
        <v>1078</v>
      </c>
      <c r="C2" s="3208"/>
      <c r="D2" s="1303" t="s">
        <v>1079</v>
      </c>
      <c r="E2" s="1303" t="s">
        <v>1080</v>
      </c>
      <c r="F2" s="1303" t="s">
        <v>1081</v>
      </c>
      <c r="G2" s="1303" t="s">
        <v>1082</v>
      </c>
      <c r="H2" s="1303" t="s">
        <v>1083</v>
      </c>
      <c r="I2" s="1304" t="s">
        <v>1084</v>
      </c>
    </row>
    <row r="3" spans="1:9">
      <c r="A3" s="3207"/>
      <c r="B3" s="3208" t="s">
        <v>1085</v>
      </c>
      <c r="C3" s="3208"/>
      <c r="D3" s="1305"/>
      <c r="E3" s="1303"/>
      <c r="F3" s="1306"/>
      <c r="G3" s="1306"/>
      <c r="H3" s="1307"/>
      <c r="I3" s="1308">
        <f>ROUND(D3*E3*F3*G3*H3/10000,0)</f>
        <v>0</v>
      </c>
    </row>
    <row r="4" spans="1:9">
      <c r="A4" s="3207"/>
      <c r="B4" s="3208" t="s">
        <v>1086</v>
      </c>
      <c r="C4" s="3208"/>
      <c r="D4" s="1305"/>
      <c r="E4" s="1303"/>
      <c r="F4" s="1306"/>
      <c r="G4" s="1306"/>
      <c r="H4" s="1307"/>
      <c r="I4" s="1308">
        <f t="shared" ref="I4:I9" si="0">ROUND(D4*E4*F4*G4*H4/10000,0)</f>
        <v>0</v>
      </c>
    </row>
    <row r="5" spans="1:9">
      <c r="A5" s="3207"/>
      <c r="B5" s="3208" t="s">
        <v>1087</v>
      </c>
      <c r="C5" s="3208"/>
      <c r="D5" s="1305"/>
      <c r="E5" s="1303"/>
      <c r="F5" s="1306"/>
      <c r="G5" s="1306"/>
      <c r="H5" s="1307"/>
      <c r="I5" s="1308">
        <f t="shared" si="0"/>
        <v>0</v>
      </c>
    </row>
    <row r="6" spans="1:9">
      <c r="A6" s="3207"/>
      <c r="B6" s="3208" t="s">
        <v>1088</v>
      </c>
      <c r="C6" s="3208"/>
      <c r="D6" s="1305"/>
      <c r="E6" s="1303"/>
      <c r="F6" s="1306"/>
      <c r="G6" s="1306"/>
      <c r="H6" s="1307"/>
      <c r="I6" s="1308">
        <f t="shared" si="0"/>
        <v>0</v>
      </c>
    </row>
    <row r="7" spans="1:9">
      <c r="A7" s="3207"/>
      <c r="B7" s="3208" t="s">
        <v>1089</v>
      </c>
      <c r="C7" s="3208"/>
      <c r="D7" s="1305"/>
      <c r="E7" s="1303"/>
      <c r="F7" s="1306"/>
      <c r="G7" s="1306"/>
      <c r="H7" s="1307"/>
      <c r="I7" s="1308">
        <f t="shared" si="0"/>
        <v>0</v>
      </c>
    </row>
    <row r="8" spans="1:9">
      <c r="A8" s="3207"/>
      <c r="B8" s="3208" t="s">
        <v>1090</v>
      </c>
      <c r="C8" s="3208"/>
      <c r="D8" s="1305"/>
      <c r="E8" s="1303"/>
      <c r="F8" s="1306"/>
      <c r="G8" s="1306"/>
      <c r="H8" s="1307"/>
      <c r="I8" s="1308">
        <f t="shared" si="0"/>
        <v>0</v>
      </c>
    </row>
    <row r="9" spans="1:9">
      <c r="A9" s="3207"/>
      <c r="B9" s="3208" t="s">
        <v>1091</v>
      </c>
      <c r="C9" s="3208"/>
      <c r="D9" s="1305"/>
      <c r="E9" s="1303"/>
      <c r="F9" s="1306"/>
      <c r="G9" s="1306"/>
      <c r="H9" s="1307"/>
      <c r="I9" s="1308">
        <f t="shared" si="0"/>
        <v>0</v>
      </c>
    </row>
    <row r="10" spans="1:9">
      <c r="A10" s="3207"/>
      <c r="B10" s="3209" t="s">
        <v>1092</v>
      </c>
      <c r="C10" s="3209"/>
      <c r="D10" s="1309"/>
      <c r="E10" s="1309" t="e">
        <f>ROUND(D1*10000/D10/H9,0)</f>
        <v>#DIV/0!</v>
      </c>
      <c r="F10" s="1310"/>
      <c r="G10" s="1310"/>
      <c r="H10" s="1311"/>
      <c r="I10" s="1312">
        <f>SUM(I3:I9)</f>
        <v>0</v>
      </c>
    </row>
    <row r="11" spans="1:9" ht="14.25">
      <c r="A11" s="3207" t="s">
        <v>1093</v>
      </c>
      <c r="B11" s="3208" t="s">
        <v>1094</v>
      </c>
      <c r="C11" s="3208"/>
      <c r="D11" s="1305" t="s">
        <v>1095</v>
      </c>
      <c r="E11" s="1305" t="s">
        <v>1096</v>
      </c>
      <c r="F11" s="1306" t="s">
        <v>1097</v>
      </c>
      <c r="G11" s="1306" t="s">
        <v>1083</v>
      </c>
      <c r="H11" s="1313" t="s">
        <v>1098</v>
      </c>
      <c r="I11" s="1304" t="s">
        <v>1084</v>
      </c>
    </row>
    <row r="12" spans="1:9">
      <c r="A12" s="3207"/>
      <c r="B12" s="3208" t="s">
        <v>1099</v>
      </c>
      <c r="C12" s="3208"/>
      <c r="D12" s="1305"/>
      <c r="E12" s="1305"/>
      <c r="F12" s="1306"/>
      <c r="G12" s="1307"/>
      <c r="H12" s="1314"/>
      <c r="I12" s="1304">
        <f>ROUND(D12*E12*F12*G12/10000,0)</f>
        <v>0</v>
      </c>
    </row>
    <row r="13" spans="1:9">
      <c r="A13" s="3207"/>
      <c r="B13" s="3208" t="s">
        <v>1100</v>
      </c>
      <c r="C13" s="3208"/>
      <c r="D13" s="1305"/>
      <c r="E13" s="1305"/>
      <c r="F13" s="1306"/>
      <c r="G13" s="1307"/>
      <c r="H13" s="1314"/>
      <c r="I13" s="1304">
        <f>ROUND(D13*E13*F13*G13/10000,0)</f>
        <v>0</v>
      </c>
    </row>
    <row r="14" spans="1:9">
      <c r="A14" s="3207"/>
      <c r="B14" s="3208" t="s">
        <v>1101</v>
      </c>
      <c r="C14" s="3208"/>
      <c r="D14" s="1305"/>
      <c r="E14" s="1305"/>
      <c r="F14" s="1306"/>
      <c r="G14" s="1307"/>
      <c r="H14" s="1314"/>
      <c r="I14" s="1304">
        <f>ROUND(D14*E14*F14*G14/10000,0)</f>
        <v>0</v>
      </c>
    </row>
    <row r="15" spans="1:9">
      <c r="A15" s="3207"/>
      <c r="B15" s="3209" t="s">
        <v>1092</v>
      </c>
      <c r="C15" s="3209"/>
      <c r="D15" s="1309"/>
      <c r="E15" s="1309">
        <f>SUM(E12:E14)</f>
        <v>0</v>
      </c>
      <c r="F15" s="1310"/>
      <c r="G15" s="1307"/>
      <c r="H15" s="1314"/>
      <c r="I15" s="1315">
        <f>SUM(I12:I14)</f>
        <v>0</v>
      </c>
    </row>
    <row r="16" spans="1:9" ht="24">
      <c r="A16" s="3207" t="s">
        <v>1102</v>
      </c>
      <c r="B16" s="3208" t="s">
        <v>1103</v>
      </c>
      <c r="C16" s="3208"/>
      <c r="D16" s="1305" t="s">
        <v>1079</v>
      </c>
      <c r="E16" s="1316" t="s">
        <v>1104</v>
      </c>
      <c r="F16" s="1306" t="s">
        <v>1105</v>
      </c>
      <c r="G16" s="1307" t="s">
        <v>1083</v>
      </c>
      <c r="H16" s="1313" t="s">
        <v>1098</v>
      </c>
      <c r="I16" s="1304" t="s">
        <v>1084</v>
      </c>
    </row>
    <row r="17" spans="1:9" ht="14.25">
      <c r="A17" s="3207"/>
      <c r="B17" s="3208" t="s">
        <v>1106</v>
      </c>
      <c r="C17" s="3208"/>
      <c r="D17" s="1305"/>
      <c r="E17" s="1305"/>
      <c r="F17" s="1306"/>
      <c r="G17" s="1307"/>
      <c r="H17" s="1317"/>
      <c r="I17" s="1318">
        <f>ROUND(D17*E17*F17*G17/10000,0)</f>
        <v>0</v>
      </c>
    </row>
    <row r="18" spans="1:9" ht="14.25">
      <c r="A18" s="3207"/>
      <c r="B18" s="3208" t="s">
        <v>1107</v>
      </c>
      <c r="C18" s="3208"/>
      <c r="D18" s="1305"/>
      <c r="E18" s="1305"/>
      <c r="F18" s="1306"/>
      <c r="G18" s="1307"/>
      <c r="H18" s="1317"/>
      <c r="I18" s="1318">
        <f>ROUND(D18*E18*F18*G18/10000,0)</f>
        <v>0</v>
      </c>
    </row>
    <row r="19" spans="1:9" ht="14.25">
      <c r="A19" s="3207"/>
      <c r="B19" s="3208" t="s">
        <v>1108</v>
      </c>
      <c r="C19" s="3208"/>
      <c r="D19" s="1305"/>
      <c r="E19" s="1305"/>
      <c r="F19" s="1306"/>
      <c r="G19" s="1307"/>
      <c r="H19" s="1317"/>
      <c r="I19" s="1318">
        <f>ROUND(D19*E19*F19*G19/10000,0)</f>
        <v>0</v>
      </c>
    </row>
    <row r="20" spans="1:9">
      <c r="A20" s="3207"/>
      <c r="B20" s="3209" t="s">
        <v>1092</v>
      </c>
      <c r="C20" s="3209"/>
      <c r="D20" s="1309">
        <f>SUM(D17:D19)</f>
        <v>0</v>
      </c>
      <c r="E20" s="1309"/>
      <c r="F20" s="1310"/>
      <c r="G20" s="1307"/>
      <c r="H20" s="1314"/>
      <c r="I20" s="1315">
        <f>SUM(I17:I19)</f>
        <v>0</v>
      </c>
    </row>
    <row r="21" spans="1:9">
      <c r="A21" s="3207" t="s">
        <v>1109</v>
      </c>
      <c r="B21" s="3210"/>
      <c r="C21" s="3210"/>
      <c r="D21" s="3210"/>
      <c r="E21" s="3210"/>
      <c r="F21" s="3210"/>
      <c r="G21" s="3210"/>
      <c r="H21" s="1767">
        <v>0.1</v>
      </c>
      <c r="I21" s="1312">
        <f>ROUND(I10*H21,0)</f>
        <v>0</v>
      </c>
    </row>
    <row r="22" spans="1:9" ht="14.25">
      <c r="A22" s="3211" t="s">
        <v>1110</v>
      </c>
      <c r="B22" s="3212"/>
      <c r="C22" s="3213"/>
      <c r="D22" s="1319" t="s">
        <v>1111</v>
      </c>
      <c r="E22" s="1319" t="s">
        <v>1112</v>
      </c>
      <c r="F22" s="1320" t="s">
        <v>1113</v>
      </c>
      <c r="G22" s="1320" t="s">
        <v>1114</v>
      </c>
      <c r="H22" s="1313" t="s">
        <v>1115</v>
      </c>
      <c r="I22" s="1304" t="s">
        <v>1116</v>
      </c>
    </row>
    <row r="23" spans="1:9" ht="14.25" thickBot="1">
      <c r="A23" s="3214"/>
      <c r="B23" s="3215"/>
      <c r="C23" s="3216"/>
      <c r="D23" s="1321"/>
      <c r="E23" s="1321"/>
      <c r="F23" s="1321"/>
      <c r="G23" s="1322"/>
      <c r="H23" s="1323"/>
      <c r="I23" s="1324">
        <f>ROUND(E23*D23*F23*(1-G23)/10000,0)</f>
        <v>0</v>
      </c>
    </row>
    <row r="26" spans="1:9">
      <c r="A26" s="1325" t="s">
        <v>1117</v>
      </c>
      <c r="B26" s="1325"/>
      <c r="C26" s="1325"/>
      <c r="D26" s="1325"/>
      <c r="E26" s="3204">
        <f>C27-C30-C31-C32</f>
        <v>0</v>
      </c>
      <c r="F26" s="3204"/>
      <c r="G26" s="3204"/>
      <c r="H26" s="1739" t="s">
        <v>1340</v>
      </c>
    </row>
    <row r="27" spans="1:9">
      <c r="A27" s="1326">
        <v>1</v>
      </c>
      <c r="B27" s="1327" t="s">
        <v>1118</v>
      </c>
      <c r="C27" s="1327">
        <f>C28+C29</f>
        <v>0</v>
      </c>
      <c r="D27" s="1327"/>
      <c r="E27" s="3205"/>
      <c r="F27" s="3205"/>
      <c r="G27" s="3205"/>
    </row>
    <row r="28" spans="1:9">
      <c r="A28" s="1328" t="s">
        <v>1119</v>
      </c>
      <c r="B28" s="1327" t="s">
        <v>1120</v>
      </c>
      <c r="C28" s="1327"/>
      <c r="D28" s="1327"/>
      <c r="E28" s="3205"/>
      <c r="F28" s="3205"/>
      <c r="G28" s="320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6"/>
      <c r="F32" s="3206"/>
      <c r="G32" s="3206"/>
    </row>
    <row r="33" spans="1:7" hidden="1">
      <c r="A33" s="3201" t="s">
        <v>1129</v>
      </c>
      <c r="B33" s="3202"/>
      <c r="C33" s="3202"/>
      <c r="D33" s="3203"/>
      <c r="E33" s="3204"/>
      <c r="F33" s="3204"/>
      <c r="G33" s="3204"/>
    </row>
    <row r="34" spans="1:7" hidden="1">
      <c r="A34" s="1330">
        <v>1</v>
      </c>
      <c r="B34" s="1327" t="s">
        <v>1130</v>
      </c>
      <c r="C34" s="1327"/>
      <c r="D34" s="1327"/>
      <c r="E34" s="3205"/>
      <c r="F34" s="3205"/>
      <c r="G34" s="3205"/>
    </row>
    <row r="35" spans="1:7" hidden="1">
      <c r="A35" s="1330">
        <v>2</v>
      </c>
      <c r="B35" s="1327" t="s">
        <v>1131</v>
      </c>
      <c r="C35" s="1327"/>
      <c r="D35" s="1327"/>
      <c r="E35" s="3205"/>
      <c r="F35" s="3205"/>
      <c r="G35" s="3205"/>
    </row>
    <row r="36" spans="1:7" hidden="1">
      <c r="A36" s="1330">
        <v>3</v>
      </c>
      <c r="B36" s="1327" t="s">
        <v>1132</v>
      </c>
      <c r="C36" s="1327"/>
      <c r="D36" s="1327"/>
      <c r="E36" s="3205"/>
      <c r="F36" s="3205"/>
      <c r="G36" s="3205"/>
    </row>
    <row r="37" spans="1:7" hidden="1">
      <c r="A37" s="1330">
        <v>4</v>
      </c>
      <c r="B37" s="1327" t="s">
        <v>1133</v>
      </c>
      <c r="C37" s="1327"/>
      <c r="D37" s="1327"/>
      <c r="E37" s="3205"/>
      <c r="F37" s="3205"/>
      <c r="G37" s="3205"/>
    </row>
    <row r="38" spans="1:7" hidden="1">
      <c r="A38" s="3201" t="s">
        <v>1134</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6" t="s">
        <v>2534</v>
      </c>
      <c r="C1" s="1636" t="s">
        <v>2535</v>
      </c>
      <c r="D1" s="1623"/>
      <c r="E1" s="2587"/>
      <c r="F1" s="2588" t="s">
        <v>2536</v>
      </c>
      <c r="G1" s="1633" t="s">
        <v>2537</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0"/>
      <c r="D2" s="1367"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6779.85</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2540</v>
      </c>
      <c r="B4" s="402"/>
      <c r="C4" s="3240" t="s">
        <v>2541</v>
      </c>
      <c r="D4" s="3241"/>
      <c r="E4" s="3242" t="s">
        <v>2542</v>
      </c>
      <c r="F4" s="3243"/>
      <c r="G4" s="3240" t="s">
        <v>2543</v>
      </c>
      <c r="H4" s="3241"/>
      <c r="I4" s="3240" t="s">
        <v>2544</v>
      </c>
      <c r="J4" s="3241"/>
      <c r="K4" s="2600" t="s">
        <v>2545</v>
      </c>
      <c r="L4" s="1132"/>
      <c r="M4" s="1133"/>
      <c r="N4" s="1133"/>
      <c r="O4" s="1133"/>
      <c r="P4" s="3244" t="s">
        <v>2546</v>
      </c>
      <c r="Q4" s="3245"/>
      <c r="R4" s="3250" t="s">
        <v>2542</v>
      </c>
      <c r="S4" s="3251"/>
      <c r="T4" s="3250" t="s">
        <v>2543</v>
      </c>
      <c r="U4" s="3251"/>
      <c r="V4" s="3256" t="s">
        <v>2544</v>
      </c>
      <c r="W4" s="3256"/>
      <c r="X4" s="1815"/>
      <c r="Y4" s="3250" t="s">
        <v>2546</v>
      </c>
      <c r="Z4" s="3251"/>
      <c r="AA4" s="3237" t="s">
        <v>2542</v>
      </c>
      <c r="AB4" s="3237" t="s">
        <v>2543</v>
      </c>
      <c r="AC4" s="3237" t="s">
        <v>2544</v>
      </c>
    </row>
    <row r="5" spans="1:29" ht="15">
      <c r="A5" s="404"/>
      <c r="B5" s="405"/>
      <c r="C5" s="3259" t="s">
        <v>2547</v>
      </c>
      <c r="D5" s="3260"/>
      <c r="E5" s="3266" t="s">
        <v>2548</v>
      </c>
      <c r="F5" s="3267"/>
      <c r="G5" s="3259" t="s">
        <v>2549</v>
      </c>
      <c r="H5" s="3260"/>
      <c r="I5" s="3259" t="s">
        <v>2550</v>
      </c>
      <c r="J5" s="3260"/>
      <c r="K5" s="2601"/>
      <c r="L5" s="1132"/>
      <c r="M5" s="1133"/>
      <c r="N5" s="1133"/>
      <c r="O5" s="1133"/>
      <c r="P5" s="3246"/>
      <c r="Q5" s="3247"/>
      <c r="R5" s="3252"/>
      <c r="S5" s="3253"/>
      <c r="T5" s="3252"/>
      <c r="U5" s="3253"/>
      <c r="V5" s="3256"/>
      <c r="W5" s="3256"/>
      <c r="X5" s="1815"/>
      <c r="Y5" s="3252"/>
      <c r="Z5" s="3253"/>
      <c r="AA5" s="3238"/>
      <c r="AB5" s="3238"/>
      <c r="AC5" s="3238"/>
    </row>
    <row r="6" spans="1:29" ht="15.75" thickBot="1">
      <c r="A6" s="406"/>
      <c r="B6" s="407"/>
      <c r="C6" s="3257" t="s">
        <v>2551</v>
      </c>
      <c r="D6" s="3258"/>
      <c r="E6" s="3264" t="s">
        <v>2551</v>
      </c>
      <c r="F6" s="3265"/>
      <c r="G6" s="3257" t="s">
        <v>2551</v>
      </c>
      <c r="H6" s="3258"/>
      <c r="I6" s="3257" t="s">
        <v>2551</v>
      </c>
      <c r="J6" s="3258"/>
      <c r="K6" s="2601" t="s">
        <v>2552</v>
      </c>
      <c r="L6" s="1132"/>
      <c r="M6" s="1133"/>
      <c r="N6" s="1133"/>
      <c r="O6" s="1133"/>
      <c r="P6" s="3248"/>
      <c r="Q6" s="3249"/>
      <c r="R6" s="3252"/>
      <c r="S6" s="3253"/>
      <c r="T6" s="3254"/>
      <c r="U6" s="3255"/>
      <c r="V6" s="3256"/>
      <c r="W6" s="3256"/>
      <c r="X6" s="1815"/>
      <c r="Y6" s="3254"/>
      <c r="Z6" s="3255"/>
      <c r="AA6" s="3239"/>
      <c r="AB6" s="3239"/>
      <c r="AC6" s="3239"/>
    </row>
    <row r="7" spans="1:29" s="117" customFormat="1" ht="15.75" thickBot="1">
      <c r="A7" s="408" t="s">
        <v>2553</v>
      </c>
      <c r="B7" s="409"/>
      <c r="C7" s="410">
        <f>'数据-取费表'!B2</f>
        <v>43172</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261" t="s">
        <v>2554</v>
      </c>
      <c r="Q7" s="3263"/>
      <c r="R7" s="769" t="s">
        <v>23</v>
      </c>
      <c r="S7" s="770">
        <f t="shared" ref="S7:S15" si="0">F7</f>
        <v>0</v>
      </c>
      <c r="T7" s="769" t="s">
        <v>23</v>
      </c>
      <c r="U7" s="770">
        <f t="shared" ref="U7:U15" si="1">H7</f>
        <v>0</v>
      </c>
      <c r="V7" s="769" t="s">
        <v>23</v>
      </c>
      <c r="W7" s="770">
        <f t="shared" ref="W7:W15" si="2">J7</f>
        <v>0</v>
      </c>
      <c r="X7" s="771"/>
      <c r="Y7" s="3261" t="s">
        <v>2554</v>
      </c>
      <c r="Z7" s="3262"/>
      <c r="AA7" s="772" t="e">
        <f>D7/F7</f>
        <v>#DIV/0!</v>
      </c>
      <c r="AB7" s="772" t="e">
        <f>D7/H7</f>
        <v>#DIV/0!</v>
      </c>
      <c r="AC7" s="772" t="e">
        <f>D7/J7</f>
        <v>#DIV/0!</v>
      </c>
    </row>
    <row r="8" spans="1:29" s="117" customFormat="1" ht="15.75" thickBot="1">
      <c r="A8" s="408" t="s">
        <v>2555</v>
      </c>
      <c r="B8" s="409"/>
      <c r="C8" s="414" t="s">
        <v>2556</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261" t="s">
        <v>2557</v>
      </c>
      <c r="Q8" s="3262"/>
      <c r="R8" s="769" t="s">
        <v>23</v>
      </c>
      <c r="S8" s="770">
        <f t="shared" si="0"/>
        <v>0</v>
      </c>
      <c r="T8" s="769" t="s">
        <v>23</v>
      </c>
      <c r="U8" s="770">
        <f t="shared" si="1"/>
        <v>0</v>
      </c>
      <c r="V8" s="769" t="s">
        <v>23</v>
      </c>
      <c r="W8" s="770">
        <f t="shared" si="2"/>
        <v>0</v>
      </c>
      <c r="X8" s="771"/>
      <c r="Y8" s="3261" t="s">
        <v>2557</v>
      </c>
      <c r="Z8" s="3262"/>
      <c r="AA8" s="772" t="e">
        <f t="shared" ref="AA8:AA19" si="3">D8/F8</f>
        <v>#DIV/0!</v>
      </c>
      <c r="AB8" s="772" t="e">
        <f t="shared" ref="AB8:AB19" si="4">D8/H8</f>
        <v>#DIV/0!</v>
      </c>
      <c r="AC8" s="772"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236" t="s">
        <v>2560</v>
      </c>
      <c r="Q9" s="1797" t="str">
        <f t="shared" ref="Q9:Q15" si="6">B9</f>
        <v>用途</v>
      </c>
      <c r="R9" s="769" t="s">
        <v>17</v>
      </c>
      <c r="S9" s="770">
        <f t="shared" si="0"/>
        <v>100</v>
      </c>
      <c r="T9" s="769" t="s">
        <v>17</v>
      </c>
      <c r="U9" s="770">
        <f t="shared" si="1"/>
        <v>100</v>
      </c>
      <c r="V9" s="769" t="s">
        <v>17</v>
      </c>
      <c r="W9" s="770">
        <f t="shared" si="2"/>
        <v>100</v>
      </c>
      <c r="X9" s="771"/>
      <c r="Y9" s="3046"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6"/>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6"/>
      <c r="Q11" s="1797" t="str">
        <f t="shared" si="6"/>
        <v>容积率</v>
      </c>
      <c r="R11" s="769" t="s">
        <v>21</v>
      </c>
      <c r="S11" s="770" t="e">
        <f t="shared" si="0"/>
        <v>#N/A</v>
      </c>
      <c r="T11" s="769" t="s">
        <v>21</v>
      </c>
      <c r="U11" s="770" t="e">
        <f t="shared" si="1"/>
        <v>#N/A</v>
      </c>
      <c r="V11" s="769" t="s">
        <v>21</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236"/>
      <c r="Q12" s="1797">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236"/>
      <c r="Q13" s="1797">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236"/>
      <c r="Q14" s="1797">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99.75">
      <c r="A15" s="440" t="s">
        <v>2564</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4" t="s">
        <v>2565</v>
      </c>
      <c r="Q15" s="1812" t="str">
        <f t="shared" si="6"/>
        <v>居住社区成熟度</v>
      </c>
      <c r="R15" s="773" t="s">
        <v>21</v>
      </c>
      <c r="S15" s="774">
        <f t="shared" si="0"/>
        <v>100</v>
      </c>
      <c r="T15" s="773" t="s">
        <v>21</v>
      </c>
      <c r="U15" s="774">
        <f t="shared" si="1"/>
        <v>100</v>
      </c>
      <c r="V15" s="773" t="s">
        <v>21</v>
      </c>
      <c r="W15" s="774">
        <f t="shared" si="2"/>
        <v>100</v>
      </c>
      <c r="X15" s="1815"/>
      <c r="Y15" s="3227" t="s">
        <v>2565</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2"/>
      <c r="M16" s="1133"/>
      <c r="N16" s="1133"/>
      <c r="O16" s="1133"/>
      <c r="P16" s="3235"/>
      <c r="Q16" s="1812"/>
      <c r="R16" s="773"/>
      <c r="S16" s="774"/>
      <c r="T16" s="773"/>
      <c r="U16" s="774"/>
      <c r="V16" s="773"/>
      <c r="W16" s="774"/>
      <c r="X16" s="1815"/>
      <c r="Y16" s="3228"/>
      <c r="Z16" s="1816"/>
      <c r="AA16" s="1813">
        <v>1</v>
      </c>
      <c r="AB16" s="1813">
        <v>1</v>
      </c>
      <c r="AC16" s="1813">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5"/>
      <c r="Q17" s="1812" t="str">
        <f>B17</f>
        <v>交通便捷度</v>
      </c>
      <c r="R17" s="773" t="s">
        <v>21</v>
      </c>
      <c r="S17" s="774">
        <f>F17</f>
        <v>100</v>
      </c>
      <c r="T17" s="773" t="s">
        <v>21</v>
      </c>
      <c r="U17" s="774">
        <f>H17</f>
        <v>100</v>
      </c>
      <c r="V17" s="773" t="s">
        <v>21</v>
      </c>
      <c r="W17" s="774">
        <f>J17</f>
        <v>100</v>
      </c>
      <c r="X17" s="1815"/>
      <c r="Y17" s="3228"/>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2"/>
      <c r="M18" s="1133"/>
      <c r="N18" s="1133"/>
      <c r="O18" s="1133"/>
      <c r="P18" s="3235"/>
      <c r="Q18" s="1812"/>
      <c r="R18" s="773"/>
      <c r="S18" s="774"/>
      <c r="T18" s="773"/>
      <c r="U18" s="774"/>
      <c r="V18" s="773"/>
      <c r="W18" s="774"/>
      <c r="X18" s="1815"/>
      <c r="Y18" s="3228"/>
      <c r="Z18" s="1816"/>
      <c r="AA18" s="1813">
        <v>1</v>
      </c>
      <c r="AB18" s="1813">
        <v>1</v>
      </c>
      <c r="AC18" s="1813">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5"/>
      <c r="Q19" s="1812" t="str">
        <f>B19</f>
        <v>公共配套设施</v>
      </c>
      <c r="R19" s="773" t="s">
        <v>21</v>
      </c>
      <c r="S19" s="774">
        <f>F19</f>
        <v>100</v>
      </c>
      <c r="T19" s="773" t="s">
        <v>21</v>
      </c>
      <c r="U19" s="774">
        <f>H19</f>
        <v>100</v>
      </c>
      <c r="V19" s="773" t="s">
        <v>21</v>
      </c>
      <c r="W19" s="774">
        <f>J19</f>
        <v>100</v>
      </c>
      <c r="X19" s="1815"/>
      <c r="Y19" s="3228"/>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2"/>
      <c r="M20" s="1133"/>
      <c r="N20" s="1133"/>
      <c r="O20" s="1133"/>
      <c r="P20" s="3235"/>
      <c r="Q20" s="1812"/>
      <c r="R20" s="773"/>
      <c r="S20" s="774"/>
      <c r="T20" s="773"/>
      <c r="U20" s="774"/>
      <c r="V20" s="773"/>
      <c r="W20" s="774"/>
      <c r="X20" s="1815"/>
      <c r="Y20" s="3228"/>
      <c r="Z20" s="1816"/>
      <c r="AA20" s="1813">
        <v>1</v>
      </c>
      <c r="AB20" s="1813">
        <v>1</v>
      </c>
      <c r="AC20" s="1813">
        <v>1</v>
      </c>
    </row>
    <row r="21" spans="1:29" ht="28.5">
      <c r="A21" s="428"/>
      <c r="B21" s="1386"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5"/>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8"/>
      <c r="G22" s="2615"/>
      <c r="H22" s="448"/>
      <c r="I22" s="447"/>
      <c r="J22" s="448"/>
      <c r="K22" s="2616"/>
      <c r="L22" s="1142"/>
      <c r="M22" s="1133"/>
      <c r="N22" s="1133"/>
      <c r="O22" s="1133"/>
      <c r="P22" s="3235"/>
      <c r="Q22" s="1812"/>
      <c r="R22" s="773"/>
      <c r="S22" s="774"/>
      <c r="T22" s="773"/>
      <c r="U22" s="774"/>
      <c r="V22" s="773"/>
      <c r="W22" s="774"/>
      <c r="X22" s="1815"/>
      <c r="Y22" s="3228"/>
      <c r="Z22" s="1816"/>
      <c r="AA22" s="1813">
        <v>1</v>
      </c>
      <c r="AB22" s="1813">
        <v>1</v>
      </c>
      <c r="AC22" s="1813">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5"/>
      <c r="Q23" s="1812" t="str">
        <f>B23</f>
        <v>自然及人文环境</v>
      </c>
      <c r="R23" s="773" t="s">
        <v>21</v>
      </c>
      <c r="S23" s="774">
        <f>F23</f>
        <v>100</v>
      </c>
      <c r="T23" s="773" t="s">
        <v>21</v>
      </c>
      <c r="U23" s="774">
        <f>H23</f>
        <v>100</v>
      </c>
      <c r="V23" s="773" t="s">
        <v>21</v>
      </c>
      <c r="W23" s="774">
        <f>J23</f>
        <v>100</v>
      </c>
      <c r="X23" s="1815"/>
      <c r="Y23" s="3228"/>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2"/>
      <c r="M24" s="1133"/>
      <c r="N24" s="1133"/>
      <c r="O24" s="1133"/>
      <c r="P24" s="3235"/>
      <c r="Q24" s="1812"/>
      <c r="R24" s="773"/>
      <c r="S24" s="774"/>
      <c r="T24" s="773"/>
      <c r="U24" s="774"/>
      <c r="V24" s="773"/>
      <c r="W24" s="774"/>
      <c r="X24" s="1815"/>
      <c r="Y24" s="3228"/>
      <c r="Z24" s="1816"/>
      <c r="AA24" s="1813">
        <v>1</v>
      </c>
      <c r="AB24" s="1813">
        <v>1</v>
      </c>
      <c r="AC24" s="1813">
        <v>1</v>
      </c>
    </row>
    <row r="25" spans="1:29" ht="15">
      <c r="A25" s="428"/>
      <c r="B25" s="422"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3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8"/>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35"/>
      <c r="Q26" s="1812" t="str">
        <f t="shared" si="11"/>
        <v>朝向</v>
      </c>
      <c r="R26" s="773" t="s">
        <v>21</v>
      </c>
      <c r="S26" s="774">
        <f t="shared" si="12"/>
        <v>100</v>
      </c>
      <c r="T26" s="773" t="s">
        <v>21</v>
      </c>
      <c r="U26" s="774">
        <f t="shared" si="13"/>
        <v>100</v>
      </c>
      <c r="V26" s="773" t="s">
        <v>21</v>
      </c>
      <c r="W26" s="774">
        <f t="shared" si="14"/>
        <v>100</v>
      </c>
      <c r="X26" s="1815"/>
      <c r="Y26" s="322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35"/>
      <c r="Q27" s="1797">
        <f t="shared" si="11"/>
        <v>111</v>
      </c>
      <c r="R27" s="769" t="s">
        <v>21</v>
      </c>
      <c r="S27" s="770">
        <f t="shared" si="12"/>
        <v>100</v>
      </c>
      <c r="T27" s="769" t="s">
        <v>21</v>
      </c>
      <c r="U27" s="770">
        <f t="shared" si="13"/>
        <v>100</v>
      </c>
      <c r="V27" s="769" t="s">
        <v>21</v>
      </c>
      <c r="W27" s="770">
        <f t="shared" si="14"/>
        <v>100</v>
      </c>
      <c r="X27" s="771"/>
      <c r="Y27" s="322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35"/>
      <c r="Q28" s="1812">
        <f t="shared" si="11"/>
        <v>111</v>
      </c>
      <c r="R28" s="773" t="s">
        <v>21</v>
      </c>
      <c r="S28" s="774">
        <f t="shared" si="12"/>
        <v>100</v>
      </c>
      <c r="T28" s="773" t="s">
        <v>21</v>
      </c>
      <c r="U28" s="774">
        <f t="shared" si="13"/>
        <v>100</v>
      </c>
      <c r="V28" s="773" t="s">
        <v>21</v>
      </c>
      <c r="W28" s="774">
        <f t="shared" si="14"/>
        <v>100</v>
      </c>
      <c r="X28" s="1815"/>
      <c r="Y28" s="322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35"/>
      <c r="Q29" s="1812">
        <f t="shared" si="11"/>
        <v>111</v>
      </c>
      <c r="R29" s="773" t="s">
        <v>21</v>
      </c>
      <c r="S29" s="774">
        <f t="shared" si="12"/>
        <v>100</v>
      </c>
      <c r="T29" s="773" t="s">
        <v>21</v>
      </c>
      <c r="U29" s="774">
        <f t="shared" si="13"/>
        <v>100</v>
      </c>
      <c r="V29" s="773" t="s">
        <v>21</v>
      </c>
      <c r="W29" s="774">
        <f t="shared" si="14"/>
        <v>100</v>
      </c>
      <c r="X29" s="1815"/>
      <c r="Y29" s="322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35"/>
      <c r="Q30" s="1812">
        <f t="shared" si="11"/>
        <v>111</v>
      </c>
      <c r="R30" s="773" t="s">
        <v>21</v>
      </c>
      <c r="S30" s="774">
        <f t="shared" si="12"/>
        <v>100</v>
      </c>
      <c r="T30" s="773" t="s">
        <v>21</v>
      </c>
      <c r="U30" s="774">
        <f t="shared" si="13"/>
        <v>100</v>
      </c>
      <c r="V30" s="773" t="s">
        <v>21</v>
      </c>
      <c r="W30" s="774">
        <f t="shared" si="14"/>
        <v>100</v>
      </c>
      <c r="X30" s="1815"/>
      <c r="Y30" s="322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35"/>
      <c r="Q31" s="1812">
        <f t="shared" si="11"/>
        <v>111</v>
      </c>
      <c r="R31" s="773" t="s">
        <v>21</v>
      </c>
      <c r="S31" s="774">
        <f t="shared" si="12"/>
        <v>100</v>
      </c>
      <c r="T31" s="773" t="s">
        <v>21</v>
      </c>
      <c r="U31" s="774">
        <f t="shared" si="13"/>
        <v>100</v>
      </c>
      <c r="V31" s="773" t="s">
        <v>21</v>
      </c>
      <c r="W31" s="774">
        <f t="shared" si="14"/>
        <v>100</v>
      </c>
      <c r="X31" s="1815"/>
      <c r="Y31" s="3228"/>
      <c r="Z31" s="1816">
        <f t="shared" si="18"/>
        <v>111</v>
      </c>
      <c r="AA31" s="1813">
        <f t="shared" si="15"/>
        <v>1</v>
      </c>
      <c r="AB31" s="1813">
        <f t="shared" si="16"/>
        <v>1</v>
      </c>
      <c r="AC31" s="1813">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229" t="s">
        <v>2570</v>
      </c>
      <c r="Q32" s="1812" t="str">
        <f t="shared" si="11"/>
        <v>建筑类型</v>
      </c>
      <c r="R32" s="773" t="s">
        <v>21</v>
      </c>
      <c r="S32" s="774">
        <f t="shared" si="12"/>
        <v>100</v>
      </c>
      <c r="T32" s="773" t="s">
        <v>21</v>
      </c>
      <c r="U32" s="774">
        <f t="shared" si="13"/>
        <v>100</v>
      </c>
      <c r="V32" s="773" t="s">
        <v>21</v>
      </c>
      <c r="W32" s="774">
        <f t="shared" si="14"/>
        <v>100</v>
      </c>
      <c r="X32" s="1815"/>
      <c r="Y32" s="3232"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230"/>
      <c r="Q33" s="775" t="str">
        <f t="shared" si="11"/>
        <v>项目建筑规模</v>
      </c>
      <c r="R33" s="776" t="s">
        <v>21</v>
      </c>
      <c r="S33" s="777" t="e">
        <f t="shared" si="12"/>
        <v>#N/A</v>
      </c>
      <c r="T33" s="776" t="s">
        <v>21</v>
      </c>
      <c r="U33" s="777" t="e">
        <f t="shared" si="13"/>
        <v>#N/A</v>
      </c>
      <c r="V33" s="776" t="s">
        <v>21</v>
      </c>
      <c r="W33" s="777" t="e">
        <f t="shared" si="14"/>
        <v>#N/A</v>
      </c>
      <c r="X33" s="778"/>
      <c r="Y33" s="3232"/>
      <c r="Z33" s="779" t="str">
        <f t="shared" si="18"/>
        <v>项目建筑规模</v>
      </c>
      <c r="AA33" s="1813" t="e">
        <f t="shared" si="15"/>
        <v>#N/A</v>
      </c>
      <c r="AB33" s="1813" t="e">
        <f t="shared" si="16"/>
        <v>#N/A</v>
      </c>
      <c r="AC33" s="1813" t="e">
        <f t="shared" si="17"/>
        <v>#N/A</v>
      </c>
    </row>
    <row r="34" spans="1:29" ht="15">
      <c r="A34" s="472"/>
      <c r="B34" s="422"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230"/>
      <c r="Q34" s="1812" t="str">
        <f t="shared" si="11"/>
        <v>建筑结构</v>
      </c>
      <c r="R34" s="773" t="s">
        <v>21</v>
      </c>
      <c r="S34" s="774">
        <f t="shared" si="12"/>
        <v>100</v>
      </c>
      <c r="T34" s="773" t="s">
        <v>21</v>
      </c>
      <c r="U34" s="774">
        <f t="shared" si="13"/>
        <v>100</v>
      </c>
      <c r="V34" s="773" t="s">
        <v>21</v>
      </c>
      <c r="W34" s="774">
        <f t="shared" si="14"/>
        <v>100</v>
      </c>
      <c r="X34" s="1815"/>
      <c r="Y34" s="3232"/>
      <c r="Z34" s="1816" t="str">
        <f t="shared" si="18"/>
        <v>建筑结构</v>
      </c>
      <c r="AA34" s="1813">
        <f t="shared" si="15"/>
        <v>1</v>
      </c>
      <c r="AB34" s="1813">
        <f t="shared" si="16"/>
        <v>1</v>
      </c>
      <c r="AC34" s="1813">
        <f t="shared" si="17"/>
        <v>1</v>
      </c>
    </row>
    <row r="35" spans="1:29" ht="15">
      <c r="A35" s="472"/>
      <c r="B35" s="422"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230"/>
      <c r="Q35" s="1812" t="str">
        <f t="shared" si="11"/>
        <v>建筑品质</v>
      </c>
      <c r="R35" s="773" t="s">
        <v>21</v>
      </c>
      <c r="S35" s="774">
        <f t="shared" si="12"/>
        <v>100</v>
      </c>
      <c r="T35" s="773" t="s">
        <v>21</v>
      </c>
      <c r="U35" s="774">
        <f t="shared" si="13"/>
        <v>100</v>
      </c>
      <c r="V35" s="773" t="s">
        <v>21</v>
      </c>
      <c r="W35" s="774">
        <f t="shared" si="14"/>
        <v>100</v>
      </c>
      <c r="X35" s="1815"/>
      <c r="Y35" s="3232"/>
      <c r="Z35" s="1816" t="str">
        <f t="shared" si="18"/>
        <v>建筑品质</v>
      </c>
      <c r="AA35" s="1813">
        <f t="shared" si="15"/>
        <v>1</v>
      </c>
      <c r="AB35" s="1813">
        <f t="shared" si="16"/>
        <v>1</v>
      </c>
      <c r="AC35" s="1813">
        <f t="shared" si="17"/>
        <v>1</v>
      </c>
    </row>
    <row r="36" spans="1:29" ht="15">
      <c r="A36" s="472"/>
      <c r="B36" s="422"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230"/>
      <c r="Q36" s="1812" t="str">
        <f t="shared" si="11"/>
        <v>公共部分装修</v>
      </c>
      <c r="R36" s="773" t="s">
        <v>21</v>
      </c>
      <c r="S36" s="774">
        <f t="shared" si="12"/>
        <v>100</v>
      </c>
      <c r="T36" s="773" t="s">
        <v>21</v>
      </c>
      <c r="U36" s="774">
        <f t="shared" si="13"/>
        <v>100</v>
      </c>
      <c r="V36" s="773" t="s">
        <v>21</v>
      </c>
      <c r="W36" s="774">
        <f t="shared" si="14"/>
        <v>100</v>
      </c>
      <c r="X36" s="1815"/>
      <c r="Y36" s="3232"/>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1797" t="str">
        <f t="shared" si="11"/>
        <v>成新度</v>
      </c>
      <c r="R37" s="769" t="s">
        <v>21</v>
      </c>
      <c r="S37" s="770" t="e">
        <f t="shared" si="12"/>
        <v>#N/A</v>
      </c>
      <c r="T37" s="769" t="s">
        <v>21</v>
      </c>
      <c r="U37" s="770" t="e">
        <f t="shared" si="13"/>
        <v>#N/A</v>
      </c>
      <c r="V37" s="769" t="s">
        <v>21</v>
      </c>
      <c r="W37" s="770" t="e">
        <f t="shared" si="14"/>
        <v>#N/A</v>
      </c>
      <c r="X37" s="771"/>
      <c r="Y37" s="3232"/>
      <c r="Z37" s="55" t="str">
        <f t="shared" si="18"/>
        <v>成新度</v>
      </c>
      <c r="AA37" s="772" t="e">
        <f t="shared" si="15"/>
        <v>#N/A</v>
      </c>
      <c r="AB37" s="772" t="e">
        <f t="shared" si="16"/>
        <v>#N/A</v>
      </c>
      <c r="AC37" s="772" t="e">
        <f t="shared" si="17"/>
        <v>#N/A</v>
      </c>
    </row>
    <row r="38" spans="1:29" ht="15">
      <c r="A38" s="472"/>
      <c r="B38" s="422"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230" t="s">
        <v>2570</v>
      </c>
      <c r="Q38" s="1812" t="str">
        <f t="shared" si="11"/>
        <v>物业管理</v>
      </c>
      <c r="R38" s="773" t="s">
        <v>21</v>
      </c>
      <c r="S38" s="774">
        <f t="shared" si="12"/>
        <v>100</v>
      </c>
      <c r="T38" s="773" t="s">
        <v>21</v>
      </c>
      <c r="U38" s="774">
        <f t="shared" si="13"/>
        <v>100</v>
      </c>
      <c r="V38" s="773" t="s">
        <v>21</v>
      </c>
      <c r="W38" s="774">
        <f t="shared" si="14"/>
        <v>100</v>
      </c>
      <c r="X38" s="1815"/>
      <c r="Y38" s="3232" t="s">
        <v>2570</v>
      </c>
      <c r="Z38" s="1816" t="str">
        <f t="shared" si="18"/>
        <v>物业管理</v>
      </c>
      <c r="AA38" s="1813">
        <f t="shared" si="15"/>
        <v>1</v>
      </c>
      <c r="AB38" s="1813">
        <f t="shared" si="16"/>
        <v>1</v>
      </c>
      <c r="AC38" s="1813">
        <f t="shared" si="17"/>
        <v>1</v>
      </c>
    </row>
    <row r="39" spans="1:29" ht="15">
      <c r="A39" s="472"/>
      <c r="B39" s="422"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230"/>
      <c r="Q39" s="1812" t="str">
        <f t="shared" si="11"/>
        <v>市政基础设施</v>
      </c>
      <c r="R39" s="773" t="s">
        <v>21</v>
      </c>
      <c r="S39" s="774">
        <f t="shared" si="12"/>
        <v>100</v>
      </c>
      <c r="T39" s="773" t="s">
        <v>21</v>
      </c>
      <c r="U39" s="774">
        <f t="shared" si="13"/>
        <v>100</v>
      </c>
      <c r="V39" s="773" t="s">
        <v>21</v>
      </c>
      <c r="W39" s="774">
        <f t="shared" si="14"/>
        <v>100</v>
      </c>
      <c r="X39" s="1815"/>
      <c r="Y39" s="3232"/>
      <c r="Z39" s="1816" t="str">
        <f t="shared" si="18"/>
        <v>市政基础设施</v>
      </c>
      <c r="AA39" s="1813">
        <f t="shared" si="15"/>
        <v>1</v>
      </c>
      <c r="AB39" s="1813">
        <f t="shared" si="16"/>
        <v>1</v>
      </c>
      <c r="AC39" s="1813">
        <f t="shared" si="17"/>
        <v>1</v>
      </c>
    </row>
    <row r="40" spans="1:29" ht="15">
      <c r="A40" s="472"/>
      <c r="B40" s="422"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230"/>
      <c r="Q40" s="1812" t="str">
        <f t="shared" si="11"/>
        <v>房型</v>
      </c>
      <c r="R40" s="773" t="s">
        <v>21</v>
      </c>
      <c r="S40" s="774">
        <f t="shared" si="12"/>
        <v>100</v>
      </c>
      <c r="T40" s="773" t="s">
        <v>21</v>
      </c>
      <c r="U40" s="774">
        <f t="shared" si="13"/>
        <v>100</v>
      </c>
      <c r="V40" s="773" t="s">
        <v>21</v>
      </c>
      <c r="W40" s="774">
        <f t="shared" si="14"/>
        <v>100</v>
      </c>
      <c r="X40" s="1815"/>
      <c r="Y40" s="3232"/>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230"/>
      <c r="Q41" s="775" t="str">
        <f t="shared" si="11"/>
        <v>单套/主力户型建筑面积</v>
      </c>
      <c r="R41" s="776" t="s">
        <v>21</v>
      </c>
      <c r="S41" s="777">
        <f t="shared" si="12"/>
        <v>100</v>
      </c>
      <c r="T41" s="776" t="s">
        <v>21</v>
      </c>
      <c r="U41" s="777">
        <f t="shared" si="13"/>
        <v>100</v>
      </c>
      <c r="V41" s="776" t="s">
        <v>21</v>
      </c>
      <c r="W41" s="777">
        <f t="shared" si="14"/>
        <v>100</v>
      </c>
      <c r="X41" s="778"/>
      <c r="Y41" s="3232"/>
      <c r="Z41" s="779" t="str">
        <f t="shared" si="18"/>
        <v>单套/主力户型建筑面积</v>
      </c>
      <c r="AA41" s="1813">
        <f t="shared" si="15"/>
        <v>1</v>
      </c>
      <c r="AB41" s="1813">
        <f t="shared" si="16"/>
        <v>1</v>
      </c>
      <c r="AC41" s="1813">
        <f t="shared" si="17"/>
        <v>1</v>
      </c>
    </row>
    <row r="42" spans="1:29" ht="15">
      <c r="A42" s="472"/>
      <c r="B42" s="422"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230"/>
      <c r="Q42" s="1812" t="str">
        <f t="shared" si="11"/>
        <v>内部装修</v>
      </c>
      <c r="R42" s="773" t="s">
        <v>21</v>
      </c>
      <c r="S42" s="774">
        <f t="shared" si="12"/>
        <v>100</v>
      </c>
      <c r="T42" s="773" t="s">
        <v>21</v>
      </c>
      <c r="U42" s="774">
        <f t="shared" si="13"/>
        <v>100</v>
      </c>
      <c r="V42" s="773" t="s">
        <v>21</v>
      </c>
      <c r="W42" s="774">
        <f t="shared" si="14"/>
        <v>100</v>
      </c>
      <c r="X42" s="1815"/>
      <c r="Y42" s="3232"/>
      <c r="Z42" s="1816" t="str">
        <f t="shared" si="18"/>
        <v>内部装修</v>
      </c>
      <c r="AA42" s="1813">
        <f t="shared" si="15"/>
        <v>1</v>
      </c>
      <c r="AB42" s="1813">
        <f t="shared" si="16"/>
        <v>1</v>
      </c>
      <c r="AC42" s="1813">
        <f t="shared" si="17"/>
        <v>1</v>
      </c>
    </row>
    <row r="43" spans="1:29" ht="15">
      <c r="A43" s="472"/>
      <c r="B43" s="422"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230"/>
      <c r="Q43" s="1812" t="str">
        <f t="shared" si="11"/>
        <v>内部装修维护情况</v>
      </c>
      <c r="R43" s="773" t="s">
        <v>21</v>
      </c>
      <c r="S43" s="774">
        <f t="shared" si="12"/>
        <v>100</v>
      </c>
      <c r="T43" s="773" t="s">
        <v>21</v>
      </c>
      <c r="U43" s="774">
        <f t="shared" si="13"/>
        <v>100</v>
      </c>
      <c r="V43" s="773" t="s">
        <v>21</v>
      </c>
      <c r="W43" s="774">
        <f t="shared" si="14"/>
        <v>100</v>
      </c>
      <c r="X43" s="1815"/>
      <c r="Y43" s="323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230"/>
      <c r="Q44" s="1797">
        <f t="shared" si="11"/>
        <v>111</v>
      </c>
      <c r="R44" s="769" t="s">
        <v>21</v>
      </c>
      <c r="S44" s="770">
        <f t="shared" si="12"/>
        <v>100</v>
      </c>
      <c r="T44" s="769" t="s">
        <v>21</v>
      </c>
      <c r="U44" s="770">
        <f t="shared" si="13"/>
        <v>100</v>
      </c>
      <c r="V44" s="769" t="s">
        <v>21</v>
      </c>
      <c r="W44" s="770">
        <f t="shared" si="14"/>
        <v>100</v>
      </c>
      <c r="X44" s="771"/>
      <c r="Y44" s="323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230"/>
      <c r="Q45" s="1812">
        <f t="shared" si="11"/>
        <v>111</v>
      </c>
      <c r="R45" s="773" t="s">
        <v>21</v>
      </c>
      <c r="S45" s="774">
        <f t="shared" si="12"/>
        <v>100</v>
      </c>
      <c r="T45" s="773" t="s">
        <v>21</v>
      </c>
      <c r="U45" s="774">
        <f t="shared" si="13"/>
        <v>100</v>
      </c>
      <c r="V45" s="773" t="s">
        <v>21</v>
      </c>
      <c r="W45" s="774">
        <f t="shared" si="14"/>
        <v>100</v>
      </c>
      <c r="X45" s="1815"/>
      <c r="Y45" s="3232"/>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231"/>
      <c r="Q46" s="1812">
        <f t="shared" si="11"/>
        <v>111</v>
      </c>
      <c r="R46" s="773" t="s">
        <v>20</v>
      </c>
      <c r="S46" s="774">
        <f t="shared" si="12"/>
        <v>100</v>
      </c>
      <c r="T46" s="773" t="s">
        <v>20</v>
      </c>
      <c r="U46" s="774">
        <f t="shared" si="13"/>
        <v>100</v>
      </c>
      <c r="V46" s="773" t="s">
        <v>20</v>
      </c>
      <c r="W46" s="774">
        <f t="shared" si="14"/>
        <v>100</v>
      </c>
      <c r="X46" s="1815"/>
      <c r="Y46" s="3233"/>
      <c r="Z46" s="1816">
        <f t="shared" si="18"/>
        <v>111</v>
      </c>
      <c r="AA46" s="1813">
        <f t="shared" si="15"/>
        <v>1</v>
      </c>
      <c r="AB46" s="1813">
        <f t="shared" si="16"/>
        <v>1</v>
      </c>
      <c r="AC46" s="1813">
        <f t="shared" si="17"/>
        <v>1</v>
      </c>
    </row>
    <row r="47" spans="1:29" ht="15">
      <c r="A47" s="479" t="s">
        <v>2582</v>
      </c>
      <c r="B47" s="480"/>
      <c r="C47" s="1409" t="s">
        <v>19</v>
      </c>
      <c r="D47" s="1410"/>
      <c r="E47" s="1411"/>
      <c r="F47" s="1412"/>
      <c r="G47" s="1413"/>
      <c r="H47" s="1414"/>
      <c r="I47" s="1411"/>
      <c r="J47" s="1414"/>
      <c r="K47" s="2625"/>
      <c r="L47" s="1145"/>
      <c r="M47" s="1146"/>
      <c r="N47" s="1133"/>
      <c r="O47" s="1146"/>
      <c r="P47" s="3225" t="str">
        <f>A47</f>
        <v>成交单价（元/平方米）</v>
      </c>
      <c r="Q47" s="3225"/>
      <c r="R47" s="3226">
        <f>E47</f>
        <v>0</v>
      </c>
      <c r="S47" s="3226"/>
      <c r="T47" s="3226">
        <f>G47</f>
        <v>0</v>
      </c>
      <c r="U47" s="3226"/>
      <c r="V47" s="3226">
        <f>I47</f>
        <v>0</v>
      </c>
      <c r="W47" s="3226"/>
      <c r="X47" s="758"/>
      <c r="Y47" s="780"/>
      <c r="Z47" s="758"/>
      <c r="AA47" s="758"/>
      <c r="AB47" s="758"/>
      <c r="AC47" s="758"/>
    </row>
    <row r="48" spans="1:29" ht="15.75" thickBot="1">
      <c r="A48" s="486" t="s">
        <v>2583</v>
      </c>
      <c r="B48" s="487"/>
      <c r="C48" s="1415" t="e">
        <f>R49</f>
        <v>#DIV/0!</v>
      </c>
      <c r="D48" s="1416"/>
      <c r="E48" s="1417" t="e">
        <f>R48</f>
        <v>#DIV/0!</v>
      </c>
      <c r="F48" s="1417"/>
      <c r="G48" s="1415" t="e">
        <f>T48</f>
        <v>#DIV/0!</v>
      </c>
      <c r="H48" s="1416"/>
      <c r="I48" s="1417" t="e">
        <f>V48</f>
        <v>#DIV/0!</v>
      </c>
      <c r="J48" s="1416"/>
      <c r="K48" s="2626"/>
      <c r="L48" s="1145"/>
      <c r="M48" s="1146"/>
      <c r="N48" s="1146"/>
      <c r="O48" s="1146"/>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8"/>
      <c r="Y48" s="758"/>
      <c r="Z48" s="758"/>
      <c r="AA48" s="758"/>
      <c r="AB48" s="758"/>
      <c r="AC48" s="758"/>
    </row>
    <row r="49" spans="1:29" ht="15.75" thickBot="1">
      <c r="A49" s="492" t="s">
        <v>2584</v>
      </c>
      <c r="B49" s="493"/>
      <c r="C49" s="1418" t="e">
        <f>R49</f>
        <v>#DIV/0!</v>
      </c>
      <c r="D49" s="1419"/>
      <c r="E49" s="1419"/>
      <c r="F49" s="1419"/>
      <c r="G49" s="1419"/>
      <c r="H49" s="1419"/>
      <c r="I49" s="1419"/>
      <c r="J49" s="1419"/>
      <c r="K49" s="2627"/>
      <c r="L49" s="1145"/>
      <c r="M49" s="1146"/>
      <c r="N49" s="1146"/>
      <c r="O49" s="1146"/>
      <c r="P49" s="3222" t="str">
        <f>A49</f>
        <v>估价对象XX用房的比较价值（楼面单价，元/平方米）</v>
      </c>
      <c r="Q49" s="3223"/>
      <c r="R49" s="3224" t="e">
        <f>IF(F1="售价",ROUND(AVERAGE(R48:V48),0),ROUND(AVERAGE(R48:V48),1))</f>
        <v>#DIV/0!</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30"/>
      <c r="Q57" s="504"/>
    </row>
    <row r="58" spans="1:29" s="508" customFormat="1" ht="15">
      <c r="A58" s="505" t="s">
        <v>2589</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4"/>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2616</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2568</v>
      </c>
      <c r="B100" s="528" t="s">
        <v>2617</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2620</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2621</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2622</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2623</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2624</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5">
        <f>ROUNDUP((J139-1)/2,0)</f>
        <v>10</v>
      </c>
      <c r="K140" s="1097">
        <v>100</v>
      </c>
    </row>
    <row r="141" spans="1:17" ht="15">
      <c r="B141" s="1092">
        <v>4</v>
      </c>
      <c r="C141" s="1093">
        <v>102</v>
      </c>
      <c r="D141" s="1093"/>
      <c r="E141" s="1094"/>
      <c r="F141" s="1095">
        <v>101.5</v>
      </c>
      <c r="G141" s="1093"/>
      <c r="H141" s="1096"/>
      <c r="I141" s="2654" t="s">
        <v>2639</v>
      </c>
      <c r="J141" s="315">
        <v>1</v>
      </c>
      <c r="K141" s="1098">
        <f>ROUND(100+(J141-J140)*K139*100,1)</f>
        <v>96.4</v>
      </c>
    </row>
    <row r="142" spans="1:17" ht="15">
      <c r="B142" s="1092">
        <v>3</v>
      </c>
      <c r="C142" s="1093">
        <v>103</v>
      </c>
      <c r="D142" s="1093"/>
      <c r="E142" s="1094"/>
      <c r="F142" s="1095">
        <v>101</v>
      </c>
      <c r="G142" s="1093"/>
      <c r="H142" s="1096"/>
      <c r="I142" s="2654" t="s">
        <v>2640</v>
      </c>
      <c r="J142" s="315">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5" stopIfTrue="1" operator="containsText" text="超过">
      <formula>NOT(ISERROR(SEARCH("超过",F52)))</formula>
    </cfRule>
  </conditionalFormatting>
  <conditionalFormatting sqref="J54">
    <cfRule type="containsText" dxfId="163" priority="14" stopIfTrue="1" operator="containsText" text="超过">
      <formula>NOT(ISERROR(SEARCH("超过",J54)))</formula>
    </cfRule>
  </conditionalFormatting>
  <conditionalFormatting sqref="H54">
    <cfRule type="containsText" dxfId="162" priority="13" stopIfTrue="1" operator="containsText" text="超过">
      <formula>NOT(ISERROR(SEARCH("超过",H54)))</formula>
    </cfRule>
  </conditionalFormatting>
  <conditionalFormatting sqref="F54">
    <cfRule type="containsText" dxfId="161" priority="12" stopIfTrue="1" operator="containsText" text="超过">
      <formula>NOT(ISERROR(SEARCH("超过",F54)))</formula>
    </cfRule>
  </conditionalFormatting>
  <conditionalFormatting sqref="F53 H53 J53">
    <cfRule type="containsText" dxfId="160" priority="11" stopIfTrue="1" operator="containsText" text="超过">
      <formula>NOT(ISERROR(SEARCH("超过",F53)))</formula>
    </cfRule>
  </conditionalFormatting>
  <conditionalFormatting sqref="E52">
    <cfRule type="expression" dxfId="159" priority="10"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7" sqref="E47"/>
    </sheetView>
  </sheetViews>
  <sheetFormatPr defaultRowHeight="14.25"/>
  <cols>
    <col min="1" max="1" width="10.5" style="403" customWidth="1"/>
    <col min="2" max="2" width="15.75" style="403" customWidth="1"/>
    <col min="3" max="3" width="12.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6" t="s">
        <v>2647</v>
      </c>
      <c r="C1" s="1636" t="s">
        <v>2535</v>
      </c>
      <c r="D1" s="1623" t="s">
        <v>3113</v>
      </c>
      <c r="E1" s="2661"/>
      <c r="F1" s="2588" t="s">
        <v>3081</v>
      </c>
      <c r="G1" s="1633" t="s">
        <v>2648</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2332</v>
      </c>
      <c r="B2" s="1420">
        <f>IF(C2="——",ROUND(C49*D3/10000,0),ROUND(C49*D3/10000,0)-D2)</f>
        <v>39932</v>
      </c>
      <c r="C2" s="2590" t="s">
        <v>70</v>
      </c>
      <c r="D2" s="1367"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2334</v>
      </c>
      <c r="B3" s="609">
        <f>IF(C2="——",C49,ROUND(B2*10000/D3,0))</f>
        <v>71426</v>
      </c>
      <c r="C3" s="400" t="s">
        <v>2649</v>
      </c>
      <c r="D3" s="399">
        <f>IF(D1="",'数据-汇总表'!E3,SUMIF('数据-汇总表'!$C19:$C33,D1,'数据-汇总表'!$E19:$E33))</f>
        <v>5590.66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2650</v>
      </c>
      <c r="B4" s="402"/>
      <c r="C4" s="3240" t="s">
        <v>2651</v>
      </c>
      <c r="D4" s="3241"/>
      <c r="E4" s="3242" t="s">
        <v>2652</v>
      </c>
      <c r="F4" s="3243"/>
      <c r="G4" s="3240" t="s">
        <v>2653</v>
      </c>
      <c r="H4" s="3241"/>
      <c r="I4" s="3240" t="s">
        <v>2654</v>
      </c>
      <c r="J4" s="3241"/>
      <c r="K4" s="610" t="s">
        <v>2655</v>
      </c>
      <c r="L4" s="1132"/>
      <c r="M4" s="1133"/>
      <c r="N4" s="1133"/>
      <c r="O4" s="1133"/>
      <c r="P4" s="3244" t="s">
        <v>2656</v>
      </c>
      <c r="Q4" s="3245"/>
      <c r="R4" s="3250" t="s">
        <v>2652</v>
      </c>
      <c r="S4" s="3251"/>
      <c r="T4" s="3250" t="s">
        <v>2653</v>
      </c>
      <c r="U4" s="3251"/>
      <c r="V4" s="3256" t="s">
        <v>2654</v>
      </c>
      <c r="W4" s="3256"/>
      <c r="X4" s="1815"/>
      <c r="Y4" s="3250" t="s">
        <v>2656</v>
      </c>
      <c r="Z4" s="3251"/>
      <c r="AA4" s="3237" t="s">
        <v>2652</v>
      </c>
      <c r="AB4" s="3256" t="s">
        <v>2653</v>
      </c>
      <c r="AC4" s="3237" t="s">
        <v>2654</v>
      </c>
    </row>
    <row r="5" spans="1:29" ht="15">
      <c r="A5" s="404"/>
      <c r="B5" s="405"/>
      <c r="C5" s="3259" t="s">
        <v>2547</v>
      </c>
      <c r="D5" s="3260"/>
      <c r="E5" s="3269" t="s">
        <v>3139</v>
      </c>
      <c r="F5" s="3267"/>
      <c r="G5" s="3268" t="s">
        <v>3144</v>
      </c>
      <c r="H5" s="3260"/>
      <c r="I5" s="3268" t="s">
        <v>3140</v>
      </c>
      <c r="J5" s="3260"/>
      <c r="K5" s="610"/>
      <c r="L5" s="1132"/>
      <c r="M5" s="1133"/>
      <c r="N5" s="1133"/>
      <c r="O5" s="1133"/>
      <c r="P5" s="3246"/>
      <c r="Q5" s="3247"/>
      <c r="R5" s="3252"/>
      <c r="S5" s="3253"/>
      <c r="T5" s="3252"/>
      <c r="U5" s="3253"/>
      <c r="V5" s="3256"/>
      <c r="W5" s="3256"/>
      <c r="X5" s="1815"/>
      <c r="Y5" s="3252"/>
      <c r="Z5" s="3253"/>
      <c r="AA5" s="3238"/>
      <c r="AB5" s="3256"/>
      <c r="AC5" s="3238"/>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1815"/>
      <c r="Y6" s="3254"/>
      <c r="Z6" s="3255"/>
      <c r="AA6" s="3239"/>
      <c r="AB6" s="3256"/>
      <c r="AC6" s="3239"/>
    </row>
    <row r="7" spans="1:29" s="117" customFormat="1" ht="15.75" thickBot="1">
      <c r="A7" s="408" t="s">
        <v>2553</v>
      </c>
      <c r="B7" s="409"/>
      <c r="C7" s="410">
        <f>'数据-取费表'!B2</f>
        <v>43172</v>
      </c>
      <c r="D7" s="411">
        <v>100</v>
      </c>
      <c r="E7" s="412">
        <v>43160</v>
      </c>
      <c r="F7" s="413">
        <f>SUMIF(58:58,YEAR(E7)&amp;"-"&amp;MONTH(E7),59:59)</f>
        <v>100</v>
      </c>
      <c r="G7" s="412">
        <v>43160</v>
      </c>
      <c r="H7" s="411">
        <f>SUMIF(58:58,YEAR(G7)&amp;"-"&amp;MONTH(G7),59:59)</f>
        <v>100</v>
      </c>
      <c r="I7" s="412">
        <v>43160</v>
      </c>
      <c r="J7" s="411">
        <f>SUMIF(58:58,YEAR(I7)&amp;"-"&amp;MONTH(I7),59:59)</f>
        <v>100</v>
      </c>
      <c r="K7" s="611"/>
      <c r="L7" s="1134"/>
      <c r="M7" s="1135"/>
      <c r="N7" s="1135"/>
      <c r="O7" s="1135"/>
      <c r="P7" s="3261" t="s">
        <v>2554</v>
      </c>
      <c r="Q7" s="3263"/>
      <c r="R7" s="769" t="s">
        <v>17</v>
      </c>
      <c r="S7" s="770">
        <f t="shared" ref="S7:S15" si="0">F7</f>
        <v>100</v>
      </c>
      <c r="T7" s="769" t="s">
        <v>17</v>
      </c>
      <c r="U7" s="770">
        <f t="shared" ref="U7:U15" si="1">H7</f>
        <v>100</v>
      </c>
      <c r="V7" s="769" t="s">
        <v>17</v>
      </c>
      <c r="W7" s="770">
        <f t="shared" ref="W7:W15" si="2">J7</f>
        <v>100</v>
      </c>
      <c r="X7" s="771"/>
      <c r="Y7" s="3261" t="s">
        <v>2554</v>
      </c>
      <c r="Z7" s="3262"/>
      <c r="AA7" s="772">
        <f>D7/F7</f>
        <v>1</v>
      </c>
      <c r="AB7" s="772">
        <f>D7/H7</f>
        <v>1</v>
      </c>
      <c r="AC7" s="772">
        <f>D7/J7</f>
        <v>1</v>
      </c>
    </row>
    <row r="8" spans="1:29" s="117" customFormat="1" ht="15.75" thickBot="1">
      <c r="A8" s="408" t="s">
        <v>2555</v>
      </c>
      <c r="B8" s="409"/>
      <c r="C8" s="414" t="s">
        <v>2657</v>
      </c>
      <c r="D8" s="411">
        <v>100</v>
      </c>
      <c r="E8" s="2947" t="s">
        <v>3082</v>
      </c>
      <c r="F8" s="413">
        <f>SUMIF(61:61,E8,62:62)-SUMIF(61:61,C8,62:62)+100</f>
        <v>100</v>
      </c>
      <c r="G8" s="2947" t="s">
        <v>3082</v>
      </c>
      <c r="H8" s="411">
        <f>SUMIF(61:61,G8,62:62)-SUMIF(61:61,C8,62:62)+100</f>
        <v>100</v>
      </c>
      <c r="I8" s="2947" t="s">
        <v>3082</v>
      </c>
      <c r="J8" s="411">
        <f>SUMIF(61:61,I8,62:62)-SUMIF(61:61,C8,62:62)+100</f>
        <v>100</v>
      </c>
      <c r="K8" s="611"/>
      <c r="L8" s="1134"/>
      <c r="M8" s="1135"/>
      <c r="N8" s="1135"/>
      <c r="O8" s="1135"/>
      <c r="P8" s="3261" t="s">
        <v>2557</v>
      </c>
      <c r="Q8" s="3262"/>
      <c r="R8" s="769" t="s">
        <v>17</v>
      </c>
      <c r="S8" s="770">
        <f t="shared" si="0"/>
        <v>100</v>
      </c>
      <c r="T8" s="769" t="s">
        <v>17</v>
      </c>
      <c r="U8" s="770">
        <f t="shared" si="1"/>
        <v>100</v>
      </c>
      <c r="V8" s="769" t="s">
        <v>17</v>
      </c>
      <c r="W8" s="770">
        <f t="shared" si="2"/>
        <v>100</v>
      </c>
      <c r="X8" s="771"/>
      <c r="Y8" s="3261" t="s">
        <v>2557</v>
      </c>
      <c r="Z8" s="3262"/>
      <c r="AA8" s="772">
        <f t="shared" ref="AA8:AA46" si="3">D8/F8</f>
        <v>1</v>
      </c>
      <c r="AB8" s="772">
        <f t="shared" ref="AB8:AB46" si="4">D8/H8</f>
        <v>1</v>
      </c>
      <c r="AC8" s="772">
        <f t="shared" ref="AC8:AC46" si="5">D8/J8</f>
        <v>1</v>
      </c>
    </row>
    <row r="9" spans="1:29" s="117" customFormat="1">
      <c r="A9" s="415" t="s">
        <v>2558</v>
      </c>
      <c r="B9" s="71" t="s">
        <v>2559</v>
      </c>
      <c r="C9" s="2998" t="s">
        <v>3123</v>
      </c>
      <c r="D9" s="135">
        <v>100</v>
      </c>
      <c r="E9" s="2997" t="s">
        <v>3123</v>
      </c>
      <c r="F9" s="418">
        <f>SUMIF(63:63,E9,64:64)-SUMIF(63:63,C9,64:64)+100</f>
        <v>100</v>
      </c>
      <c r="G9" s="2997" t="s">
        <v>3123</v>
      </c>
      <c r="H9" s="135">
        <f>SUMIF(63:63,G9,64:64)-SUMIF(63:63,C9,64:64)+100</f>
        <v>100</v>
      </c>
      <c r="I9" s="2997" t="s">
        <v>3123</v>
      </c>
      <c r="J9" s="135">
        <f>SUMIF(63:63,I9,64:64)-SUMIF(63:63,C9,64:64)+100</f>
        <v>100</v>
      </c>
      <c r="K9" s="611"/>
      <c r="L9" s="1134"/>
      <c r="M9" s="1135"/>
      <c r="N9" s="1135"/>
      <c r="O9" s="1135"/>
      <c r="P9" s="3236" t="s">
        <v>2560</v>
      </c>
      <c r="Q9" s="1797" t="str">
        <f t="shared" ref="Q9:Q15" si="6">B9</f>
        <v>用途</v>
      </c>
      <c r="R9" s="769" t="s">
        <v>17</v>
      </c>
      <c r="S9" s="770">
        <f t="shared" si="0"/>
        <v>100</v>
      </c>
      <c r="T9" s="769" t="s">
        <v>17</v>
      </c>
      <c r="U9" s="770">
        <f t="shared" si="1"/>
        <v>100</v>
      </c>
      <c r="V9" s="769" t="s">
        <v>17</v>
      </c>
      <c r="W9" s="770">
        <f t="shared" si="2"/>
        <v>100</v>
      </c>
      <c r="X9" s="771"/>
      <c r="Y9" s="3046" t="s">
        <v>2561</v>
      </c>
      <c r="Z9" s="55" t="str">
        <f t="shared" ref="Z9:Z15" si="7">Q9</f>
        <v>用途</v>
      </c>
      <c r="AA9" s="772">
        <f t="shared" si="3"/>
        <v>1</v>
      </c>
      <c r="AB9" s="772">
        <f t="shared" si="4"/>
        <v>1</v>
      </c>
      <c r="AC9" s="772">
        <f t="shared" si="5"/>
        <v>1</v>
      </c>
    </row>
    <row r="10" spans="1:29" s="427" customFormat="1" ht="27">
      <c r="A10" s="421"/>
      <c r="B10" s="422" t="s">
        <v>2562</v>
      </c>
      <c r="C10" s="423" t="s">
        <v>3124</v>
      </c>
      <c r="D10" s="136">
        <v>100</v>
      </c>
      <c r="E10" s="424" t="s">
        <v>3125</v>
      </c>
      <c r="F10" s="425">
        <f>SUMIF(65:65,E10,66:66)-SUMIF(65:65,C10,66:66)+100</f>
        <v>102</v>
      </c>
      <c r="G10" s="423" t="s">
        <v>3125</v>
      </c>
      <c r="H10" s="136">
        <f>SUMIF(65:65,G10,66:66)-SUMIF(65:65,C10,66:66)+100</f>
        <v>102</v>
      </c>
      <c r="I10" s="423" t="s">
        <v>3125</v>
      </c>
      <c r="J10" s="136">
        <f>SUMIF(65:65,I10,66:66)-SUMIF(65:65,C10,66:66)+100</f>
        <v>102</v>
      </c>
      <c r="K10" s="612">
        <v>2</v>
      </c>
      <c r="L10" s="1137"/>
      <c r="M10" s="1138"/>
      <c r="N10" s="1138"/>
      <c r="O10" s="1138"/>
      <c r="P10" s="3236"/>
      <c r="Q10" s="1797" t="str">
        <f t="shared" si="6"/>
        <v>土地使用年限（年）</v>
      </c>
      <c r="R10" s="769" t="s">
        <v>17</v>
      </c>
      <c r="S10" s="770">
        <f t="shared" si="0"/>
        <v>102</v>
      </c>
      <c r="T10" s="769" t="s">
        <v>17</v>
      </c>
      <c r="U10" s="770">
        <f t="shared" si="1"/>
        <v>102</v>
      </c>
      <c r="V10" s="769" t="s">
        <v>17</v>
      </c>
      <c r="W10" s="770">
        <f t="shared" si="2"/>
        <v>102</v>
      </c>
      <c r="X10" s="771"/>
      <c r="Y10" s="3046"/>
      <c r="Z10" s="55" t="str">
        <f t="shared" si="7"/>
        <v>土地使用年限（年）</v>
      </c>
      <c r="AA10" s="772">
        <f t="shared" si="3"/>
        <v>0.98039215686274506</v>
      </c>
      <c r="AB10" s="772">
        <f t="shared" si="4"/>
        <v>0.98039215686274506</v>
      </c>
      <c r="AC10" s="772">
        <f t="shared" si="5"/>
        <v>0.98039215686274506</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36"/>
      <c r="Q11" s="1797" t="str">
        <f t="shared" si="6"/>
        <v>容积率</v>
      </c>
      <c r="R11" s="769" t="s">
        <v>17</v>
      </c>
      <c r="S11" s="770">
        <f t="shared" si="0"/>
        <v>100</v>
      </c>
      <c r="T11" s="769" t="s">
        <v>17</v>
      </c>
      <c r="U11" s="770">
        <f t="shared" si="1"/>
        <v>100</v>
      </c>
      <c r="V11" s="769" t="s">
        <v>17</v>
      </c>
      <c r="W11" s="770">
        <f t="shared" si="2"/>
        <v>100</v>
      </c>
      <c r="X11" s="771"/>
      <c r="Y11" s="3046"/>
      <c r="Z11" s="55" t="str">
        <f t="shared" si="7"/>
        <v>容积率</v>
      </c>
      <c r="AA11" s="772">
        <f t="shared" si="3"/>
        <v>1</v>
      </c>
      <c r="AB11" s="772">
        <f t="shared" si="4"/>
        <v>1</v>
      </c>
      <c r="AC11" s="772">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6"/>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6"/>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6"/>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85.5">
      <c r="A15" s="440" t="s">
        <v>2564</v>
      </c>
      <c r="B15" s="69" t="s">
        <v>2658</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4" t="s">
        <v>2565</v>
      </c>
      <c r="Q15" s="1812" t="str">
        <f t="shared" si="6"/>
        <v>商业繁华度</v>
      </c>
      <c r="R15" s="773" t="s">
        <v>17</v>
      </c>
      <c r="S15" s="774">
        <f t="shared" si="0"/>
        <v>100</v>
      </c>
      <c r="T15" s="773" t="s">
        <v>17</v>
      </c>
      <c r="U15" s="774">
        <f t="shared" si="1"/>
        <v>100</v>
      </c>
      <c r="V15" s="773" t="s">
        <v>17</v>
      </c>
      <c r="W15" s="774">
        <f t="shared" si="2"/>
        <v>100</v>
      </c>
      <c r="X15" s="1815"/>
      <c r="Y15" s="3227" t="s">
        <v>2565</v>
      </c>
      <c r="Z15" s="1816" t="str">
        <f t="shared" si="7"/>
        <v>商业繁华度</v>
      </c>
      <c r="AA15" s="1813">
        <f t="shared" si="3"/>
        <v>1</v>
      </c>
      <c r="AB15" s="1813">
        <f t="shared" si="4"/>
        <v>1</v>
      </c>
      <c r="AC15" s="1813">
        <f t="shared" si="5"/>
        <v>1</v>
      </c>
    </row>
    <row r="16" spans="1:29" ht="15">
      <c r="A16" s="428"/>
      <c r="B16" s="446"/>
      <c r="C16" s="447" t="s">
        <v>3122</v>
      </c>
      <c r="D16" s="448"/>
      <c r="E16" s="447" t="s">
        <v>3122</v>
      </c>
      <c r="F16" s="449"/>
      <c r="G16" s="447" t="s">
        <v>3122</v>
      </c>
      <c r="H16" s="450"/>
      <c r="I16" s="447" t="s">
        <v>3122</v>
      </c>
      <c r="J16" s="448"/>
      <c r="K16" s="615"/>
      <c r="L16" s="1142"/>
      <c r="M16" s="1133"/>
      <c r="N16" s="1133"/>
      <c r="O16" s="1133"/>
      <c r="P16" s="3235"/>
      <c r="Q16" s="1812"/>
      <c r="R16" s="773"/>
      <c r="S16" s="774"/>
      <c r="T16" s="773"/>
      <c r="U16" s="774"/>
      <c r="V16" s="773"/>
      <c r="W16" s="774"/>
      <c r="X16" s="1815"/>
      <c r="Y16" s="3228"/>
      <c r="Z16" s="1816"/>
      <c r="AA16" s="1813">
        <v>1</v>
      </c>
      <c r="AB16" s="1813">
        <v>1</v>
      </c>
      <c r="AC16" s="1813">
        <v>1</v>
      </c>
    </row>
    <row r="17" spans="1:29" ht="99.75">
      <c r="A17" s="428"/>
      <c r="B17" s="451" t="s">
        <v>2101</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98</v>
      </c>
      <c r="K17" s="614">
        <v>2</v>
      </c>
      <c r="L17" s="1142"/>
      <c r="M17" s="1133"/>
      <c r="N17" s="1133"/>
      <c r="O17" s="1133"/>
      <c r="P17" s="3235"/>
      <c r="Q17" s="1812" t="str">
        <f>B17</f>
        <v>交通便捷度</v>
      </c>
      <c r="R17" s="773" t="s">
        <v>17</v>
      </c>
      <c r="S17" s="774">
        <f>F17</f>
        <v>100</v>
      </c>
      <c r="T17" s="773" t="s">
        <v>17</v>
      </c>
      <c r="U17" s="774">
        <f>H17</f>
        <v>100</v>
      </c>
      <c r="V17" s="773" t="s">
        <v>17</v>
      </c>
      <c r="W17" s="774">
        <f>J17</f>
        <v>98</v>
      </c>
      <c r="X17" s="1815"/>
      <c r="Y17" s="3228"/>
      <c r="Z17" s="1816" t="str">
        <f>Q17</f>
        <v>交通便捷度</v>
      </c>
      <c r="AA17" s="1813">
        <f t="shared" si="3"/>
        <v>1</v>
      </c>
      <c r="AB17" s="1813">
        <f t="shared" si="4"/>
        <v>1</v>
      </c>
      <c r="AC17" s="1813">
        <f t="shared" si="5"/>
        <v>1.0204081632653061</v>
      </c>
    </row>
    <row r="18" spans="1:29" ht="15">
      <c r="A18" s="428"/>
      <c r="B18" s="456"/>
      <c r="C18" s="2612" t="s">
        <v>3122</v>
      </c>
      <c r="D18" s="450"/>
      <c r="E18" s="2614" t="s">
        <v>3122</v>
      </c>
      <c r="F18" s="453"/>
      <c r="G18" s="2613" t="s">
        <v>3122</v>
      </c>
      <c r="H18" s="448"/>
      <c r="I18" s="2614" t="s">
        <v>3126</v>
      </c>
      <c r="J18" s="448"/>
      <c r="K18" s="615"/>
      <c r="L18" s="1142"/>
      <c r="M18" s="1133"/>
      <c r="N18" s="1133"/>
      <c r="O18" s="1133"/>
      <c r="P18" s="3235"/>
      <c r="Q18" s="1812"/>
      <c r="R18" s="773"/>
      <c r="S18" s="774"/>
      <c r="T18" s="773"/>
      <c r="U18" s="774"/>
      <c r="V18" s="773"/>
      <c r="W18" s="774"/>
      <c r="X18" s="1815"/>
      <c r="Y18" s="3228"/>
      <c r="Z18" s="1816"/>
      <c r="AA18" s="1813">
        <v>1</v>
      </c>
      <c r="AB18" s="1813">
        <v>1</v>
      </c>
      <c r="AC18" s="1813">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5"/>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1813">
        <f t="shared" si="5"/>
        <v>1</v>
      </c>
    </row>
    <row r="20" spans="1:29" ht="15">
      <c r="A20" s="428"/>
      <c r="B20" s="456"/>
      <c r="C20" s="447" t="s">
        <v>3122</v>
      </c>
      <c r="D20" s="448"/>
      <c r="E20" s="2609" t="s">
        <v>3122</v>
      </c>
      <c r="F20" s="449"/>
      <c r="G20" s="2608" t="s">
        <v>3122</v>
      </c>
      <c r="H20" s="448"/>
      <c r="I20" s="2609" t="s">
        <v>3122</v>
      </c>
      <c r="J20" s="448"/>
      <c r="K20" s="615"/>
      <c r="L20" s="1142"/>
      <c r="M20" s="1133"/>
      <c r="N20" s="1133"/>
      <c r="O20" s="1133"/>
      <c r="P20" s="3235"/>
      <c r="Q20" s="1812"/>
      <c r="R20" s="773"/>
      <c r="S20" s="774"/>
      <c r="T20" s="773"/>
      <c r="U20" s="774"/>
      <c r="V20" s="773"/>
      <c r="W20" s="774"/>
      <c r="X20" s="1815"/>
      <c r="Y20" s="3228"/>
      <c r="Z20" s="1816"/>
      <c r="AA20" s="1813">
        <v>1</v>
      </c>
      <c r="AB20" s="1813">
        <v>1</v>
      </c>
      <c r="AC20" s="1813">
        <v>1</v>
      </c>
    </row>
    <row r="21" spans="1:29" ht="42.75">
      <c r="A21" s="428"/>
      <c r="B21" s="1386"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5"/>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12" t="s">
        <v>3127</v>
      </c>
      <c r="D22" s="448"/>
      <c r="E22" s="447" t="s">
        <v>3127</v>
      </c>
      <c r="F22" s="449"/>
      <c r="G22" s="447" t="s">
        <v>3127</v>
      </c>
      <c r="H22" s="448"/>
      <c r="I22" s="447" t="s">
        <v>3127</v>
      </c>
      <c r="J22" s="448"/>
      <c r="K22" s="1385"/>
      <c r="L22" s="1142"/>
      <c r="M22" s="1133"/>
      <c r="N22" s="1133"/>
      <c r="O22" s="1133"/>
      <c r="P22" s="3235"/>
      <c r="Q22" s="1812"/>
      <c r="R22" s="773"/>
      <c r="S22" s="774"/>
      <c r="T22" s="773"/>
      <c r="U22" s="774"/>
      <c r="V22" s="773"/>
      <c r="W22" s="774"/>
      <c r="X22" s="1815"/>
      <c r="Y22" s="3228"/>
      <c r="Z22" s="1816"/>
      <c r="AA22" s="1813">
        <v>1</v>
      </c>
      <c r="AB22" s="1813">
        <v>1</v>
      </c>
      <c r="AC22" s="1813">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5"/>
      <c r="Q23" s="1812" t="str">
        <f>B23</f>
        <v>自然及人文环境</v>
      </c>
      <c r="R23" s="773" t="s">
        <v>17</v>
      </c>
      <c r="S23" s="774">
        <f>F23</f>
        <v>100</v>
      </c>
      <c r="T23" s="773" t="s">
        <v>17</v>
      </c>
      <c r="U23" s="774">
        <f>H23</f>
        <v>100</v>
      </c>
      <c r="V23" s="773" t="s">
        <v>17</v>
      </c>
      <c r="W23" s="774">
        <f>J23</f>
        <v>100</v>
      </c>
      <c r="X23" s="1815"/>
      <c r="Y23" s="3228"/>
      <c r="Z23" s="1816" t="str">
        <f>Q23</f>
        <v>自然及人文环境</v>
      </c>
      <c r="AA23" s="1813">
        <f t="shared" si="3"/>
        <v>1</v>
      </c>
      <c r="AB23" s="1813">
        <f t="shared" si="4"/>
        <v>1</v>
      </c>
      <c r="AC23" s="1813">
        <f t="shared" si="5"/>
        <v>1</v>
      </c>
    </row>
    <row r="24" spans="1:29" ht="15">
      <c r="A24" s="428"/>
      <c r="B24" s="456"/>
      <c r="C24" s="447" t="s">
        <v>3122</v>
      </c>
      <c r="D24" s="448"/>
      <c r="E24" s="2609" t="s">
        <v>3122</v>
      </c>
      <c r="F24" s="449"/>
      <c r="G24" s="2608" t="s">
        <v>3122</v>
      </c>
      <c r="H24" s="448"/>
      <c r="I24" s="2609" t="s">
        <v>3122</v>
      </c>
      <c r="J24" s="448"/>
      <c r="K24" s="615"/>
      <c r="L24" s="1142"/>
      <c r="M24" s="1133"/>
      <c r="N24" s="1133"/>
      <c r="O24" s="1133"/>
      <c r="P24" s="3235"/>
      <c r="Q24" s="1812"/>
      <c r="R24" s="773"/>
      <c r="S24" s="774"/>
      <c r="T24" s="773"/>
      <c r="U24" s="774"/>
      <c r="V24" s="773"/>
      <c r="W24" s="774"/>
      <c r="X24" s="1815"/>
      <c r="Y24" s="3228"/>
      <c r="Z24" s="1816"/>
      <c r="AA24" s="1813">
        <v>1</v>
      </c>
      <c r="AB24" s="1813">
        <v>1</v>
      </c>
      <c r="AC24" s="1813">
        <v>1</v>
      </c>
    </row>
    <row r="25" spans="1:29" ht="15">
      <c r="A25" s="428"/>
      <c r="B25" s="422" t="s">
        <v>2661</v>
      </c>
      <c r="C25" s="616" t="s">
        <v>3128</v>
      </c>
      <c r="D25" s="435">
        <v>100</v>
      </c>
      <c r="E25" s="616" t="s">
        <v>3130</v>
      </c>
      <c r="F25" s="461">
        <f>SUMIF(86:86,E25,87:87)-SUMIF(86:86,C25,87:87)+100</f>
        <v>95</v>
      </c>
      <c r="G25" s="616" t="s">
        <v>3130</v>
      </c>
      <c r="H25" s="435">
        <f>SUMIF(86:86,G25,87:87)-SUMIF(86:86,C25,87:87)+100</f>
        <v>95</v>
      </c>
      <c r="I25" s="616" t="s">
        <v>3130</v>
      </c>
      <c r="J25" s="435">
        <f>SUMIF(86:86,I25,87:87)-SUMIF(86:86,C25,87:87)+100</f>
        <v>95</v>
      </c>
      <c r="K25" s="612">
        <v>5</v>
      </c>
      <c r="L25" s="1142"/>
      <c r="M25" s="1133"/>
      <c r="N25" s="1133"/>
      <c r="O25" s="1133"/>
      <c r="P25" s="3235"/>
      <c r="Q25" s="1812" t="str">
        <f t="shared" ref="Q25:Q46" si="11">B25</f>
        <v>临街状况</v>
      </c>
      <c r="R25" s="773" t="s">
        <v>17</v>
      </c>
      <c r="S25" s="774">
        <f>F25</f>
        <v>95</v>
      </c>
      <c r="T25" s="773" t="s">
        <v>17</v>
      </c>
      <c r="U25" s="774">
        <f>H25</f>
        <v>95</v>
      </c>
      <c r="V25" s="773" t="s">
        <v>17</v>
      </c>
      <c r="W25" s="774">
        <f>J25</f>
        <v>95</v>
      </c>
      <c r="X25" s="1815"/>
      <c r="Y25" s="3228"/>
      <c r="Z25" s="1816" t="str">
        <f>Q25</f>
        <v>临街状况</v>
      </c>
      <c r="AA25" s="1813">
        <f t="shared" si="3"/>
        <v>1.0526315789473684</v>
      </c>
      <c r="AB25" s="1813">
        <f t="shared" si="4"/>
        <v>1.0526315789473684</v>
      </c>
      <c r="AC25" s="1813">
        <f t="shared" si="5"/>
        <v>1.0526315789473684</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5"/>
      <c r="Q26" s="1812" t="str">
        <f t="shared" si="11"/>
        <v>平面位置/可视性</v>
      </c>
      <c r="R26" s="773" t="s">
        <v>17</v>
      </c>
      <c r="S26" s="774">
        <f>F26</f>
        <v>100</v>
      </c>
      <c r="T26" s="773" t="s">
        <v>17</v>
      </c>
      <c r="U26" s="774">
        <f>H26</f>
        <v>100</v>
      </c>
      <c r="V26" s="773" t="s">
        <v>17</v>
      </c>
      <c r="W26" s="774">
        <f>J26</f>
        <v>100</v>
      </c>
      <c r="X26" s="1815"/>
      <c r="Y26" s="3228"/>
      <c r="Z26" s="1816" t="str">
        <f>Q26</f>
        <v>平面位置/可视性</v>
      </c>
      <c r="AA26" s="1813">
        <f t="shared" si="3"/>
        <v>1</v>
      </c>
      <c r="AB26" s="1813">
        <f t="shared" si="4"/>
        <v>1</v>
      </c>
      <c r="AC26" s="1813">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35"/>
      <c r="Q27" s="1797" t="str">
        <f t="shared" si="11"/>
        <v>人流量</v>
      </c>
      <c r="R27" s="769" t="s">
        <v>17</v>
      </c>
      <c r="S27" s="770">
        <f>F27</f>
        <v>100</v>
      </c>
      <c r="T27" s="769" t="s">
        <v>17</v>
      </c>
      <c r="U27" s="770">
        <f>H27</f>
        <v>100</v>
      </c>
      <c r="V27" s="769" t="s">
        <v>17</v>
      </c>
      <c r="W27" s="770">
        <f>J27</f>
        <v>100</v>
      </c>
      <c r="X27" s="771"/>
      <c r="Y27" s="3228"/>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5"/>
      <c r="Q29" s="1812">
        <f t="shared" si="11"/>
        <v>111</v>
      </c>
      <c r="R29" s="773" t="s">
        <v>17</v>
      </c>
      <c r="S29" s="774">
        <f t="shared" si="12"/>
        <v>100</v>
      </c>
      <c r="T29" s="773" t="s">
        <v>17</v>
      </c>
      <c r="U29" s="774">
        <f t="shared" si="13"/>
        <v>100</v>
      </c>
      <c r="V29" s="773" t="s">
        <v>17</v>
      </c>
      <c r="W29" s="774">
        <f t="shared" si="14"/>
        <v>100</v>
      </c>
      <c r="X29" s="1815"/>
      <c r="Y29" s="322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5"/>
      <c r="Q30" s="1812">
        <f t="shared" si="11"/>
        <v>111</v>
      </c>
      <c r="R30" s="773" t="s">
        <v>17</v>
      </c>
      <c r="S30" s="774">
        <f t="shared" si="12"/>
        <v>100</v>
      </c>
      <c r="T30" s="773" t="s">
        <v>17</v>
      </c>
      <c r="U30" s="774">
        <f t="shared" si="13"/>
        <v>100</v>
      </c>
      <c r="V30" s="773" t="s">
        <v>17</v>
      </c>
      <c r="W30" s="774">
        <f t="shared" si="14"/>
        <v>100</v>
      </c>
      <c r="X30" s="1815"/>
      <c r="Y30" s="322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5"/>
      <c r="Q31" s="1812">
        <f t="shared" si="11"/>
        <v>111</v>
      </c>
      <c r="R31" s="773" t="s">
        <v>17</v>
      </c>
      <c r="S31" s="774">
        <f t="shared" si="12"/>
        <v>100</v>
      </c>
      <c r="T31" s="773" t="s">
        <v>17</v>
      </c>
      <c r="U31" s="774">
        <f t="shared" si="13"/>
        <v>100</v>
      </c>
      <c r="V31" s="773" t="s">
        <v>17</v>
      </c>
      <c r="W31" s="774">
        <f t="shared" si="14"/>
        <v>100</v>
      </c>
      <c r="X31" s="1815"/>
      <c r="Y31" s="3228"/>
      <c r="Z31" s="1816">
        <f t="shared" si="15"/>
        <v>111</v>
      </c>
      <c r="AA31" s="1813">
        <f t="shared" si="3"/>
        <v>1</v>
      </c>
      <c r="AB31" s="1813">
        <f t="shared" si="4"/>
        <v>1</v>
      </c>
      <c r="AC31" s="1813">
        <f t="shared" si="5"/>
        <v>1</v>
      </c>
    </row>
    <row r="32" spans="1:29" ht="15">
      <c r="A32" s="440" t="s">
        <v>2568</v>
      </c>
      <c r="B32" s="71" t="s">
        <v>2665</v>
      </c>
      <c r="C32" s="2621" t="s">
        <v>3088</v>
      </c>
      <c r="D32" s="467">
        <v>100</v>
      </c>
      <c r="E32" s="2621" t="s">
        <v>1377</v>
      </c>
      <c r="F32" s="461">
        <f>SUMIF(100:100,E32,101:101)-SUMIF(100:100,C32,101:101)+100</f>
        <v>104</v>
      </c>
      <c r="G32" s="2952" t="s">
        <v>1377</v>
      </c>
      <c r="H32" s="435">
        <f>SUMIF(100:100,G32,101:101)-SUMIF(100:100,C32,101:101)+100</f>
        <v>104</v>
      </c>
      <c r="I32" s="2952" t="s">
        <v>3090</v>
      </c>
      <c r="J32" s="467">
        <f>SUMIF(100:100,I32,101:101)-SUMIF(100:100,C32,101:101)+100</f>
        <v>102</v>
      </c>
      <c r="K32" s="612">
        <v>2</v>
      </c>
      <c r="L32" s="1142"/>
      <c r="M32" s="1133"/>
      <c r="N32" s="1133"/>
      <c r="O32" s="1133"/>
      <c r="P32" s="3229" t="s">
        <v>2570</v>
      </c>
      <c r="Q32" s="1812" t="str">
        <f t="shared" si="11"/>
        <v>商业类型</v>
      </c>
      <c r="R32" s="773" t="s">
        <v>17</v>
      </c>
      <c r="S32" s="774">
        <f t="shared" si="12"/>
        <v>104</v>
      </c>
      <c r="T32" s="773" t="s">
        <v>17</v>
      </c>
      <c r="U32" s="774">
        <f t="shared" si="13"/>
        <v>104</v>
      </c>
      <c r="V32" s="773" t="s">
        <v>17</v>
      </c>
      <c r="W32" s="774">
        <f t="shared" si="14"/>
        <v>102</v>
      </c>
      <c r="X32" s="1815"/>
      <c r="Y32" s="3232" t="s">
        <v>2570</v>
      </c>
      <c r="Z32" s="1816" t="str">
        <f t="shared" si="15"/>
        <v>商业类型</v>
      </c>
      <c r="AA32" s="1813">
        <f t="shared" si="3"/>
        <v>0.96153846153846156</v>
      </c>
      <c r="AB32" s="1813">
        <f t="shared" si="4"/>
        <v>0.96153846153846156</v>
      </c>
      <c r="AC32" s="1813">
        <f t="shared" si="5"/>
        <v>0.98039215686274506</v>
      </c>
    </row>
    <row r="33" spans="1:29" s="471" customFormat="1" ht="15">
      <c r="A33" s="468"/>
      <c r="B33" s="422" t="s">
        <v>2571</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230"/>
      <c r="Q33" s="775" t="str">
        <f t="shared" si="11"/>
        <v>项目建筑规模</v>
      </c>
      <c r="R33" s="776" t="s">
        <v>17</v>
      </c>
      <c r="S33" s="777">
        <f t="shared" si="12"/>
        <v>100</v>
      </c>
      <c r="T33" s="776" t="s">
        <v>17</v>
      </c>
      <c r="U33" s="777">
        <f t="shared" si="13"/>
        <v>100</v>
      </c>
      <c r="V33" s="776" t="s">
        <v>17</v>
      </c>
      <c r="W33" s="777">
        <f t="shared" si="14"/>
        <v>100</v>
      </c>
      <c r="X33" s="778"/>
      <c r="Y33" s="3232"/>
      <c r="Z33" s="779" t="str">
        <f t="shared" si="15"/>
        <v>项目建筑规模</v>
      </c>
      <c r="AA33" s="1813">
        <f t="shared" si="3"/>
        <v>1</v>
      </c>
      <c r="AB33" s="1813">
        <f t="shared" si="4"/>
        <v>1</v>
      </c>
      <c r="AC33" s="1813">
        <f t="shared" si="5"/>
        <v>1</v>
      </c>
    </row>
    <row r="34" spans="1:29" ht="15">
      <c r="A34" s="472"/>
      <c r="B34" s="422" t="s">
        <v>2572</v>
      </c>
      <c r="C34" s="2953" t="s">
        <v>3094</v>
      </c>
      <c r="D34" s="435">
        <v>100</v>
      </c>
      <c r="E34" s="2953" t="s">
        <v>3077</v>
      </c>
      <c r="F34" s="461">
        <f>SUMIF(105:105,E34,106:106)-SUMIF(105:105,C34,106:106)+100</f>
        <v>100</v>
      </c>
      <c r="G34" s="2953" t="s">
        <v>3094</v>
      </c>
      <c r="H34" s="435">
        <f>SUMIF(105:105,G34,106:106)-SUMIF(105:105,C34,106:106)+100</f>
        <v>100</v>
      </c>
      <c r="I34" s="2953" t="s">
        <v>3094</v>
      </c>
      <c r="J34" s="435">
        <f>SUMIF(105:105,I34,106:106)-SUMIF(105:105,C34,106:106)+100</f>
        <v>100</v>
      </c>
      <c r="K34" s="612">
        <v>2</v>
      </c>
      <c r="L34" s="1142"/>
      <c r="M34" s="1133"/>
      <c r="N34" s="1133"/>
      <c r="O34" s="1133"/>
      <c r="P34" s="3230"/>
      <c r="Q34" s="1812" t="str">
        <f t="shared" si="11"/>
        <v>建筑结构</v>
      </c>
      <c r="R34" s="773" t="s">
        <v>17</v>
      </c>
      <c r="S34" s="774">
        <f t="shared" si="12"/>
        <v>100</v>
      </c>
      <c r="T34" s="773" t="s">
        <v>17</v>
      </c>
      <c r="U34" s="774">
        <f t="shared" si="13"/>
        <v>100</v>
      </c>
      <c r="V34" s="773" t="s">
        <v>17</v>
      </c>
      <c r="W34" s="774">
        <f t="shared" si="14"/>
        <v>100</v>
      </c>
      <c r="X34" s="1815"/>
      <c r="Y34" s="3232"/>
      <c r="Z34" s="1816" t="str">
        <f t="shared" si="15"/>
        <v>建筑结构</v>
      </c>
      <c r="AA34" s="1813">
        <f t="shared" si="3"/>
        <v>1</v>
      </c>
      <c r="AB34" s="1813">
        <f t="shared" si="4"/>
        <v>1</v>
      </c>
      <c r="AC34" s="1813">
        <f t="shared" si="5"/>
        <v>1</v>
      </c>
    </row>
    <row r="35" spans="1:29" ht="15">
      <c r="A35" s="472"/>
      <c r="B35" s="422" t="s">
        <v>2666</v>
      </c>
      <c r="C35" s="2955" t="s">
        <v>3097</v>
      </c>
      <c r="D35" s="435">
        <v>100</v>
      </c>
      <c r="E35" s="2955" t="s">
        <v>3138</v>
      </c>
      <c r="F35" s="461">
        <f>SUMIF(107:107,E35,108:108)-SUMIF(107:107,C35,108:108)+100</f>
        <v>100</v>
      </c>
      <c r="G35" s="2955" t="s">
        <v>3138</v>
      </c>
      <c r="H35" s="435">
        <f>SUMIF(107:107,G35,108:108)-SUMIF(107:107,C35,108:108)+100</f>
        <v>100</v>
      </c>
      <c r="I35" s="2955" t="s">
        <v>3097</v>
      </c>
      <c r="J35" s="435">
        <f>SUMIF(107:107,I35,108:108)-SUMIF(107:107,C35,108:108)+100</f>
        <v>100</v>
      </c>
      <c r="K35" s="612">
        <v>2</v>
      </c>
      <c r="L35" s="1142"/>
      <c r="M35" s="1133"/>
      <c r="N35" s="1133"/>
      <c r="O35" s="1133"/>
      <c r="P35" s="3230"/>
      <c r="Q35" s="1812" t="str">
        <f t="shared" si="11"/>
        <v>公共部分装修</v>
      </c>
      <c r="R35" s="773" t="s">
        <v>17</v>
      </c>
      <c r="S35" s="774">
        <f t="shared" si="12"/>
        <v>100</v>
      </c>
      <c r="T35" s="773" t="s">
        <v>17</v>
      </c>
      <c r="U35" s="774">
        <f t="shared" si="13"/>
        <v>100</v>
      </c>
      <c r="V35" s="773" t="s">
        <v>17</v>
      </c>
      <c r="W35" s="774">
        <f t="shared" si="14"/>
        <v>100</v>
      </c>
      <c r="X35" s="1815"/>
      <c r="Y35" s="3232"/>
      <c r="Z35" s="1816" t="str">
        <f t="shared" si="15"/>
        <v>公共部分装修</v>
      </c>
      <c r="AA35" s="1813">
        <f t="shared" si="3"/>
        <v>1</v>
      </c>
      <c r="AB35" s="1813">
        <f t="shared" si="4"/>
        <v>1</v>
      </c>
      <c r="AC35" s="1813">
        <f t="shared" si="5"/>
        <v>1</v>
      </c>
    </row>
    <row r="36" spans="1:29" ht="15">
      <c r="A36" s="472"/>
      <c r="B36" s="422" t="s">
        <v>2667</v>
      </c>
      <c r="C36" s="474">
        <f>'数据-取费表'!N6</f>
        <v>0.83</v>
      </c>
      <c r="D36" s="435">
        <v>100</v>
      </c>
      <c r="E36" s="474">
        <f>ROUND(1-(2018-2014)/60,2)</f>
        <v>0.93</v>
      </c>
      <c r="F36" s="461">
        <f>LOOKUP(E36,110:110,111:111)-LOOKUP(C36,110:110,111:111)+100</f>
        <v>102</v>
      </c>
      <c r="G36" s="474">
        <v>0.93</v>
      </c>
      <c r="H36" s="461">
        <f>LOOKUP(G36,110:110,111:111)-LOOKUP(C36,110:110,111:111)+100</f>
        <v>102</v>
      </c>
      <c r="I36" s="474">
        <v>0.97</v>
      </c>
      <c r="J36" s="435">
        <f>LOOKUP(I36,110:110,111:111)-LOOKUP(C36,110:110,111:111)+100</f>
        <v>102</v>
      </c>
      <c r="K36" s="612">
        <v>2</v>
      </c>
      <c r="L36" s="1142"/>
      <c r="M36" s="1133"/>
      <c r="N36" s="1133"/>
      <c r="O36" s="1133"/>
      <c r="P36" s="3230"/>
      <c r="Q36" s="1812" t="str">
        <f t="shared" si="11"/>
        <v>成新度</v>
      </c>
      <c r="R36" s="773" t="s">
        <v>17</v>
      </c>
      <c r="S36" s="774">
        <f t="shared" si="12"/>
        <v>102</v>
      </c>
      <c r="T36" s="773" t="s">
        <v>17</v>
      </c>
      <c r="U36" s="774">
        <f t="shared" si="13"/>
        <v>102</v>
      </c>
      <c r="V36" s="773" t="s">
        <v>17</v>
      </c>
      <c r="W36" s="774">
        <f t="shared" si="14"/>
        <v>102</v>
      </c>
      <c r="X36" s="1815"/>
      <c r="Y36" s="3232"/>
      <c r="Z36" s="1816" t="str">
        <f t="shared" si="15"/>
        <v>成新度</v>
      </c>
      <c r="AA36" s="1813">
        <f t="shared" si="3"/>
        <v>0.98039215686274506</v>
      </c>
      <c r="AB36" s="1813">
        <f t="shared" si="4"/>
        <v>0.98039215686274506</v>
      </c>
      <c r="AC36" s="1813">
        <f t="shared" si="5"/>
        <v>0.98039215686274506</v>
      </c>
    </row>
    <row r="37" spans="1:29" s="117" customFormat="1" ht="15">
      <c r="A37" s="473"/>
      <c r="B37" s="422" t="s">
        <v>2668</v>
      </c>
      <c r="C37" s="2955" t="s">
        <v>3143</v>
      </c>
      <c r="D37" s="136">
        <v>100</v>
      </c>
      <c r="E37" s="2955" t="s">
        <v>3100</v>
      </c>
      <c r="F37" s="461">
        <f>SUMIF(112:112,E37,113:113)-SUMIF(112:112,C37,113:113)+100</f>
        <v>100</v>
      </c>
      <c r="G37" s="2955" t="s">
        <v>3101</v>
      </c>
      <c r="H37" s="435">
        <f>SUMIF(112:112,G37,113:113)-SUMIF(112:112,C37,113:113)+100</f>
        <v>100</v>
      </c>
      <c r="I37" s="2955" t="s">
        <v>3102</v>
      </c>
      <c r="J37" s="435">
        <f>SUMIF(112:112,I37,113:113)-SUMIF(112:112,C37,113:113)+100</f>
        <v>98</v>
      </c>
      <c r="K37" s="612">
        <v>2</v>
      </c>
      <c r="L37" s="1134"/>
      <c r="M37" s="1135"/>
      <c r="N37" s="1135"/>
      <c r="O37" s="1135"/>
      <c r="P37" s="3230"/>
      <c r="Q37" s="1797" t="str">
        <f t="shared" si="11"/>
        <v>市政基础设施</v>
      </c>
      <c r="R37" s="769" t="s">
        <v>17</v>
      </c>
      <c r="S37" s="770">
        <f t="shared" si="12"/>
        <v>100</v>
      </c>
      <c r="T37" s="769" t="s">
        <v>17</v>
      </c>
      <c r="U37" s="770">
        <f t="shared" si="13"/>
        <v>100</v>
      </c>
      <c r="V37" s="769" t="s">
        <v>17</v>
      </c>
      <c r="W37" s="770">
        <f t="shared" si="14"/>
        <v>98</v>
      </c>
      <c r="X37" s="771"/>
      <c r="Y37" s="3232"/>
      <c r="Z37" s="55" t="str">
        <f t="shared" si="15"/>
        <v>市政基础设施</v>
      </c>
      <c r="AA37" s="772">
        <f t="shared" si="3"/>
        <v>1</v>
      </c>
      <c r="AB37" s="772">
        <f t="shared" si="4"/>
        <v>1</v>
      </c>
      <c r="AC37" s="772">
        <f t="shared" si="5"/>
        <v>1.0204081632653061</v>
      </c>
    </row>
    <row r="38" spans="1:29" ht="15">
      <c r="A38" s="472"/>
      <c r="B38" s="422"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30" t="s">
        <v>2570</v>
      </c>
      <c r="Q38" s="1812" t="str">
        <f t="shared" si="11"/>
        <v>业态</v>
      </c>
      <c r="R38" s="773" t="s">
        <v>17</v>
      </c>
      <c r="S38" s="774">
        <f t="shared" si="12"/>
        <v>100</v>
      </c>
      <c r="T38" s="773" t="s">
        <v>17</v>
      </c>
      <c r="U38" s="774">
        <f t="shared" si="13"/>
        <v>100</v>
      </c>
      <c r="V38" s="773" t="s">
        <v>17</v>
      </c>
      <c r="W38" s="774">
        <f t="shared" si="14"/>
        <v>100</v>
      </c>
      <c r="X38" s="1815"/>
      <c r="Y38" s="3232" t="s">
        <v>2570</v>
      </c>
      <c r="Z38" s="1816" t="str">
        <f t="shared" si="15"/>
        <v>业态</v>
      </c>
      <c r="AA38" s="1813">
        <f t="shared" si="3"/>
        <v>1</v>
      </c>
      <c r="AB38" s="1813">
        <f t="shared" si="4"/>
        <v>1</v>
      </c>
      <c r="AC38" s="1813">
        <f t="shared" si="5"/>
        <v>1</v>
      </c>
    </row>
    <row r="39" spans="1:29" ht="15">
      <c r="A39" s="472"/>
      <c r="B39" s="422" t="s">
        <v>2670</v>
      </c>
      <c r="C39" s="2617">
        <v>4.5</v>
      </c>
      <c r="D39" s="435">
        <v>100</v>
      </c>
      <c r="E39" s="2617" t="s">
        <v>3121</v>
      </c>
      <c r="F39" s="461">
        <f>SUMIF(116:116,E39,117:117)-SUMIF(116:116,C39,117:117)+100</f>
        <v>96</v>
      </c>
      <c r="G39" s="2617" t="s">
        <v>3121</v>
      </c>
      <c r="H39" s="435">
        <f>SUMIF(116:116,G39,117:117)-SUMIF(116:116,C39,117:117)+100</f>
        <v>96</v>
      </c>
      <c r="I39" s="2617" t="s">
        <v>3121</v>
      </c>
      <c r="J39" s="435">
        <f>SUMIF(116:116,I39,117:117)-SUMIF(116:116,C39,117:117)+100</f>
        <v>96</v>
      </c>
      <c r="K39" s="612">
        <v>2</v>
      </c>
      <c r="L39" s="1142"/>
      <c r="M39" s="1133"/>
      <c r="N39" s="1133"/>
      <c r="O39" s="1133"/>
      <c r="P39" s="3230"/>
      <c r="Q39" s="1812" t="str">
        <f t="shared" si="11"/>
        <v>层高</v>
      </c>
      <c r="R39" s="773" t="s">
        <v>17</v>
      </c>
      <c r="S39" s="774">
        <f t="shared" si="12"/>
        <v>96</v>
      </c>
      <c r="T39" s="773" t="s">
        <v>17</v>
      </c>
      <c r="U39" s="774">
        <f t="shared" si="13"/>
        <v>96</v>
      </c>
      <c r="V39" s="773" t="s">
        <v>17</v>
      </c>
      <c r="W39" s="774">
        <f t="shared" si="14"/>
        <v>96</v>
      </c>
      <c r="X39" s="1815"/>
      <c r="Y39" s="3232"/>
      <c r="Z39" s="1816" t="str">
        <f t="shared" si="15"/>
        <v>层高</v>
      </c>
      <c r="AA39" s="1813">
        <f t="shared" si="3"/>
        <v>1.0416666666666667</v>
      </c>
      <c r="AB39" s="1813">
        <f t="shared" si="4"/>
        <v>1.0416666666666667</v>
      </c>
      <c r="AC39" s="1813">
        <f t="shared" si="5"/>
        <v>1.0416666666666667</v>
      </c>
    </row>
    <row r="40" spans="1:29" ht="15">
      <c r="A40" s="472"/>
      <c r="B40" s="422" t="s">
        <v>2671</v>
      </c>
      <c r="C40" s="2956">
        <v>2542.7199999999998</v>
      </c>
      <c r="D40" s="435">
        <v>100</v>
      </c>
      <c r="E40" s="617">
        <v>72</v>
      </c>
      <c r="F40" s="461">
        <f>SUMIF(118:118,E40,119:119)-SUMIF(118:118,C40,119:119)+100</f>
        <v>105</v>
      </c>
      <c r="G40" s="617">
        <v>45</v>
      </c>
      <c r="H40" s="435">
        <f>SUMIF(118:118,G40,119:119)-SUMIF(118:118,C40,119:119)+100</f>
        <v>105</v>
      </c>
      <c r="I40" s="617">
        <v>76</v>
      </c>
      <c r="J40" s="435">
        <f>SUMIF(118:118,I40,119:119)-SUMIF(118:118,C40,119:119)+100</f>
        <v>105</v>
      </c>
      <c r="K40" s="613"/>
      <c r="L40" s="1142"/>
      <c r="M40" s="1133"/>
      <c r="N40" s="1133"/>
      <c r="O40" s="1133"/>
      <c r="P40" s="3230"/>
      <c r="Q40" s="1812" t="str">
        <f t="shared" si="11"/>
        <v>单套建筑面积</v>
      </c>
      <c r="R40" s="773" t="s">
        <v>17</v>
      </c>
      <c r="S40" s="774">
        <f t="shared" si="12"/>
        <v>105</v>
      </c>
      <c r="T40" s="773" t="s">
        <v>17</v>
      </c>
      <c r="U40" s="774">
        <f t="shared" si="13"/>
        <v>105</v>
      </c>
      <c r="V40" s="773" t="s">
        <v>17</v>
      </c>
      <c r="W40" s="774">
        <f t="shared" si="14"/>
        <v>105</v>
      </c>
      <c r="X40" s="1815"/>
      <c r="Y40" s="3232"/>
      <c r="Z40" s="1816" t="str">
        <f t="shared" si="15"/>
        <v>单套建筑面积</v>
      </c>
      <c r="AA40" s="1813">
        <f t="shared" si="3"/>
        <v>0.95238095238095233</v>
      </c>
      <c r="AB40" s="1813">
        <f t="shared" si="4"/>
        <v>0.95238095238095233</v>
      </c>
      <c r="AC40" s="1813">
        <f t="shared" si="5"/>
        <v>0.95238095238095233</v>
      </c>
    </row>
    <row r="41" spans="1:29" s="471" customFormat="1" ht="15">
      <c r="A41" s="468"/>
      <c r="B41" s="1814" t="s">
        <v>2672</v>
      </c>
      <c r="C41" s="616" t="s">
        <v>3122</v>
      </c>
      <c r="D41" s="435">
        <v>100</v>
      </c>
      <c r="E41" s="616" t="s">
        <v>3126</v>
      </c>
      <c r="F41" s="461">
        <f>SUMIF(120:120,E41,121:121)-SUMIF(120:120,C41,121:121)+100</f>
        <v>98</v>
      </c>
      <c r="G41" s="616" t="s">
        <v>3126</v>
      </c>
      <c r="H41" s="435">
        <f>SUMIF(120:120,G41,121:121)-SUMIF(120:120,C41,121:121)+100</f>
        <v>98</v>
      </c>
      <c r="I41" s="616" t="s">
        <v>3126</v>
      </c>
      <c r="J41" s="435">
        <f>SUMIF(120:120,I41,121:121)-SUMIF(120:120,C41,121:121)+100</f>
        <v>98</v>
      </c>
      <c r="K41" s="612">
        <v>2</v>
      </c>
      <c r="L41" s="1140"/>
      <c r="M41" s="1143"/>
      <c r="N41" s="1143"/>
      <c r="O41" s="1143"/>
      <c r="P41" s="3230"/>
      <c r="Q41" s="775" t="str">
        <f t="shared" si="11"/>
        <v>进深比</v>
      </c>
      <c r="R41" s="776" t="s">
        <v>17</v>
      </c>
      <c r="S41" s="777">
        <f t="shared" si="12"/>
        <v>98</v>
      </c>
      <c r="T41" s="776" t="s">
        <v>17</v>
      </c>
      <c r="U41" s="777">
        <f t="shared" si="13"/>
        <v>98</v>
      </c>
      <c r="V41" s="776" t="s">
        <v>17</v>
      </c>
      <c r="W41" s="777">
        <f t="shared" si="14"/>
        <v>98</v>
      </c>
      <c r="X41" s="778"/>
      <c r="Y41" s="3232"/>
      <c r="Z41" s="779" t="str">
        <f t="shared" si="15"/>
        <v>进深比</v>
      </c>
      <c r="AA41" s="1813">
        <f t="shared" si="3"/>
        <v>1.0204081632653061</v>
      </c>
      <c r="AB41" s="1813">
        <f t="shared" si="4"/>
        <v>1.0204081632653061</v>
      </c>
      <c r="AC41" s="1813">
        <f t="shared" si="5"/>
        <v>1.0204081632653061</v>
      </c>
    </row>
    <row r="42" spans="1:29" ht="15">
      <c r="A42" s="472"/>
      <c r="B42" s="422"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30"/>
      <c r="Q42" s="1812" t="str">
        <f t="shared" si="11"/>
        <v>内部装修</v>
      </c>
      <c r="R42" s="773" t="s">
        <v>17</v>
      </c>
      <c r="S42" s="774">
        <f t="shared" si="12"/>
        <v>100</v>
      </c>
      <c r="T42" s="773" t="s">
        <v>17</v>
      </c>
      <c r="U42" s="774">
        <f t="shared" si="13"/>
        <v>100</v>
      </c>
      <c r="V42" s="773" t="s">
        <v>17</v>
      </c>
      <c r="W42" s="774">
        <f t="shared" si="14"/>
        <v>100</v>
      </c>
      <c r="X42" s="1815"/>
      <c r="Y42" s="3232"/>
      <c r="Z42" s="1816" t="str">
        <f t="shared" si="15"/>
        <v>内部装修</v>
      </c>
      <c r="AA42" s="1813">
        <f t="shared" si="3"/>
        <v>1</v>
      </c>
      <c r="AB42" s="1813">
        <f t="shared" si="4"/>
        <v>1</v>
      </c>
      <c r="AC42" s="1813">
        <f t="shared" si="5"/>
        <v>1</v>
      </c>
    </row>
    <row r="43" spans="1:29" ht="15">
      <c r="A43" s="472"/>
      <c r="B43" s="422"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30"/>
      <c r="Q43" s="1812" t="str">
        <f t="shared" si="11"/>
        <v>内部装修维护情况</v>
      </c>
      <c r="R43" s="773" t="s">
        <v>17</v>
      </c>
      <c r="S43" s="774">
        <f t="shared" si="12"/>
        <v>100</v>
      </c>
      <c r="T43" s="773" t="s">
        <v>17</v>
      </c>
      <c r="U43" s="774">
        <f t="shared" si="13"/>
        <v>100</v>
      </c>
      <c r="V43" s="773" t="s">
        <v>17</v>
      </c>
      <c r="W43" s="774">
        <f t="shared" si="14"/>
        <v>100</v>
      </c>
      <c r="X43" s="1815"/>
      <c r="Y43" s="3232"/>
      <c r="Z43" s="1816" t="str">
        <f t="shared" si="15"/>
        <v>内部装修维护情况</v>
      </c>
      <c r="AA43" s="1813">
        <f t="shared" si="3"/>
        <v>1</v>
      </c>
      <c r="AB43" s="1813">
        <f t="shared" si="4"/>
        <v>1</v>
      </c>
      <c r="AC43" s="1813">
        <f t="shared" si="5"/>
        <v>1</v>
      </c>
    </row>
    <row r="44" spans="1:29" s="117" customFormat="1" ht="15">
      <c r="A44" s="473"/>
      <c r="B44" s="1388">
        <v>111</v>
      </c>
      <c r="C44" s="469">
        <v>1</v>
      </c>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1797">
        <f t="shared" si="11"/>
        <v>111</v>
      </c>
      <c r="R44" s="769" t="s">
        <v>17</v>
      </c>
      <c r="S44" s="770">
        <f t="shared" si="12"/>
        <v>100</v>
      </c>
      <c r="T44" s="769" t="s">
        <v>17</v>
      </c>
      <c r="U44" s="770">
        <f t="shared" si="13"/>
        <v>100</v>
      </c>
      <c r="V44" s="769" t="s">
        <v>17</v>
      </c>
      <c r="W44" s="770">
        <f t="shared" si="14"/>
        <v>100</v>
      </c>
      <c r="X44" s="771"/>
      <c r="Y44" s="3232"/>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1812">
        <f t="shared" si="11"/>
        <v>111</v>
      </c>
      <c r="R45" s="773" t="s">
        <v>17</v>
      </c>
      <c r="S45" s="774">
        <f t="shared" si="12"/>
        <v>100</v>
      </c>
      <c r="T45" s="773" t="s">
        <v>17</v>
      </c>
      <c r="U45" s="774">
        <f t="shared" si="13"/>
        <v>100</v>
      </c>
      <c r="V45" s="773" t="s">
        <v>17</v>
      </c>
      <c r="W45" s="774">
        <f t="shared" si="14"/>
        <v>100</v>
      </c>
      <c r="X45" s="1815"/>
      <c r="Y45" s="3232"/>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1812">
        <f t="shared" si="11"/>
        <v>111</v>
      </c>
      <c r="R46" s="773" t="s">
        <v>17</v>
      </c>
      <c r="S46" s="774">
        <f t="shared" si="12"/>
        <v>100</v>
      </c>
      <c r="T46" s="773" t="s">
        <v>17</v>
      </c>
      <c r="U46" s="774">
        <f t="shared" si="13"/>
        <v>100</v>
      </c>
      <c r="V46" s="773" t="s">
        <v>17</v>
      </c>
      <c r="W46" s="774">
        <f t="shared" si="14"/>
        <v>100</v>
      </c>
      <c r="X46" s="1815"/>
      <c r="Y46" s="3233"/>
      <c r="Z46" s="1816">
        <f t="shared" si="15"/>
        <v>111</v>
      </c>
      <c r="AA46" s="1813">
        <f t="shared" si="3"/>
        <v>1</v>
      </c>
      <c r="AB46" s="1813">
        <f t="shared" si="4"/>
        <v>1</v>
      </c>
      <c r="AC46" s="1813">
        <f t="shared" si="5"/>
        <v>1</v>
      </c>
    </row>
    <row r="47" spans="1:29" ht="15">
      <c r="A47" s="479" t="s">
        <v>2582</v>
      </c>
      <c r="B47" s="480"/>
      <c r="C47" s="1409" t="s">
        <v>1</v>
      </c>
      <c r="D47" s="1410"/>
      <c r="E47" s="1411">
        <f>ROUND(C44*Sheet1!C1,0)</f>
        <v>73293</v>
      </c>
      <c r="F47" s="1412"/>
      <c r="G47" s="1413">
        <f>ROUND(C44*Sheet1!C2,0)</f>
        <v>74444</v>
      </c>
      <c r="H47" s="1414"/>
      <c r="I47" s="1411">
        <f>ROUND(C44*Sheet1!C3,0)</f>
        <v>65789</v>
      </c>
      <c r="J47" s="1414"/>
      <c r="K47" s="782"/>
      <c r="L47" s="1145"/>
      <c r="M47" s="1146"/>
      <c r="N47" s="1133"/>
      <c r="O47" s="1146"/>
      <c r="P47" s="3225" t="str">
        <f>A47</f>
        <v>成交单价（元/平方米）</v>
      </c>
      <c r="Q47" s="3225"/>
      <c r="R47" s="3256">
        <f>E47</f>
        <v>73293</v>
      </c>
      <c r="S47" s="3256"/>
      <c r="T47" s="3256">
        <f>G47</f>
        <v>74444</v>
      </c>
      <c r="U47" s="3256"/>
      <c r="V47" s="3256">
        <f>I47</f>
        <v>65789</v>
      </c>
      <c r="W47" s="3256"/>
      <c r="X47" s="758"/>
      <c r="Y47" s="780"/>
      <c r="Z47" s="758"/>
      <c r="AA47" s="758"/>
      <c r="AB47" s="758"/>
      <c r="AC47" s="758"/>
    </row>
    <row r="48" spans="1:29" ht="15.75" thickBot="1">
      <c r="A48" s="486" t="s">
        <v>2674</v>
      </c>
      <c r="B48" s="487"/>
      <c r="C48" s="1415">
        <f>R49</f>
        <v>71426</v>
      </c>
      <c r="D48" s="1416"/>
      <c r="E48" s="1417">
        <f>R48</f>
        <v>72180</v>
      </c>
      <c r="F48" s="1417"/>
      <c r="G48" s="1415">
        <f>T48</f>
        <v>73314</v>
      </c>
      <c r="H48" s="1416"/>
      <c r="I48" s="1417">
        <f>V48</f>
        <v>68784</v>
      </c>
      <c r="J48" s="1416"/>
      <c r="K48" s="783"/>
      <c r="L48" s="1145"/>
      <c r="M48" s="1146"/>
      <c r="N48" s="1133"/>
      <c r="O48" s="1146"/>
      <c r="P48" s="3225" t="str">
        <f>A48</f>
        <v>比较价值（元/平方米）</v>
      </c>
      <c r="Q48" s="3225"/>
      <c r="R48" s="3226">
        <f>IF(F1="售价",ROUND(PRODUCT(R47,AA7:AA46),0),ROUND(PRODUCT(R47,AA7:AA46),1))</f>
        <v>72180</v>
      </c>
      <c r="S48" s="3226"/>
      <c r="T48" s="3226">
        <f>IF(F1="售价",ROUND(PRODUCT(T47,AB7:AB46),0),ROUND(PRODUCT(T47,AB7:AB46),1))</f>
        <v>73314</v>
      </c>
      <c r="U48" s="3226"/>
      <c r="V48" s="3226">
        <f>IF(F1="售价",ROUND(PRODUCT(V47,AC7:AC46),0),ROUND(PRODUCT(V47,AC7:AC46),1))</f>
        <v>68784</v>
      </c>
      <c r="W48" s="3226"/>
      <c r="X48" s="758"/>
      <c r="Y48" s="758"/>
      <c r="Z48" s="758"/>
      <c r="AA48" s="758"/>
      <c r="AB48" s="758"/>
      <c r="AC48" s="758"/>
    </row>
    <row r="49" spans="1:29" ht="15.75" thickBot="1">
      <c r="A49" s="492" t="s">
        <v>2675</v>
      </c>
      <c r="B49" s="493"/>
      <c r="C49" s="1419">
        <f>R49</f>
        <v>71426</v>
      </c>
      <c r="D49" s="1419"/>
      <c r="E49" s="1419"/>
      <c r="F49" s="1419"/>
      <c r="G49" s="1419"/>
      <c r="H49" s="1419"/>
      <c r="I49" s="1419"/>
      <c r="J49" s="1419"/>
      <c r="K49" s="784"/>
      <c r="L49" s="1145"/>
      <c r="M49" s="1146"/>
      <c r="N49" s="1133"/>
      <c r="O49" s="1146"/>
      <c r="P49" s="3222" t="str">
        <f>A49</f>
        <v>估价对象XX用房的比较价值（楼面单价，元/平方米）</v>
      </c>
      <c r="Q49" s="3223"/>
      <c r="R49" s="3224">
        <f>IF(F1="售价",ROUND(AVERAGE(R48:V48),0),ROUND(AVERAGE(R48:V48),1))</f>
        <v>71426</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2676</v>
      </c>
      <c r="D52" s="498"/>
      <c r="E52" s="499">
        <f>IF(E47&lt;E48,E48/E47-1,E47/E48-1)</f>
        <v>1.5419783873649173E-2</v>
      </c>
      <c r="F52" s="500" t="str">
        <f>IF(OR(E52&gt;=0.3,E52&lt;=-0.3),"超过30%","")</f>
        <v/>
      </c>
      <c r="G52" s="499">
        <f>IF(G47&lt;G48,G48/G47-1,G47/G48-1)</f>
        <v>1.5413154377063032E-2</v>
      </c>
      <c r="H52" s="500" t="str">
        <f>IF(OR(G52&gt;=0.3,G52&lt;=-0.3),"超过30%","")</f>
        <v/>
      </c>
      <c r="I52" s="499">
        <f>IF(I47&lt;I48,I48/I47-1,I47/I48-1)</f>
        <v>4.5524327775160023E-2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2677</v>
      </c>
      <c r="D53" s="501"/>
      <c r="E53" s="499">
        <f>IF(E48&lt;G48,G48/E48-1,E48/G48-1)</f>
        <v>1.5710723192019937E-2</v>
      </c>
      <c r="F53" s="500" t="str">
        <f>IF(OR(E53&gt;=0.2,E53&lt;=-0.2),"超过20%","")</f>
        <v/>
      </c>
      <c r="G53" s="499">
        <f>IF(G48&lt;I48,I48/G48-1,G48/I48-1)</f>
        <v>6.5858339148639145E-2</v>
      </c>
      <c r="H53" s="500" t="str">
        <f>IF(OR(G53&gt;=0.2,G53&lt;=-0.2),"超过20%","")</f>
        <v/>
      </c>
      <c r="I53" s="499">
        <f>IF(I48&lt;E48,E48/I48-1,I48/E48-1)</f>
        <v>4.9371946964410274E-2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2678</v>
      </c>
      <c r="D54" s="501"/>
      <c r="E54" s="499">
        <f>IF(E47&lt;G47,G47/E47-1,E47/G47-1)</f>
        <v>1.5704091795942343E-2</v>
      </c>
      <c r="F54" s="500" t="str">
        <f>IF(OR(E54&gt;=0.3,E54&lt;=-0.3),"超过30%","")</f>
        <v/>
      </c>
      <c r="G54" s="499">
        <f>IF(G47&lt;I47,I47/G47-1,G47/I47-1)</f>
        <v>0.13155694721001998</v>
      </c>
      <c r="H54" s="500" t="str">
        <f>IF(OR(G54&gt;=0.3,G54&lt;=-0.3),"超过30%","")</f>
        <v/>
      </c>
      <c r="I54" s="499">
        <f>IF(I47&lt;E47,E47/I47-1,I47/E47-1)</f>
        <v>0.11406162124367292</v>
      </c>
      <c r="J54" s="500" t="str">
        <f>IF(OR(I54&gt;=0.3,I54&lt;=-0.3),"超过30%","")</f>
        <v/>
      </c>
      <c r="K54" s="1150"/>
      <c r="L54" s="1151"/>
      <c r="M54" s="1147"/>
      <c r="N54" s="1147"/>
      <c r="O54" s="1147"/>
      <c r="P54" s="2670"/>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8" customFormat="1" ht="15">
      <c r="A58" s="505" t="s">
        <v>2553</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2657</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t="str">
        <f>C9</f>
        <v>商业</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5"/>
      <c r="O66" s="1155"/>
      <c r="P66" s="2634"/>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2660</v>
      </c>
      <c r="C82" s="659" t="s">
        <v>2680</v>
      </c>
      <c r="D82" s="659" t="s">
        <v>2681</v>
      </c>
      <c r="E82" s="659" t="s">
        <v>2682</v>
      </c>
      <c r="F82" s="659" t="s">
        <v>2683</v>
      </c>
      <c r="G82" s="659" t="s">
        <v>2684</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59"/>
      <c r="I83" s="659"/>
      <c r="J83" s="659"/>
      <c r="K83" s="659"/>
      <c r="L83" s="659"/>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2685</v>
      </c>
      <c r="C86" s="2954" t="s">
        <v>3129</v>
      </c>
      <c r="D86" s="2954" t="s">
        <v>3131</v>
      </c>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2568</v>
      </c>
      <c r="B100" s="528" t="s">
        <v>2686</v>
      </c>
      <c r="C100" s="2951" t="s">
        <v>3086</v>
      </c>
      <c r="D100" s="2951" t="s">
        <v>3087</v>
      </c>
      <c r="E100" s="2951" t="s">
        <v>3089</v>
      </c>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4"/>
      <c r="Q101" s="504"/>
    </row>
    <row r="102" spans="1:17" ht="15.75" thickTop="1">
      <c r="A102" s="534"/>
      <c r="B102" s="538" t="s">
        <v>2618</v>
      </c>
      <c r="C102" s="578" t="str">
        <f>C103&amp;"(含)"&amp;"-"&amp;D103</f>
        <v>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4"/>
      <c r="Q102" s="504"/>
    </row>
    <row r="103" spans="1:17" s="471" customFormat="1">
      <c r="A103" s="593"/>
      <c r="B103" s="594"/>
      <c r="C103" s="595">
        <v>0</v>
      </c>
      <c r="D103" s="595">
        <v>10000</v>
      </c>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2619</v>
      </c>
      <c r="C105" s="2954" t="s">
        <v>3094</v>
      </c>
      <c r="D105" s="2954" t="s">
        <v>3096</v>
      </c>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4"/>
      <c r="Q106" s="504"/>
    </row>
    <row r="107" spans="1:17" ht="15" thickTop="1">
      <c r="A107" s="599"/>
      <c r="B107" s="538" t="s">
        <v>2621</v>
      </c>
      <c r="C107" s="2954" t="s">
        <v>3097</v>
      </c>
      <c r="D107" s="2954" t="s">
        <v>3098</v>
      </c>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4"/>
      <c r="Q111" s="504"/>
    </row>
    <row r="112" spans="1:17" s="471" customFormat="1" ht="15" thickTop="1">
      <c r="A112" s="593"/>
      <c r="B112" s="538" t="s">
        <v>2623</v>
      </c>
      <c r="C112" s="2954" t="s">
        <v>3099</v>
      </c>
      <c r="D112" s="2954" t="s">
        <v>3101</v>
      </c>
      <c r="E112" s="2954" t="s">
        <v>3102</v>
      </c>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5"/>
      <c r="Q113" s="559"/>
    </row>
    <row r="114" spans="1:17" ht="15" thickTop="1">
      <c r="A114" s="599"/>
      <c r="B114" s="538" t="s">
        <v>2687</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2688</v>
      </c>
      <c r="C116" s="2999" t="s">
        <v>3120</v>
      </c>
      <c r="D116" s="2999">
        <v>4.5</v>
      </c>
      <c r="E116" s="2999">
        <v>4</v>
      </c>
      <c r="F116" s="2999" t="s">
        <v>3121</v>
      </c>
      <c r="G116" s="554"/>
      <c r="H116" s="583"/>
      <c r="I116" s="583"/>
      <c r="J116" s="583"/>
      <c r="K116" s="584"/>
      <c r="L116" s="585"/>
      <c r="M116" s="586"/>
      <c r="N116" s="1154"/>
      <c r="O116" s="1154"/>
      <c r="P116" s="263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4"/>
      <c r="Q117" s="504"/>
    </row>
    <row r="118" spans="1:17" ht="15" thickTop="1">
      <c r="A118" s="599"/>
      <c r="B118" s="538" t="s">
        <v>2689</v>
      </c>
      <c r="C118" s="2957">
        <f>C40</f>
        <v>2542.7199999999998</v>
      </c>
      <c r="D118" s="626">
        <f>E40</f>
        <v>72</v>
      </c>
      <c r="E118" s="626">
        <f>G40</f>
        <v>45</v>
      </c>
      <c r="F118" s="626">
        <f>I40</f>
        <v>76</v>
      </c>
      <c r="G118" s="626"/>
      <c r="H118" s="555"/>
      <c r="I118" s="555"/>
      <c r="J118" s="555"/>
      <c r="K118" s="555"/>
      <c r="L118" s="556"/>
      <c r="M118" s="557"/>
      <c r="N118" s="1154"/>
      <c r="O118" s="1154"/>
      <c r="P118" s="2634"/>
      <c r="Q118" s="504"/>
    </row>
    <row r="119" spans="1:17" ht="15.75" thickBot="1">
      <c r="A119" s="534"/>
      <c r="B119" s="543"/>
      <c r="C119" s="560">
        <v>100</v>
      </c>
      <c r="D119" s="536">
        <v>105</v>
      </c>
      <c r="E119" s="536">
        <v>105</v>
      </c>
      <c r="F119" s="536">
        <v>105</v>
      </c>
      <c r="G119" s="536"/>
      <c r="H119" s="536"/>
      <c r="I119" s="536"/>
      <c r="J119" s="536"/>
      <c r="K119" s="536"/>
      <c r="L119" s="536"/>
      <c r="M119" s="537"/>
      <c r="N119" s="1155"/>
      <c r="O119" s="1155"/>
      <c r="P119" s="2634"/>
      <c r="Q119" s="504"/>
    </row>
    <row r="120" spans="1:17" s="471" customFormat="1" ht="15" thickTop="1">
      <c r="A120" s="593"/>
      <c r="B120" s="538" t="s">
        <v>2690</v>
      </c>
      <c r="C120" s="2996" t="s">
        <v>3133</v>
      </c>
      <c r="D120" s="2996" t="s">
        <v>3134</v>
      </c>
      <c r="E120" s="2996" t="s">
        <v>3135</v>
      </c>
      <c r="F120" s="2996" t="s">
        <v>3136</v>
      </c>
      <c r="G120" s="2995" t="s">
        <v>3137</v>
      </c>
      <c r="H120" s="555"/>
      <c r="I120" s="555"/>
      <c r="J120" s="555"/>
      <c r="K120" s="555"/>
      <c r="L120" s="556"/>
      <c r="M120" s="557"/>
      <c r="N120" s="1156"/>
      <c r="O120" s="1156"/>
      <c r="P120" s="263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3" t="s">
        <v>2691</v>
      </c>
      <c r="C1" s="1622" t="s">
        <v>2535</v>
      </c>
      <c r="D1" s="1623"/>
      <c r="E1" s="1632"/>
      <c r="F1" s="2588"/>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IF(C2="——",ROUND(C50*D3/10000,0),ROUND(C50*D3/10000,0)-D2)</f>
        <v>#DIV/0!</v>
      </c>
      <c r="C2" s="2590"/>
      <c r="D2" s="1367"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IF(C2="——",C50,ROUND(B2*10000/D3,0))</f>
        <v>#DIV/0!</v>
      </c>
      <c r="C3" s="400" t="s">
        <v>2649</v>
      </c>
      <c r="D3" s="399">
        <f>IF(D1="",'数据-汇总表'!E3,SUMIF('数据-汇总表'!$C19:$C33,D1,'数据-汇总表'!$E19:$E33))</f>
        <v>6779.85</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2650</v>
      </c>
      <c r="B4" s="402"/>
      <c r="C4" s="3240" t="s">
        <v>2651</v>
      </c>
      <c r="D4" s="3241"/>
      <c r="E4" s="3242" t="s">
        <v>2652</v>
      </c>
      <c r="F4" s="3243"/>
      <c r="G4" s="3240" t="s">
        <v>2653</v>
      </c>
      <c r="H4" s="3241"/>
      <c r="I4" s="3240" t="s">
        <v>2654</v>
      </c>
      <c r="J4" s="3241"/>
      <c r="K4" s="610" t="s">
        <v>2655</v>
      </c>
      <c r="L4" s="1132"/>
      <c r="M4" s="1133"/>
      <c r="N4" s="1133"/>
      <c r="O4" s="1133"/>
      <c r="P4" s="3276" t="s">
        <v>2656</v>
      </c>
      <c r="Q4" s="3277"/>
      <c r="R4" s="3280" t="s">
        <v>2652</v>
      </c>
      <c r="S4" s="3281"/>
      <c r="T4" s="3280" t="s">
        <v>2653</v>
      </c>
      <c r="U4" s="3281"/>
      <c r="V4" s="3282" t="s">
        <v>2654</v>
      </c>
      <c r="W4" s="3282"/>
      <c r="X4" s="2674"/>
      <c r="Y4" s="3280" t="s">
        <v>2656</v>
      </c>
      <c r="Z4" s="3281"/>
      <c r="AA4" s="3284" t="s">
        <v>2652</v>
      </c>
      <c r="AB4" s="3284" t="s">
        <v>2653</v>
      </c>
      <c r="AC4" s="3273" t="s">
        <v>2654</v>
      </c>
    </row>
    <row r="5" spans="1:29" ht="15">
      <c r="A5" s="404"/>
      <c r="B5" s="405"/>
      <c r="C5" s="3259" t="s">
        <v>2547</v>
      </c>
      <c r="D5" s="3260"/>
      <c r="E5" s="3266" t="s">
        <v>2548</v>
      </c>
      <c r="F5" s="3267"/>
      <c r="G5" s="3259" t="s">
        <v>2549</v>
      </c>
      <c r="H5" s="3260"/>
      <c r="I5" s="3259" t="s">
        <v>2550</v>
      </c>
      <c r="J5" s="3260"/>
      <c r="K5" s="610"/>
      <c r="L5" s="1132"/>
      <c r="M5" s="1133"/>
      <c r="N5" s="1133"/>
      <c r="O5" s="1133"/>
      <c r="P5" s="3278"/>
      <c r="Q5" s="3247"/>
      <c r="R5" s="3252"/>
      <c r="S5" s="3253"/>
      <c r="T5" s="3252"/>
      <c r="U5" s="3253"/>
      <c r="V5" s="3256"/>
      <c r="W5" s="3256"/>
      <c r="X5" s="1815"/>
      <c r="Y5" s="3252"/>
      <c r="Z5" s="3253"/>
      <c r="AA5" s="3238"/>
      <c r="AB5" s="3238"/>
      <c r="AC5" s="3274"/>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79"/>
      <c r="Q6" s="3249"/>
      <c r="R6" s="3252"/>
      <c r="S6" s="3253"/>
      <c r="T6" s="3254"/>
      <c r="U6" s="3255"/>
      <c r="V6" s="3256"/>
      <c r="W6" s="3256"/>
      <c r="X6" s="1815"/>
      <c r="Y6" s="3254"/>
      <c r="Z6" s="3255"/>
      <c r="AA6" s="3239"/>
      <c r="AB6" s="3239"/>
      <c r="AC6" s="3275"/>
    </row>
    <row r="7" spans="1:29" s="117" customFormat="1" ht="15.75" thickBot="1">
      <c r="A7" s="408" t="s">
        <v>2553</v>
      </c>
      <c r="B7" s="409"/>
      <c r="C7" s="410">
        <f>'数据-取费表'!B2</f>
        <v>43172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3" t="s">
        <v>2554</v>
      </c>
      <c r="Q7" s="3263"/>
      <c r="R7" s="769" t="s">
        <v>17</v>
      </c>
      <c r="S7" s="770">
        <f t="shared" ref="S7:S15" si="0">F7</f>
        <v>0</v>
      </c>
      <c r="T7" s="769" t="s">
        <v>17</v>
      </c>
      <c r="U7" s="770">
        <f t="shared" ref="U7:U15" si="1">H7</f>
        <v>0</v>
      </c>
      <c r="V7" s="769" t="s">
        <v>17</v>
      </c>
      <c r="W7" s="770">
        <f t="shared" ref="W7:W15" si="2">J7</f>
        <v>0</v>
      </c>
      <c r="X7" s="771"/>
      <c r="Y7" s="3261" t="s">
        <v>2554</v>
      </c>
      <c r="Z7" s="3262"/>
      <c r="AA7" s="772" t="e">
        <f>D7/F7</f>
        <v>#DIV/0!</v>
      </c>
      <c r="AB7" s="772" t="e">
        <f>D7/H7</f>
        <v>#DIV/0!</v>
      </c>
      <c r="AC7" s="2675"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3" t="s">
        <v>2557</v>
      </c>
      <c r="Q8" s="3262"/>
      <c r="R8" s="769" t="s">
        <v>17</v>
      </c>
      <c r="S8" s="770">
        <f t="shared" si="0"/>
        <v>0</v>
      </c>
      <c r="T8" s="769" t="s">
        <v>17</v>
      </c>
      <c r="U8" s="770">
        <f t="shared" si="1"/>
        <v>0</v>
      </c>
      <c r="V8" s="769" t="s">
        <v>17</v>
      </c>
      <c r="W8" s="770">
        <f t="shared" si="2"/>
        <v>0</v>
      </c>
      <c r="X8" s="771"/>
      <c r="Y8" s="3261" t="s">
        <v>2557</v>
      </c>
      <c r="Z8" s="3262"/>
      <c r="AA8" s="772" t="e">
        <f t="shared" ref="AA8:AA47" si="3">D8/F8</f>
        <v>#DIV/0!</v>
      </c>
      <c r="AB8" s="772" t="e">
        <f t="shared" ref="AB8:AB47" si="4">D8/H8</f>
        <v>#DIV/0!</v>
      </c>
      <c r="AC8" s="2675"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6" t="s">
        <v>2560</v>
      </c>
      <c r="Q9" s="1797" t="str">
        <f t="shared" ref="Q9:Q15" si="6">B9</f>
        <v>用途</v>
      </c>
      <c r="R9" s="769" t="s">
        <v>17</v>
      </c>
      <c r="S9" s="770">
        <f t="shared" si="0"/>
        <v>100</v>
      </c>
      <c r="T9" s="769" t="s">
        <v>17</v>
      </c>
      <c r="U9" s="770">
        <f t="shared" si="1"/>
        <v>100</v>
      </c>
      <c r="V9" s="769" t="s">
        <v>17</v>
      </c>
      <c r="W9" s="770">
        <f t="shared" si="2"/>
        <v>100</v>
      </c>
      <c r="X9" s="771"/>
      <c r="Y9" s="3046" t="s">
        <v>2561</v>
      </c>
      <c r="Z9" s="55" t="str">
        <f t="shared" ref="Z9:Z15" si="7">Q9</f>
        <v>用途</v>
      </c>
      <c r="AA9" s="772">
        <f t="shared" si="3"/>
        <v>1</v>
      </c>
      <c r="AB9" s="772">
        <f t="shared" si="4"/>
        <v>1</v>
      </c>
      <c r="AC9" s="2675">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6"/>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75">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6"/>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236"/>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236"/>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75">
        <f t="shared" si="5"/>
        <v>1</v>
      </c>
    </row>
    <row r="14" spans="1:29" ht="15.75" thickBot="1">
      <c r="A14" s="436"/>
      <c r="B14" s="2606">
        <v>111</v>
      </c>
      <c r="C14" s="437"/>
      <c r="D14" s="438">
        <v>100</v>
      </c>
      <c r="E14" s="627"/>
      <c r="F14" s="438">
        <f>SUMIF(75:75,E14,76:76)-SUMIF(75:75,C14,76:76)+100</f>
        <v>100</v>
      </c>
      <c r="G14" s="2676"/>
      <c r="H14" s="438">
        <f>SUMIF(75:75,G14,76:76)-SUMIF(75:75,C14,76:76)+100</f>
        <v>100</v>
      </c>
      <c r="I14" s="432"/>
      <c r="J14" s="438">
        <f>SUMIF(75:75,I14,76:76)-SUMIF(75:75,C14,76:76)+100</f>
        <v>100</v>
      </c>
      <c r="K14" s="613"/>
      <c r="L14" s="1142"/>
      <c r="M14" s="1133"/>
      <c r="N14" s="1133"/>
      <c r="O14" s="1133"/>
      <c r="P14" s="3236"/>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75">
        <f t="shared" si="5"/>
        <v>1</v>
      </c>
    </row>
    <row r="15" spans="1:29" ht="71.25">
      <c r="A15" s="440" t="s">
        <v>2564</v>
      </c>
      <c r="B15" s="628" t="s">
        <v>2692</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4" t="s">
        <v>2565</v>
      </c>
      <c r="Q15" s="1812" t="str">
        <f t="shared" si="6"/>
        <v>办公集聚程度</v>
      </c>
      <c r="R15" s="773" t="s">
        <v>17</v>
      </c>
      <c r="S15" s="774">
        <f t="shared" si="0"/>
        <v>100</v>
      </c>
      <c r="T15" s="773" t="s">
        <v>17</v>
      </c>
      <c r="U15" s="774">
        <f t="shared" si="1"/>
        <v>100</v>
      </c>
      <c r="V15" s="773" t="s">
        <v>17</v>
      </c>
      <c r="W15" s="774">
        <f t="shared" si="2"/>
        <v>100</v>
      </c>
      <c r="X15" s="1815"/>
      <c r="Y15" s="3227" t="s">
        <v>2565</v>
      </c>
      <c r="Z15" s="1816" t="str">
        <f t="shared" si="7"/>
        <v>办公集聚程度</v>
      </c>
      <c r="AA15" s="1813">
        <f t="shared" si="3"/>
        <v>1</v>
      </c>
      <c r="AB15" s="1813">
        <f t="shared" si="4"/>
        <v>1</v>
      </c>
      <c r="AC15" s="2678">
        <f t="shared" si="5"/>
        <v>1</v>
      </c>
    </row>
    <row r="16" spans="1:29" ht="15">
      <c r="A16" s="428"/>
      <c r="B16" s="629"/>
      <c r="C16" s="2615"/>
      <c r="D16" s="448"/>
      <c r="E16" s="447"/>
      <c r="F16" s="448"/>
      <c r="G16" s="2615"/>
      <c r="H16" s="450"/>
      <c r="I16" s="447"/>
      <c r="J16" s="448"/>
      <c r="K16" s="615"/>
      <c r="L16" s="1142"/>
      <c r="M16" s="1133"/>
      <c r="N16" s="1133"/>
      <c r="O16" s="1133"/>
      <c r="P16" s="3235"/>
      <c r="Q16" s="1812"/>
      <c r="R16" s="773"/>
      <c r="S16" s="774"/>
      <c r="T16" s="773"/>
      <c r="U16" s="774"/>
      <c r="V16" s="773"/>
      <c r="W16" s="774"/>
      <c r="X16" s="1815"/>
      <c r="Y16" s="3228"/>
      <c r="Z16" s="1816"/>
      <c r="AA16" s="1813">
        <v>1</v>
      </c>
      <c r="AB16" s="1813">
        <v>1</v>
      </c>
      <c r="AC16" s="2678">
        <v>1</v>
      </c>
    </row>
    <row r="17" spans="1:29" ht="71.25">
      <c r="A17" s="428"/>
      <c r="B17" s="630" t="s">
        <v>2101</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5"/>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2678">
        <f t="shared" si="5"/>
        <v>1</v>
      </c>
    </row>
    <row r="18" spans="1:29" ht="15">
      <c r="A18" s="428"/>
      <c r="B18" s="631"/>
      <c r="C18" s="2680"/>
      <c r="D18" s="450"/>
      <c r="E18" s="2613"/>
      <c r="F18" s="450"/>
      <c r="G18" s="2614"/>
      <c r="H18" s="448"/>
      <c r="I18" s="2614"/>
      <c r="J18" s="448"/>
      <c r="K18" s="615"/>
      <c r="L18" s="1142"/>
      <c r="M18" s="1133"/>
      <c r="N18" s="1133"/>
      <c r="O18" s="1133"/>
      <c r="P18" s="3235"/>
      <c r="Q18" s="1812"/>
      <c r="R18" s="773"/>
      <c r="S18" s="774"/>
      <c r="T18" s="773"/>
      <c r="U18" s="774"/>
      <c r="V18" s="773"/>
      <c r="W18" s="774"/>
      <c r="X18" s="1815"/>
      <c r="Y18" s="3228"/>
      <c r="Z18" s="1816"/>
      <c r="AA18" s="1813">
        <v>1</v>
      </c>
      <c r="AB18" s="1813">
        <v>1</v>
      </c>
      <c r="AC18" s="2678">
        <v>1</v>
      </c>
    </row>
    <row r="19" spans="1:29" ht="42.75">
      <c r="A19" s="428"/>
      <c r="B19" s="630" t="s">
        <v>2693</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5"/>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2678">
        <f t="shared" si="5"/>
        <v>1</v>
      </c>
    </row>
    <row r="20" spans="1:29" ht="15">
      <c r="A20" s="428"/>
      <c r="B20" s="631"/>
      <c r="C20" s="2615"/>
      <c r="D20" s="448"/>
      <c r="E20" s="2608"/>
      <c r="F20" s="448"/>
      <c r="G20" s="2609"/>
      <c r="H20" s="448"/>
      <c r="I20" s="2609"/>
      <c r="J20" s="448"/>
      <c r="K20" s="615"/>
      <c r="L20" s="1142"/>
      <c r="M20" s="1133"/>
      <c r="N20" s="1133"/>
      <c r="O20" s="1133"/>
      <c r="P20" s="3235"/>
      <c r="Q20" s="1812"/>
      <c r="R20" s="773"/>
      <c r="S20" s="774"/>
      <c r="T20" s="773"/>
      <c r="U20" s="774"/>
      <c r="V20" s="773"/>
      <c r="W20" s="774"/>
      <c r="X20" s="1815"/>
      <c r="Y20" s="3228"/>
      <c r="Z20" s="1816"/>
      <c r="AA20" s="1813">
        <v>1</v>
      </c>
      <c r="AB20" s="1813">
        <v>1</v>
      </c>
      <c r="AC20" s="2678">
        <v>1</v>
      </c>
    </row>
    <row r="21" spans="1:29" ht="28.5">
      <c r="A21" s="428"/>
      <c r="B21" s="632" t="s">
        <v>2694</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5"/>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2678">
        <f t="shared" ref="AC21" si="10">D21/J21</f>
        <v>1</v>
      </c>
    </row>
    <row r="22" spans="1:29" ht="15">
      <c r="A22" s="428"/>
      <c r="B22" s="632"/>
      <c r="C22" s="2680"/>
      <c r="D22" s="448"/>
      <c r="E22" s="447"/>
      <c r="F22" s="448"/>
      <c r="G22" s="2615"/>
      <c r="H22" s="448"/>
      <c r="I22" s="2615"/>
      <c r="J22" s="448"/>
      <c r="K22" s="1385"/>
      <c r="L22" s="1142"/>
      <c r="M22" s="1133"/>
      <c r="N22" s="1133"/>
      <c r="O22" s="1133"/>
      <c r="P22" s="3235"/>
      <c r="Q22" s="1812"/>
      <c r="R22" s="773"/>
      <c r="S22" s="774"/>
      <c r="T22" s="773"/>
      <c r="U22" s="774"/>
      <c r="V22" s="773"/>
      <c r="W22" s="774"/>
      <c r="X22" s="1815"/>
      <c r="Y22" s="3228"/>
      <c r="Z22" s="1816"/>
      <c r="AA22" s="1813">
        <v>1</v>
      </c>
      <c r="AB22" s="1813">
        <v>1</v>
      </c>
      <c r="AC22" s="2678">
        <v>1</v>
      </c>
    </row>
    <row r="23" spans="1:29" ht="42.75">
      <c r="A23" s="428"/>
      <c r="B23" s="630" t="s">
        <v>2695</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5"/>
      <c r="Q23" s="1812" t="str">
        <f>B23</f>
        <v>环境质量</v>
      </c>
      <c r="R23" s="773" t="s">
        <v>17</v>
      </c>
      <c r="S23" s="774">
        <f>F23</f>
        <v>100</v>
      </c>
      <c r="T23" s="773" t="s">
        <v>17</v>
      </c>
      <c r="U23" s="774">
        <f>H23</f>
        <v>100</v>
      </c>
      <c r="V23" s="773" t="s">
        <v>17</v>
      </c>
      <c r="W23" s="774">
        <f>J23</f>
        <v>100</v>
      </c>
      <c r="X23" s="1815"/>
      <c r="Y23" s="3228"/>
      <c r="Z23" s="1816" t="str">
        <f>Q23</f>
        <v>环境质量</v>
      </c>
      <c r="AA23" s="1813">
        <f t="shared" si="3"/>
        <v>1</v>
      </c>
      <c r="AB23" s="1813">
        <f t="shared" si="4"/>
        <v>1</v>
      </c>
      <c r="AC23" s="2678">
        <f t="shared" si="5"/>
        <v>1</v>
      </c>
    </row>
    <row r="24" spans="1:29" ht="15">
      <c r="A24" s="428"/>
      <c r="B24" s="632"/>
      <c r="C24" s="2615"/>
      <c r="D24" s="448"/>
      <c r="E24" s="2608"/>
      <c r="F24" s="448"/>
      <c r="G24" s="2609"/>
      <c r="H24" s="448"/>
      <c r="I24" s="2609"/>
      <c r="J24" s="448"/>
      <c r="K24" s="615"/>
      <c r="L24" s="1142"/>
      <c r="M24" s="1133"/>
      <c r="N24" s="1133"/>
      <c r="O24" s="1133"/>
      <c r="P24" s="3235"/>
      <c r="Q24" s="1812"/>
      <c r="R24" s="773"/>
      <c r="S24" s="774"/>
      <c r="T24" s="773"/>
      <c r="U24" s="774"/>
      <c r="V24" s="773"/>
      <c r="W24" s="774"/>
      <c r="X24" s="1815"/>
      <c r="Y24" s="3228"/>
      <c r="Z24" s="1816"/>
      <c r="AA24" s="1813">
        <v>1</v>
      </c>
      <c r="AB24" s="1813">
        <v>1</v>
      </c>
      <c r="AC24" s="2678">
        <v>1</v>
      </c>
    </row>
    <row r="25" spans="1:29" ht="27">
      <c r="A25" s="404"/>
      <c r="B25" s="630" t="s">
        <v>2696</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235"/>
      <c r="Q25" s="1812" t="str">
        <f>B25</f>
        <v>毗邻道路的类型与等级</v>
      </c>
      <c r="R25" s="773" t="s">
        <v>17</v>
      </c>
      <c r="S25" s="774">
        <f>F25</f>
        <v>100</v>
      </c>
      <c r="T25" s="773" t="s">
        <v>17</v>
      </c>
      <c r="U25" s="774">
        <f>H25</f>
        <v>100</v>
      </c>
      <c r="V25" s="773" t="s">
        <v>17</v>
      </c>
      <c r="W25" s="774">
        <f>J25</f>
        <v>100</v>
      </c>
      <c r="X25" s="1815"/>
      <c r="Y25" s="3228"/>
      <c r="Z25" s="1816" t="str">
        <f>Q25</f>
        <v>毗邻道路的类型与等级</v>
      </c>
      <c r="AA25" s="1813">
        <f t="shared" si="3"/>
        <v>1</v>
      </c>
      <c r="AB25" s="1813">
        <f t="shared" si="4"/>
        <v>1</v>
      </c>
      <c r="AC25" s="2678">
        <f t="shared" si="5"/>
        <v>1</v>
      </c>
    </row>
    <row r="26" spans="1:29" ht="15">
      <c r="A26" s="404"/>
      <c r="B26" s="631"/>
      <c r="C26" s="633"/>
      <c r="D26" s="435"/>
      <c r="E26" s="616"/>
      <c r="F26" s="435"/>
      <c r="G26" s="633"/>
      <c r="H26" s="435"/>
      <c r="I26" s="616"/>
      <c r="J26" s="435"/>
      <c r="K26" s="615"/>
      <c r="L26" s="1142"/>
      <c r="M26" s="1133"/>
      <c r="N26" s="1133"/>
      <c r="O26" s="1133"/>
      <c r="P26" s="3235"/>
      <c r="Q26" s="1812"/>
      <c r="R26" s="773"/>
      <c r="S26" s="774"/>
      <c r="T26" s="773"/>
      <c r="U26" s="774"/>
      <c r="V26" s="773"/>
      <c r="W26" s="774"/>
      <c r="X26" s="1815"/>
      <c r="Y26" s="3228"/>
      <c r="Z26" s="1816"/>
      <c r="AA26" s="1813">
        <v>1</v>
      </c>
      <c r="AB26" s="1813">
        <v>1</v>
      </c>
      <c r="AC26" s="2678">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35"/>
      <c r="Q27" s="1812" t="str">
        <f t="shared" ref="Q27:Q47" si="11">B27</f>
        <v>楼层</v>
      </c>
      <c r="R27" s="773" t="s">
        <v>17</v>
      </c>
      <c r="S27" s="774">
        <f>F27</f>
        <v>100</v>
      </c>
      <c r="T27" s="773" t="s">
        <v>17</v>
      </c>
      <c r="U27" s="774">
        <f>H27</f>
        <v>100</v>
      </c>
      <c r="V27" s="773" t="s">
        <v>17</v>
      </c>
      <c r="W27" s="774">
        <f>J27</f>
        <v>100</v>
      </c>
      <c r="X27" s="1815"/>
      <c r="Y27" s="3228"/>
      <c r="Z27" s="1816" t="str">
        <f>Q27</f>
        <v>楼层</v>
      </c>
      <c r="AA27" s="1813">
        <f t="shared" si="3"/>
        <v>1</v>
      </c>
      <c r="AB27" s="1813">
        <f t="shared" si="4"/>
        <v>1</v>
      </c>
      <c r="AC27" s="2678">
        <f t="shared" si="5"/>
        <v>1</v>
      </c>
    </row>
    <row r="28" spans="1:29" s="117" customFormat="1" ht="15">
      <c r="A28" s="431"/>
      <c r="B28" s="630" t="s">
        <v>2697</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235"/>
      <c r="Q28" s="1797" t="str">
        <f t="shared" si="11"/>
        <v>朝向</v>
      </c>
      <c r="R28" s="769" t="s">
        <v>17</v>
      </c>
      <c r="S28" s="770">
        <f>F28</f>
        <v>100</v>
      </c>
      <c r="T28" s="769" t="s">
        <v>17</v>
      </c>
      <c r="U28" s="770">
        <f>H28</f>
        <v>100</v>
      </c>
      <c r="V28" s="769" t="s">
        <v>17</v>
      </c>
      <c r="W28" s="770">
        <f>J28</f>
        <v>100</v>
      </c>
      <c r="X28" s="771"/>
      <c r="Y28" s="3228"/>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235"/>
      <c r="Q29" s="1812">
        <f t="shared" si="11"/>
        <v>111</v>
      </c>
      <c r="R29" s="773" t="s">
        <v>17</v>
      </c>
      <c r="S29" s="774">
        <f t="shared" ref="S29:S47" si="12">F29</f>
        <v>100</v>
      </c>
      <c r="T29" s="773" t="s">
        <v>17</v>
      </c>
      <c r="U29" s="774">
        <f t="shared" ref="U29:U47" si="13">H29</f>
        <v>100</v>
      </c>
      <c r="V29" s="773" t="s">
        <v>17</v>
      </c>
      <c r="W29" s="774">
        <f t="shared" ref="W29:W47" si="14">J29</f>
        <v>100</v>
      </c>
      <c r="X29" s="1815"/>
      <c r="Y29" s="3228"/>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235"/>
      <c r="Q30" s="1812">
        <f t="shared" si="11"/>
        <v>111</v>
      </c>
      <c r="R30" s="773" t="s">
        <v>17</v>
      </c>
      <c r="S30" s="774">
        <f t="shared" si="12"/>
        <v>100</v>
      </c>
      <c r="T30" s="773" t="s">
        <v>17</v>
      </c>
      <c r="U30" s="774">
        <f t="shared" si="13"/>
        <v>100</v>
      </c>
      <c r="V30" s="773" t="s">
        <v>17</v>
      </c>
      <c r="W30" s="774">
        <f t="shared" si="14"/>
        <v>100</v>
      </c>
      <c r="X30" s="1815"/>
      <c r="Y30" s="3228"/>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235"/>
      <c r="Q31" s="1812">
        <f t="shared" si="11"/>
        <v>111</v>
      </c>
      <c r="R31" s="773" t="s">
        <v>17</v>
      </c>
      <c r="S31" s="774">
        <f t="shared" si="12"/>
        <v>100</v>
      </c>
      <c r="T31" s="773" t="s">
        <v>17</v>
      </c>
      <c r="U31" s="774">
        <f t="shared" si="13"/>
        <v>100</v>
      </c>
      <c r="V31" s="773" t="s">
        <v>17</v>
      </c>
      <c r="W31" s="774">
        <f t="shared" si="14"/>
        <v>100</v>
      </c>
      <c r="X31" s="1815"/>
      <c r="Y31" s="3228"/>
      <c r="Z31" s="1816">
        <f t="shared" si="15"/>
        <v>111</v>
      </c>
      <c r="AA31" s="1813">
        <f t="shared" si="3"/>
        <v>1</v>
      </c>
      <c r="AB31" s="1813">
        <f t="shared" si="4"/>
        <v>1</v>
      </c>
      <c r="AC31" s="2678">
        <f t="shared" si="5"/>
        <v>1</v>
      </c>
    </row>
    <row r="32" spans="1:29" ht="15.75" thickBot="1">
      <c r="A32" s="436"/>
      <c r="B32" s="634">
        <v>111</v>
      </c>
      <c r="C32" s="2620"/>
      <c r="D32" s="438">
        <v>100</v>
      </c>
      <c r="E32" s="627"/>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235"/>
      <c r="Q32" s="1812">
        <f t="shared" si="11"/>
        <v>111</v>
      </c>
      <c r="R32" s="773" t="s">
        <v>17</v>
      </c>
      <c r="S32" s="774">
        <f t="shared" si="12"/>
        <v>100</v>
      </c>
      <c r="T32" s="773" t="s">
        <v>17</v>
      </c>
      <c r="U32" s="774">
        <f t="shared" si="13"/>
        <v>100</v>
      </c>
      <c r="V32" s="773" t="s">
        <v>17</v>
      </c>
      <c r="W32" s="774">
        <f t="shared" si="14"/>
        <v>100</v>
      </c>
      <c r="X32" s="1815"/>
      <c r="Y32" s="3228"/>
      <c r="Z32" s="1816">
        <f t="shared" si="15"/>
        <v>111</v>
      </c>
      <c r="AA32" s="1813">
        <f t="shared" si="3"/>
        <v>1</v>
      </c>
      <c r="AB32" s="1813">
        <f t="shared" si="4"/>
        <v>1</v>
      </c>
      <c r="AC32" s="2678">
        <f t="shared" si="5"/>
        <v>1</v>
      </c>
    </row>
    <row r="33" spans="1:29" ht="15">
      <c r="A33" s="440" t="s">
        <v>2568</v>
      </c>
      <c r="B33" s="71" t="s">
        <v>2698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229" t="s">
        <v>2570</v>
      </c>
      <c r="Q33" s="1812" t="str">
        <f t="shared" si="11"/>
        <v>建筑类型</v>
      </c>
      <c r="R33" s="773" t="s">
        <v>17</v>
      </c>
      <c r="S33" s="774">
        <f t="shared" si="12"/>
        <v>100</v>
      </c>
      <c r="T33" s="773" t="s">
        <v>17</v>
      </c>
      <c r="U33" s="774">
        <f t="shared" si="13"/>
        <v>100</v>
      </c>
      <c r="V33" s="773" t="s">
        <v>17</v>
      </c>
      <c r="W33" s="774">
        <f t="shared" si="14"/>
        <v>100</v>
      </c>
      <c r="X33" s="1815"/>
      <c r="Y33" s="3232" t="s">
        <v>2570</v>
      </c>
      <c r="Z33" s="1816" t="str">
        <f t="shared" si="15"/>
        <v>建筑类型</v>
      </c>
      <c r="AA33" s="1813">
        <f t="shared" si="3"/>
        <v>1</v>
      </c>
      <c r="AB33" s="1813">
        <f t="shared" si="4"/>
        <v>1</v>
      </c>
      <c r="AC33" s="2678">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0"/>
      <c r="Q34" s="775" t="str">
        <f t="shared" si="11"/>
        <v>项目建筑规模</v>
      </c>
      <c r="R34" s="776" t="s">
        <v>17</v>
      </c>
      <c r="S34" s="777" t="e">
        <f t="shared" si="12"/>
        <v>#N/A</v>
      </c>
      <c r="T34" s="776" t="s">
        <v>17</v>
      </c>
      <c r="U34" s="777" t="e">
        <f t="shared" si="13"/>
        <v>#N/A</v>
      </c>
      <c r="V34" s="776" t="s">
        <v>17</v>
      </c>
      <c r="W34" s="777" t="e">
        <f t="shared" si="14"/>
        <v>#N/A</v>
      </c>
      <c r="X34" s="778"/>
      <c r="Y34" s="3232"/>
      <c r="Z34" s="779" t="str">
        <f t="shared" si="15"/>
        <v>项目建筑规模</v>
      </c>
      <c r="AA34" s="1813" t="e">
        <f t="shared" si="3"/>
        <v>#N/A</v>
      </c>
      <c r="AB34" s="1813" t="e">
        <f t="shared" si="4"/>
        <v>#N/A</v>
      </c>
      <c r="AC34" s="2678"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0"/>
      <c r="Q35" s="1812" t="str">
        <f t="shared" si="11"/>
        <v>建筑结构</v>
      </c>
      <c r="R35" s="773" t="s">
        <v>17</v>
      </c>
      <c r="S35" s="774">
        <f t="shared" si="12"/>
        <v>100</v>
      </c>
      <c r="T35" s="773" t="s">
        <v>17</v>
      </c>
      <c r="U35" s="774">
        <f t="shared" si="13"/>
        <v>100</v>
      </c>
      <c r="V35" s="773" t="s">
        <v>17</v>
      </c>
      <c r="W35" s="774">
        <f t="shared" si="14"/>
        <v>100</v>
      </c>
      <c r="X35" s="1815"/>
      <c r="Y35" s="3232"/>
      <c r="Z35" s="1816" t="str">
        <f t="shared" si="15"/>
        <v>建筑结构</v>
      </c>
      <c r="AA35" s="1813">
        <f t="shared" si="3"/>
        <v>1</v>
      </c>
      <c r="AB35" s="1813">
        <f t="shared" si="4"/>
        <v>1</v>
      </c>
      <c r="AC35" s="2678">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0"/>
      <c r="Q36" s="1812" t="str">
        <f t="shared" si="11"/>
        <v>公共部分装修</v>
      </c>
      <c r="R36" s="773" t="s">
        <v>17</v>
      </c>
      <c r="S36" s="774">
        <f t="shared" si="12"/>
        <v>100</v>
      </c>
      <c r="T36" s="773" t="s">
        <v>17</v>
      </c>
      <c r="U36" s="774">
        <f t="shared" si="13"/>
        <v>100</v>
      </c>
      <c r="V36" s="773" t="s">
        <v>17</v>
      </c>
      <c r="W36" s="774">
        <f t="shared" si="14"/>
        <v>100</v>
      </c>
      <c r="X36" s="1815"/>
      <c r="Y36" s="3232"/>
      <c r="Z36" s="1816" t="str">
        <f t="shared" si="15"/>
        <v>公共部分装修</v>
      </c>
      <c r="AA36" s="1813">
        <f t="shared" si="3"/>
        <v>1</v>
      </c>
      <c r="AB36" s="1813">
        <f t="shared" si="4"/>
        <v>1</v>
      </c>
      <c r="AC36" s="2678">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0"/>
      <c r="Q37" s="1812" t="str">
        <f t="shared" si="11"/>
        <v>成新度</v>
      </c>
      <c r="R37" s="773" t="s">
        <v>17</v>
      </c>
      <c r="S37" s="774" t="e">
        <f t="shared" si="12"/>
        <v>#N/A</v>
      </c>
      <c r="T37" s="773" t="s">
        <v>17</v>
      </c>
      <c r="U37" s="774" t="e">
        <f t="shared" si="13"/>
        <v>#N/A</v>
      </c>
      <c r="V37" s="773" t="s">
        <v>17</v>
      </c>
      <c r="W37" s="774" t="e">
        <f t="shared" si="14"/>
        <v>#N/A</v>
      </c>
      <c r="X37" s="1815"/>
      <c r="Y37" s="3232"/>
      <c r="Z37" s="1816" t="str">
        <f t="shared" si="15"/>
        <v>成新度</v>
      </c>
      <c r="AA37" s="1813" t="e">
        <f t="shared" si="3"/>
        <v>#N/A</v>
      </c>
      <c r="AB37" s="1813" t="e">
        <f t="shared" si="4"/>
        <v>#N/A</v>
      </c>
      <c r="AC37" s="2678"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0"/>
      <c r="Q38" s="1797" t="str">
        <f t="shared" si="11"/>
        <v>写字楼等级</v>
      </c>
      <c r="R38" s="769" t="s">
        <v>17</v>
      </c>
      <c r="S38" s="770">
        <f t="shared" si="12"/>
        <v>100</v>
      </c>
      <c r="T38" s="769" t="s">
        <v>17</v>
      </c>
      <c r="U38" s="770">
        <f t="shared" si="13"/>
        <v>100</v>
      </c>
      <c r="V38" s="769" t="s">
        <v>17</v>
      </c>
      <c r="W38" s="770">
        <f t="shared" si="14"/>
        <v>100</v>
      </c>
      <c r="X38" s="771"/>
      <c r="Y38" s="3232"/>
      <c r="Z38" s="55" t="str">
        <f t="shared" si="15"/>
        <v>写字楼等级</v>
      </c>
      <c r="AA38" s="772">
        <f t="shared" si="3"/>
        <v>1</v>
      </c>
      <c r="AB38" s="772">
        <f t="shared" si="4"/>
        <v>1</v>
      </c>
      <c r="AC38" s="2675">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0" t="s">
        <v>2570</v>
      </c>
      <c r="Q39" s="1812" t="str">
        <f t="shared" si="11"/>
        <v>物业管理</v>
      </c>
      <c r="R39" s="773" t="s">
        <v>17</v>
      </c>
      <c r="S39" s="774">
        <f t="shared" si="12"/>
        <v>100</v>
      </c>
      <c r="T39" s="773" t="s">
        <v>17</v>
      </c>
      <c r="U39" s="774">
        <f t="shared" si="13"/>
        <v>100</v>
      </c>
      <c r="V39" s="773" t="s">
        <v>17</v>
      </c>
      <c r="W39" s="774">
        <f t="shared" si="14"/>
        <v>100</v>
      </c>
      <c r="X39" s="1815"/>
      <c r="Y39" s="3232" t="s">
        <v>2570</v>
      </c>
      <c r="Z39" s="1816" t="str">
        <f t="shared" si="15"/>
        <v>物业管理</v>
      </c>
      <c r="AA39" s="1813">
        <f t="shared" si="3"/>
        <v>1</v>
      </c>
      <c r="AB39" s="1813">
        <f t="shared" si="4"/>
        <v>1</v>
      </c>
      <c r="AC39" s="2678">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0"/>
      <c r="Q40" s="1812" t="str">
        <f t="shared" si="11"/>
        <v>市政基础设施</v>
      </c>
      <c r="R40" s="773" t="s">
        <v>17</v>
      </c>
      <c r="S40" s="774">
        <f t="shared" si="12"/>
        <v>100</v>
      </c>
      <c r="T40" s="773" t="s">
        <v>17</v>
      </c>
      <c r="U40" s="774">
        <f t="shared" si="13"/>
        <v>100</v>
      </c>
      <c r="V40" s="773" t="s">
        <v>17</v>
      </c>
      <c r="W40" s="774">
        <f t="shared" si="14"/>
        <v>100</v>
      </c>
      <c r="X40" s="1815"/>
      <c r="Y40" s="3232"/>
      <c r="Z40" s="1816" t="str">
        <f t="shared" si="15"/>
        <v>市政基础设施</v>
      </c>
      <c r="AA40" s="1813">
        <f t="shared" si="3"/>
        <v>1</v>
      </c>
      <c r="AB40" s="1813">
        <f t="shared" si="4"/>
        <v>1</v>
      </c>
      <c r="AC40" s="2678">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0"/>
      <c r="Q41" s="1812" t="str">
        <f t="shared" si="11"/>
        <v>层高</v>
      </c>
      <c r="R41" s="773" t="s">
        <v>17</v>
      </c>
      <c r="S41" s="774">
        <f t="shared" si="12"/>
        <v>100</v>
      </c>
      <c r="T41" s="773" t="s">
        <v>17</v>
      </c>
      <c r="U41" s="774">
        <f t="shared" si="13"/>
        <v>100</v>
      </c>
      <c r="V41" s="773" t="s">
        <v>17</v>
      </c>
      <c r="W41" s="774">
        <f t="shared" si="14"/>
        <v>100</v>
      </c>
      <c r="X41" s="1815"/>
      <c r="Y41" s="3232"/>
      <c r="Z41" s="1816" t="str">
        <f t="shared" si="15"/>
        <v>层高</v>
      </c>
      <c r="AA41" s="1813">
        <f t="shared" si="3"/>
        <v>1</v>
      </c>
      <c r="AB41" s="1813">
        <f t="shared" si="4"/>
        <v>1</v>
      </c>
      <c r="AC41" s="2678">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0"/>
      <c r="Q42" s="775" t="str">
        <f t="shared" si="11"/>
        <v>单套建筑面积</v>
      </c>
      <c r="R42" s="776" t="s">
        <v>17</v>
      </c>
      <c r="S42" s="777">
        <f t="shared" si="12"/>
        <v>100</v>
      </c>
      <c r="T42" s="776" t="s">
        <v>17</v>
      </c>
      <c r="U42" s="777">
        <f t="shared" si="13"/>
        <v>100</v>
      </c>
      <c r="V42" s="776" t="s">
        <v>17</v>
      </c>
      <c r="W42" s="777">
        <f t="shared" si="14"/>
        <v>100</v>
      </c>
      <c r="X42" s="778"/>
      <c r="Y42" s="3232"/>
      <c r="Z42" s="779" t="str">
        <f t="shared" si="15"/>
        <v>单套建筑面积</v>
      </c>
      <c r="AA42" s="1813">
        <f t="shared" si="3"/>
        <v>1</v>
      </c>
      <c r="AB42" s="1813">
        <f t="shared" si="4"/>
        <v>1</v>
      </c>
      <c r="AC42" s="2678">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0"/>
      <c r="Q43" s="1812" t="str">
        <f t="shared" si="11"/>
        <v>内部装修</v>
      </c>
      <c r="R43" s="773" t="s">
        <v>17</v>
      </c>
      <c r="S43" s="774">
        <f t="shared" si="12"/>
        <v>100</v>
      </c>
      <c r="T43" s="773" t="s">
        <v>17</v>
      </c>
      <c r="U43" s="774">
        <f t="shared" si="13"/>
        <v>100</v>
      </c>
      <c r="V43" s="773" t="s">
        <v>17</v>
      </c>
      <c r="W43" s="774">
        <f t="shared" si="14"/>
        <v>100</v>
      </c>
      <c r="X43" s="1815"/>
      <c r="Y43" s="3232"/>
      <c r="Z43" s="1816" t="str">
        <f t="shared" si="15"/>
        <v>内部装修</v>
      </c>
      <c r="AA43" s="1813">
        <f t="shared" si="3"/>
        <v>1</v>
      </c>
      <c r="AB43" s="1813">
        <f t="shared" si="4"/>
        <v>1</v>
      </c>
      <c r="AC43" s="2678">
        <f t="shared" si="5"/>
        <v>1</v>
      </c>
    </row>
    <row r="44" spans="1:29" ht="15">
      <c r="A44" s="472"/>
      <c r="B44" s="422" t="s">
        <v>2581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230"/>
      <c r="Q44" s="1812" t="str">
        <f t="shared" si="11"/>
        <v>内部装修维护情况</v>
      </c>
      <c r="R44" s="773" t="s">
        <v>17</v>
      </c>
      <c r="S44" s="774">
        <f t="shared" si="12"/>
        <v>100</v>
      </c>
      <c r="T44" s="773" t="s">
        <v>17</v>
      </c>
      <c r="U44" s="774">
        <f t="shared" si="13"/>
        <v>100</v>
      </c>
      <c r="V44" s="773" t="s">
        <v>17</v>
      </c>
      <c r="W44" s="774">
        <f t="shared" si="14"/>
        <v>100</v>
      </c>
      <c r="X44" s="1815"/>
      <c r="Y44" s="3232"/>
      <c r="Z44" s="1816" t="str">
        <f t="shared" si="15"/>
        <v>内部装修维护情况</v>
      </c>
      <c r="AA44" s="1813">
        <f t="shared" si="3"/>
        <v>1</v>
      </c>
      <c r="AB44" s="1813">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0"/>
      <c r="Q45" s="1797">
        <f t="shared" si="11"/>
        <v>111</v>
      </c>
      <c r="R45" s="769" t="s">
        <v>17</v>
      </c>
      <c r="S45" s="770">
        <f t="shared" si="12"/>
        <v>100</v>
      </c>
      <c r="T45" s="769" t="s">
        <v>17</v>
      </c>
      <c r="U45" s="770">
        <f t="shared" si="13"/>
        <v>100</v>
      </c>
      <c r="V45" s="769" t="s">
        <v>17</v>
      </c>
      <c r="W45" s="770">
        <f t="shared" si="14"/>
        <v>100</v>
      </c>
      <c r="X45" s="771"/>
      <c r="Y45" s="3232"/>
      <c r="Z45" s="55">
        <f t="shared" si="15"/>
        <v>111</v>
      </c>
      <c r="AA45" s="772">
        <f t="shared" si="3"/>
        <v>1</v>
      </c>
      <c r="AB45" s="772">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0"/>
      <c r="Q46" s="1812">
        <f t="shared" si="11"/>
        <v>111</v>
      </c>
      <c r="R46" s="773" t="s">
        <v>17</v>
      </c>
      <c r="S46" s="774">
        <f t="shared" si="12"/>
        <v>100</v>
      </c>
      <c r="T46" s="773" t="s">
        <v>17</v>
      </c>
      <c r="U46" s="774">
        <f t="shared" si="13"/>
        <v>100</v>
      </c>
      <c r="V46" s="773" t="s">
        <v>17</v>
      </c>
      <c r="W46" s="774">
        <f t="shared" si="14"/>
        <v>100</v>
      </c>
      <c r="X46" s="1815"/>
      <c r="Y46" s="3232"/>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1"/>
      <c r="Q47" s="1812">
        <f t="shared" si="11"/>
        <v>111</v>
      </c>
      <c r="R47" s="773" t="s">
        <v>17</v>
      </c>
      <c r="S47" s="774">
        <f t="shared" si="12"/>
        <v>100</v>
      </c>
      <c r="T47" s="773" t="s">
        <v>17</v>
      </c>
      <c r="U47" s="774">
        <f t="shared" si="13"/>
        <v>100</v>
      </c>
      <c r="V47" s="773" t="s">
        <v>17</v>
      </c>
      <c r="W47" s="774">
        <f t="shared" si="14"/>
        <v>100</v>
      </c>
      <c r="X47" s="1815"/>
      <c r="Y47" s="3233"/>
      <c r="Z47" s="1816">
        <f t="shared" si="15"/>
        <v>111</v>
      </c>
      <c r="AA47" s="1813">
        <f t="shared" si="3"/>
        <v>1</v>
      </c>
      <c r="AB47" s="1813">
        <f t="shared" si="4"/>
        <v>1</v>
      </c>
      <c r="AC47" s="2678">
        <f t="shared" si="5"/>
        <v>1</v>
      </c>
    </row>
    <row r="48" spans="1:29" ht="15">
      <c r="A48" s="479" t="s">
        <v>2582</v>
      </c>
      <c r="B48" s="480"/>
      <c r="C48" s="1409" t="s">
        <v>1</v>
      </c>
      <c r="D48" s="1410"/>
      <c r="E48" s="1411"/>
      <c r="F48" s="1412"/>
      <c r="G48" s="1413"/>
      <c r="H48" s="1414"/>
      <c r="I48" s="1411"/>
      <c r="J48" s="485"/>
      <c r="K48" s="782"/>
      <c r="L48" s="1145"/>
      <c r="M48" s="1133"/>
      <c r="N48" s="1133"/>
      <c r="O48" s="1133"/>
      <c r="P48" s="3236" t="str">
        <f>A48</f>
        <v>成交单价（元/平方米）</v>
      </c>
      <c r="Q48" s="3225"/>
      <c r="R48" s="3226">
        <f>E48</f>
        <v>0</v>
      </c>
      <c r="S48" s="3226"/>
      <c r="T48" s="3226">
        <f>G48</f>
        <v>0</v>
      </c>
      <c r="U48" s="3226"/>
      <c r="V48" s="3226">
        <f>I48</f>
        <v>0</v>
      </c>
      <c r="W48" s="3226"/>
      <c r="X48" s="446"/>
      <c r="Y48" s="780"/>
      <c r="Z48" s="446"/>
      <c r="AA48" s="446"/>
      <c r="AB48" s="446"/>
      <c r="AC48" s="629"/>
    </row>
    <row r="49" spans="1:29" ht="15.75" thickBot="1">
      <c r="A49" s="486" t="s">
        <v>2674</v>
      </c>
      <c r="B49" s="487"/>
      <c r="C49" s="1415" t="e">
        <f>R50</f>
        <v>#DIV/0!</v>
      </c>
      <c r="D49" s="1416"/>
      <c r="E49" s="1417" t="e">
        <f>R49</f>
        <v>#DIV/0!</v>
      </c>
      <c r="F49" s="1417"/>
      <c r="G49" s="1415" t="e">
        <f>T49</f>
        <v>#DIV/0!</v>
      </c>
      <c r="H49" s="1416"/>
      <c r="I49" s="1417" t="e">
        <f>V49</f>
        <v>#DIV/0!</v>
      </c>
      <c r="J49" s="489"/>
      <c r="K49" s="783"/>
      <c r="L49" s="1145"/>
      <c r="M49" s="1133"/>
      <c r="N49" s="1133"/>
      <c r="O49" s="1133"/>
      <c r="P49" s="3236"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29"/>
    </row>
    <row r="50" spans="1:29" ht="15.75" thickBot="1">
      <c r="A50" s="492" t="s">
        <v>2675</v>
      </c>
      <c r="B50" s="493"/>
      <c r="C50" s="1419" t="e">
        <f>R50</f>
        <v>#DIV/0!</v>
      </c>
      <c r="D50" s="1419"/>
      <c r="E50" s="1419"/>
      <c r="F50" s="1419"/>
      <c r="G50" s="1419"/>
      <c r="H50" s="1419"/>
      <c r="I50" s="1419"/>
      <c r="J50" s="494"/>
      <c r="K50" s="784"/>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5"/>
      <c r="Q58" s="504"/>
    </row>
    <row r="59" spans="1:29" s="508" customFormat="1" ht="15">
      <c r="A59" s="505" t="s">
        <v>2553</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86"/>
    </row>
    <row r="61" spans="1:29" s="117" customFormat="1" ht="15.75" thickBot="1">
      <c r="A61" s="515" t="s">
        <v>2590</v>
      </c>
      <c r="B61" s="516"/>
      <c r="C61" s="517"/>
      <c r="D61" s="518"/>
      <c r="E61" s="518"/>
      <c r="F61" s="518"/>
      <c r="G61" s="518"/>
      <c r="H61" s="518"/>
      <c r="I61" s="518"/>
      <c r="J61" s="518"/>
      <c r="K61" s="518"/>
      <c r="L61" s="518"/>
      <c r="M61" s="519"/>
      <c r="N61" s="518"/>
      <c r="O61" s="519"/>
      <c r="P61" s="2686"/>
      <c r="Q61" s="504"/>
    </row>
    <row r="62" spans="1:29" s="117" customFormat="1" ht="15">
      <c r="A62" s="521" t="s">
        <v>2555</v>
      </c>
      <c r="B62" s="510"/>
      <c r="C62" s="522" t="s">
        <v>2657</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2593</v>
      </c>
      <c r="B64" s="528" t="s">
        <v>2559</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2694</v>
      </c>
      <c r="C83" s="659" t="s">
        <v>2680</v>
      </c>
      <c r="D83" s="659" t="s">
        <v>2681</v>
      </c>
      <c r="E83" s="659" t="s">
        <v>2682</v>
      </c>
      <c r="F83" s="659" t="s">
        <v>2683</v>
      </c>
      <c r="G83" s="659" t="s">
        <v>2684</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8"/>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2704</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2568</v>
      </c>
      <c r="B101" s="528" t="s">
        <v>2617</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2619</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2621</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2705</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2622</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2623</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5" t="s">
        <v>2706</v>
      </c>
      <c r="C119" s="583"/>
      <c r="D119" s="583"/>
      <c r="E119" s="583"/>
      <c r="F119" s="583"/>
      <c r="G119" s="583"/>
      <c r="H119" s="583"/>
      <c r="I119" s="583"/>
      <c r="J119" s="583"/>
      <c r="K119" s="583"/>
      <c r="L119" s="2693"/>
      <c r="M119" s="2694"/>
      <c r="N119" s="1155"/>
      <c r="O119" s="1155"/>
      <c r="P119" s="2695"/>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2689</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2625</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4" priority="16" stopIfTrue="1" operator="containsText" text="超过">
      <formula>NOT(ISERROR(SEARCH("超过",F53)))</formula>
    </cfRule>
  </conditionalFormatting>
  <conditionalFormatting sqref="H55">
    <cfRule type="containsText" dxfId="133" priority="15" stopIfTrue="1" operator="containsText" text="超过">
      <formula>NOT(ISERROR(SEARCH("超过",H55)))</formula>
    </cfRule>
  </conditionalFormatting>
  <conditionalFormatting sqref="F55">
    <cfRule type="containsText" dxfId="132" priority="14" stopIfTrue="1" operator="containsText" text="超过">
      <formula>NOT(ISERROR(SEARCH("超过",F55)))</formula>
    </cfRule>
  </conditionalFormatting>
  <conditionalFormatting sqref="F54 H54">
    <cfRule type="containsText" dxfId="131" priority="13" stopIfTrue="1" operator="containsText" text="超过">
      <formula>NOT(ISERROR(SEARCH("超过",F54)))</formula>
    </cfRule>
  </conditionalFormatting>
  <conditionalFormatting sqref="E53">
    <cfRule type="expression" dxfId="130" priority="12" stopIfTrue="1">
      <formula>$F$53="超过30%"</formula>
    </cfRule>
  </conditionalFormatting>
  <conditionalFormatting sqref="E54">
    <cfRule type="expression" dxfId="129" priority="11" stopIfTrue="1">
      <formula>$F$54="超过20%"</formula>
    </cfRule>
  </conditionalFormatting>
  <conditionalFormatting sqref="E55">
    <cfRule type="expression" dxfId="128" priority="10" stopIfTrue="1">
      <formula>$F$55="超过30%"</formula>
    </cfRule>
  </conditionalFormatting>
  <conditionalFormatting sqref="G55">
    <cfRule type="expression" dxfId="127" priority="9" stopIfTrue="1">
      <formula>$H$55="超过30%"</formula>
    </cfRule>
  </conditionalFormatting>
  <conditionalFormatting sqref="G53">
    <cfRule type="expression" dxfId="126" priority="8" stopIfTrue="1">
      <formula>$H$53="超过30%"</formula>
    </cfRule>
  </conditionalFormatting>
  <conditionalFormatting sqref="G54">
    <cfRule type="expression" dxfId="125" priority="7" stopIfTrue="1">
      <formula>$H$54="超过20%"</formula>
    </cfRule>
  </conditionalFormatting>
  <conditionalFormatting sqref="J53">
    <cfRule type="containsText" dxfId="124" priority="6" stopIfTrue="1" operator="containsText" text="超过">
      <formula>NOT(ISERROR(SEARCH("超过",J53)))</formula>
    </cfRule>
  </conditionalFormatting>
  <conditionalFormatting sqref="J55">
    <cfRule type="containsText" dxfId="123" priority="5" stopIfTrue="1" operator="containsText" text="超过">
      <formula>NOT(ISERROR(SEARCH("超过",J55)))</formula>
    </cfRule>
  </conditionalFormatting>
  <conditionalFormatting sqref="J54">
    <cfRule type="containsText" dxfId="122" priority="4" stopIfTrue="1" operator="containsText" text="超过">
      <formula>NOT(ISERROR(SEARCH("超过",J54)))</formula>
    </cfRule>
  </conditionalFormatting>
  <conditionalFormatting sqref="I53">
    <cfRule type="expression" dxfId="121" priority="3" stopIfTrue="1">
      <formula>$J$53="超过30%"</formula>
    </cfRule>
  </conditionalFormatting>
  <conditionalFormatting sqref="I54">
    <cfRule type="expression" dxfId="120" priority="2" stopIfTrue="1">
      <formula>$J$53+$J$54="超过20%"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北京福发房地产开发有限公司：</v>
      </c>
    </row>
    <row r="4" spans="1:1" ht="36">
      <c r="A4" s="1950" t="str">
        <f>"受贵公司委托，我公司对"&amp;项目基本情况!S1&amp;"进行了预评估。"</f>
        <v>受贵公司委托，我公司对北京市大兴区兴华园48号楼46号、201号及11幢3套商业用房房地产抵押价值进行了预评估。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估价对象为北京市大兴区兴华园48号楼46号、201号及11幢3套商业用房房地产，为所有。根据《国有土地使用证》[]，估价对象（分摊）出让国有建设用地使用权面积为0平方米，建筑面积为6779.85平方米。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华园48号楼46号、201号及11幢3套商业用房房地产,属开发建设的，该项目尚在开发建设中。根据《国有土地使用证》[]，估价对象（分摊）出让国有建设用地使用权面积为0平方米，规划建筑面积为6779.85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2018年3月13日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13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本次评估采用的主估价方法为基准地价系数修正法和收益法。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3" t="s">
        <v>2707</v>
      </c>
      <c r="C1" s="1622" t="s">
        <v>2535</v>
      </c>
      <c r="D1" s="1623"/>
      <c r="E1" s="1632"/>
      <c r="F1" s="2588"/>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90"/>
      <c r="D2" s="1126" t="e">
        <f ca="1">SUMIF(INDIRECT("'"&amp;F2&amp;"'"&amp;"!A:A"),"承租人权益价值",INDIRECT("'"&amp;F2&amp;"'"&amp;"!c:c"))</f>
        <v>#REF!</v>
      </c>
      <c r="E2" s="2591" t="s">
        <v>2333</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2334</v>
      </c>
      <c r="B3" s="609" t="e">
        <f ca="1">IF(C2="——",C43,ROUND(B2*10000/D3,0))</f>
        <v>#DIV/0!</v>
      </c>
      <c r="C3" s="400" t="s">
        <v>2649</v>
      </c>
      <c r="D3" s="399">
        <f>IF(D1="",'数据-汇总表'!E3,SUMIF('数据-汇总表'!$C19:$C33,D1,'数据-汇总表'!$E19:$E33))</f>
        <v>6779.85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40" t="s">
        <v>2651</v>
      </c>
      <c r="D4" s="3241"/>
      <c r="E4" s="3242" t="s">
        <v>2652</v>
      </c>
      <c r="F4" s="3243"/>
      <c r="G4" s="3240" t="s">
        <v>2653</v>
      </c>
      <c r="H4" s="3241"/>
      <c r="I4" s="3240" t="s">
        <v>2654</v>
      </c>
      <c r="J4" s="3241"/>
      <c r="K4" s="610" t="s">
        <v>2655</v>
      </c>
      <c r="L4" s="1132"/>
      <c r="M4" s="1133"/>
      <c r="N4" s="1133"/>
      <c r="O4" s="1133"/>
      <c r="P4" s="3244" t="s">
        <v>2656</v>
      </c>
      <c r="Q4" s="3245"/>
      <c r="R4" s="3250" t="s">
        <v>2652</v>
      </c>
      <c r="S4" s="3251"/>
      <c r="T4" s="3250" t="s">
        <v>2653</v>
      </c>
      <c r="U4" s="3251"/>
      <c r="V4" s="3256" t="s">
        <v>2654</v>
      </c>
      <c r="W4" s="3256"/>
      <c r="X4" s="1815"/>
      <c r="Y4" s="3250" t="s">
        <v>2656</v>
      </c>
      <c r="Z4" s="3251"/>
      <c r="AA4" s="3237" t="s">
        <v>2652</v>
      </c>
      <c r="AB4" s="3238" t="s">
        <v>2653</v>
      </c>
      <c r="AC4" s="3237" t="s">
        <v>2654</v>
      </c>
    </row>
    <row r="5" spans="1:29" ht="15">
      <c r="A5" s="404"/>
      <c r="B5" s="405"/>
      <c r="C5" s="3259" t="s">
        <v>2547</v>
      </c>
      <c r="D5" s="3260"/>
      <c r="E5" s="3266" t="s">
        <v>2548</v>
      </c>
      <c r="F5" s="3267"/>
      <c r="G5" s="3259" t="s">
        <v>2549</v>
      </c>
      <c r="H5" s="3260"/>
      <c r="I5" s="3259" t="s">
        <v>2550</v>
      </c>
      <c r="J5" s="3260"/>
      <c r="K5" s="610"/>
      <c r="L5" s="1132"/>
      <c r="M5" s="1133"/>
      <c r="N5" s="1133"/>
      <c r="O5" s="1133"/>
      <c r="P5" s="3246"/>
      <c r="Q5" s="3247"/>
      <c r="R5" s="3252"/>
      <c r="S5" s="3253"/>
      <c r="T5" s="3252"/>
      <c r="U5" s="3253"/>
      <c r="V5" s="3256"/>
      <c r="W5" s="3256"/>
      <c r="X5" s="1815"/>
      <c r="Y5" s="3252"/>
      <c r="Z5" s="3253"/>
      <c r="AA5" s="3238"/>
      <c r="AB5" s="3238"/>
      <c r="AC5" s="3238"/>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1815"/>
      <c r="Y6" s="3254"/>
      <c r="Z6" s="3255"/>
      <c r="AA6" s="3239"/>
      <c r="AB6" s="3239"/>
      <c r="AC6" s="3239"/>
    </row>
    <row r="7" spans="1:29" s="117" customFormat="1" ht="15.75" thickBot="1">
      <c r="A7" s="408" t="s">
        <v>2553</v>
      </c>
      <c r="B7" s="409"/>
      <c r="C7" s="410">
        <f>'数据-取费表'!B2</f>
        <v>43172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61" t="s">
        <v>2554</v>
      </c>
      <c r="Q7" s="3263"/>
      <c r="R7" s="769" t="s">
        <v>17</v>
      </c>
      <c r="S7" s="770">
        <f t="shared" ref="S7:S15" si="0">F7</f>
        <v>0</v>
      </c>
      <c r="T7" s="769" t="s">
        <v>17</v>
      </c>
      <c r="U7" s="770">
        <f t="shared" ref="U7:U15" si="1">H7</f>
        <v>0</v>
      </c>
      <c r="V7" s="769" t="s">
        <v>17</v>
      </c>
      <c r="W7" s="770">
        <f t="shared" ref="W7:W15" si="2">J7</f>
        <v>0</v>
      </c>
      <c r="X7" s="771"/>
      <c r="Y7" s="3261" t="s">
        <v>2554</v>
      </c>
      <c r="Z7" s="3262"/>
      <c r="AA7" s="772" t="e">
        <f>D7/F7</f>
        <v>#DIV/0!</v>
      </c>
      <c r="AB7" s="772" t="e">
        <f>D7/H7</f>
        <v>#DIV/0!</v>
      </c>
      <c r="AC7" s="772"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61" t="s">
        <v>2557</v>
      </c>
      <c r="Q8" s="3262"/>
      <c r="R8" s="769" t="s">
        <v>17</v>
      </c>
      <c r="S8" s="770">
        <f t="shared" si="0"/>
        <v>0</v>
      </c>
      <c r="T8" s="769" t="s">
        <v>17</v>
      </c>
      <c r="U8" s="770">
        <f t="shared" si="1"/>
        <v>0</v>
      </c>
      <c r="V8" s="769" t="s">
        <v>17</v>
      </c>
      <c r="W8" s="770">
        <f t="shared" si="2"/>
        <v>0</v>
      </c>
      <c r="X8" s="771"/>
      <c r="Y8" s="3261" t="s">
        <v>2557</v>
      </c>
      <c r="Z8" s="3262"/>
      <c r="AA8" s="772" t="e">
        <f t="shared" ref="AA8:AA40" si="3">D8/F8</f>
        <v>#DIV/0!</v>
      </c>
      <c r="AB8" s="772" t="e">
        <f t="shared" ref="AB8:AB40" si="4">D8/H8</f>
        <v>#DIV/0!</v>
      </c>
      <c r="AC8" s="772"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5" t="s">
        <v>2560</v>
      </c>
      <c r="Q9" s="1797" t="str">
        <f t="shared" ref="Q9:Q15" si="6">B9</f>
        <v>用途</v>
      </c>
      <c r="R9" s="769" t="s">
        <v>17</v>
      </c>
      <c r="S9" s="770">
        <f t="shared" si="0"/>
        <v>100</v>
      </c>
      <c r="T9" s="769" t="s">
        <v>17</v>
      </c>
      <c r="U9" s="770">
        <f t="shared" si="1"/>
        <v>100</v>
      </c>
      <c r="V9" s="769" t="s">
        <v>17</v>
      </c>
      <c r="W9" s="770">
        <f t="shared" si="2"/>
        <v>100</v>
      </c>
      <c r="X9" s="771"/>
      <c r="Y9" s="3046"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5"/>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5"/>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225"/>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225"/>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40" t="s">
        <v>2564</v>
      </c>
      <c r="B15" s="69" t="s">
        <v>2708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7" t="s">
        <v>2565</v>
      </c>
      <c r="Q15" s="1812" t="str">
        <f t="shared" si="6"/>
        <v>产业集聚程度</v>
      </c>
      <c r="R15" s="773" t="s">
        <v>17</v>
      </c>
      <c r="S15" s="774">
        <f t="shared" si="0"/>
        <v>100</v>
      </c>
      <c r="T15" s="773" t="s">
        <v>17</v>
      </c>
      <c r="U15" s="774">
        <f t="shared" si="1"/>
        <v>100</v>
      </c>
      <c r="V15" s="773" t="s">
        <v>17</v>
      </c>
      <c r="W15" s="774">
        <f t="shared" si="2"/>
        <v>100</v>
      </c>
      <c r="X15" s="1815"/>
      <c r="Y15" s="3227"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28"/>
      <c r="Q16" s="1812"/>
      <c r="R16" s="773"/>
      <c r="S16" s="774"/>
      <c r="T16" s="773"/>
      <c r="U16" s="774"/>
      <c r="V16" s="773"/>
      <c r="W16" s="774"/>
      <c r="X16" s="1815"/>
      <c r="Y16" s="3228"/>
      <c r="Z16" s="1816"/>
      <c r="AA16" s="1813">
        <v>1</v>
      </c>
      <c r="AB16" s="1813">
        <v>1</v>
      </c>
      <c r="AC16" s="1813">
        <v>1</v>
      </c>
    </row>
    <row r="17" spans="1:29" ht="85.5">
      <c r="A17" s="428"/>
      <c r="B17" s="451" t="s">
        <v>2101</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8"/>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2"/>
      <c r="M18" s="1133"/>
      <c r="N18" s="1133"/>
      <c r="O18" s="1141"/>
      <c r="P18" s="3228"/>
      <c r="Q18" s="1812"/>
      <c r="R18" s="773"/>
      <c r="S18" s="774"/>
      <c r="T18" s="773"/>
      <c r="U18" s="774"/>
      <c r="V18" s="773"/>
      <c r="W18" s="774"/>
      <c r="X18" s="1815"/>
      <c r="Y18" s="3228"/>
      <c r="Z18" s="1816"/>
      <c r="AA18" s="1813">
        <v>1</v>
      </c>
      <c r="AB18" s="1813">
        <v>1</v>
      </c>
      <c r="AC18" s="1813">
        <v>1</v>
      </c>
    </row>
    <row r="19" spans="1:29" ht="42.75">
      <c r="A19" s="428"/>
      <c r="B19" s="451" t="s">
        <v>2693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8"/>
      <c r="Q19" s="1812" t="str">
        <f>B19</f>
        <v>公共配套设施</v>
      </c>
      <c r="R19" s="773" t="s">
        <v>17</v>
      </c>
      <c r="S19" s="774">
        <f>F19</f>
        <v>100</v>
      </c>
      <c r="T19" s="773" t="s">
        <v>17</v>
      </c>
      <c r="U19" s="774">
        <f>H19</f>
        <v>100</v>
      </c>
      <c r="V19" s="773" t="s">
        <v>17</v>
      </c>
      <c r="W19" s="774">
        <f>J19</f>
        <v>100</v>
      </c>
      <c r="X19" s="1815"/>
      <c r="Y19" s="3228"/>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2"/>
      <c r="M20" s="1133"/>
      <c r="N20" s="1133"/>
      <c r="O20" s="1141"/>
      <c r="P20" s="3228"/>
      <c r="Q20" s="1812"/>
      <c r="R20" s="773"/>
      <c r="S20" s="774"/>
      <c r="T20" s="773"/>
      <c r="U20" s="774"/>
      <c r="V20" s="773"/>
      <c r="W20" s="774"/>
      <c r="X20" s="1815"/>
      <c r="Y20" s="3228"/>
      <c r="Z20" s="1816"/>
      <c r="AA20" s="1813">
        <v>1</v>
      </c>
      <c r="AB20" s="1813">
        <v>1</v>
      </c>
      <c r="AC20" s="1813">
        <v>1</v>
      </c>
    </row>
    <row r="21" spans="1:29" ht="28.5">
      <c r="A21" s="428"/>
      <c r="B21" s="1386" t="s">
        <v>2694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8"/>
      <c r="Q21" s="1812" t="str">
        <f>B21</f>
        <v>基础设施水平</v>
      </c>
      <c r="R21" s="773" t="s">
        <v>17</v>
      </c>
      <c r="S21" s="774">
        <f>F21</f>
        <v>100</v>
      </c>
      <c r="T21" s="773" t="s">
        <v>17</v>
      </c>
      <c r="U21" s="774">
        <f>H21</f>
        <v>100</v>
      </c>
      <c r="V21" s="773" t="s">
        <v>17</v>
      </c>
      <c r="W21" s="774">
        <f>J21</f>
        <v>100</v>
      </c>
      <c r="X21" s="1815"/>
      <c r="Y21" s="3228"/>
      <c r="Z21" s="1816" t="str">
        <f>Q21</f>
        <v>基础设施水平</v>
      </c>
      <c r="AA21" s="1813">
        <f t="shared" ref="AA21" si="8">D21/F21</f>
        <v>1</v>
      </c>
      <c r="AB21" s="1813">
        <f t="shared" ref="AB21" si="9">D21/H21</f>
        <v>1</v>
      </c>
      <c r="AC21" s="1813">
        <f t="shared" ref="AC21" si="10">D21/J21</f>
        <v>1</v>
      </c>
    </row>
    <row r="22" spans="1:29" ht="15">
      <c r="A22" s="428"/>
      <c r="B22" s="1386"/>
      <c r="C22" s="2612"/>
      <c r="D22" s="448"/>
      <c r="E22" s="447"/>
      <c r="F22" s="449"/>
      <c r="G22" s="447"/>
      <c r="H22" s="448"/>
      <c r="I22" s="447"/>
      <c r="J22" s="448"/>
      <c r="K22" s="1385"/>
      <c r="L22" s="1142"/>
      <c r="M22" s="1133"/>
      <c r="N22" s="1133"/>
      <c r="O22" s="1141"/>
      <c r="P22" s="3228"/>
      <c r="Q22" s="1812"/>
      <c r="R22" s="773"/>
      <c r="S22" s="774"/>
      <c r="T22" s="773"/>
      <c r="U22" s="774"/>
      <c r="V22" s="773"/>
      <c r="W22" s="774"/>
      <c r="X22" s="1815"/>
      <c r="Y22" s="3228"/>
      <c r="Z22" s="1816"/>
      <c r="AA22" s="1813">
        <v>1</v>
      </c>
      <c r="AB22" s="1813">
        <v>1</v>
      </c>
      <c r="AC22" s="1813">
        <v>1</v>
      </c>
    </row>
    <row r="23" spans="1:29" ht="71.25">
      <c r="A23" s="428"/>
      <c r="B23" s="451" t="s">
        <v>2695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8"/>
      <c r="Q23" s="1812" t="str">
        <f>B23</f>
        <v>环境质量</v>
      </c>
      <c r="R23" s="773" t="s">
        <v>17</v>
      </c>
      <c r="S23" s="774">
        <f>F23</f>
        <v>100</v>
      </c>
      <c r="T23" s="773" t="s">
        <v>17</v>
      </c>
      <c r="U23" s="774">
        <f>H23</f>
        <v>100</v>
      </c>
      <c r="V23" s="773" t="s">
        <v>17</v>
      </c>
      <c r="W23" s="774">
        <f>J23</f>
        <v>100</v>
      </c>
      <c r="X23" s="1815"/>
      <c r="Y23" s="3228"/>
      <c r="Z23" s="1816" t="str">
        <f>Q23</f>
        <v>环境质量</v>
      </c>
      <c r="AA23" s="1813">
        <f t="shared" si="3"/>
        <v>1</v>
      </c>
      <c r="AB23" s="1813">
        <f t="shared" si="4"/>
        <v>1</v>
      </c>
      <c r="AC23" s="1813">
        <f t="shared" si="5"/>
        <v>1</v>
      </c>
    </row>
    <row r="24" spans="1:29" ht="15">
      <c r="A24" s="428"/>
      <c r="B24" s="1386"/>
      <c r="C24" s="447"/>
      <c r="D24" s="448"/>
      <c r="E24" s="2609"/>
      <c r="F24" s="449"/>
      <c r="G24" s="2608"/>
      <c r="H24" s="448"/>
      <c r="I24" s="2609"/>
      <c r="J24" s="448"/>
      <c r="K24" s="615"/>
      <c r="L24" s="1142"/>
      <c r="M24" s="1133"/>
      <c r="N24" s="1133"/>
      <c r="O24" s="1141"/>
      <c r="P24" s="3228"/>
      <c r="Q24" s="1812"/>
      <c r="R24" s="773"/>
      <c r="S24" s="774"/>
      <c r="T24" s="773"/>
      <c r="U24" s="774"/>
      <c r="V24" s="773"/>
      <c r="W24" s="774"/>
      <c r="X24" s="1815"/>
      <c r="Y24" s="322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8"/>
      <c r="Q25" s="1812">
        <f>B25</f>
        <v>111</v>
      </c>
      <c r="R25" s="773" t="s">
        <v>17</v>
      </c>
      <c r="S25" s="774">
        <f>F25</f>
        <v>100</v>
      </c>
      <c r="T25" s="773" t="s">
        <v>17</v>
      </c>
      <c r="U25" s="774">
        <f>H25</f>
        <v>100</v>
      </c>
      <c r="V25" s="773" t="s">
        <v>17</v>
      </c>
      <c r="W25" s="774">
        <f>J25</f>
        <v>100</v>
      </c>
      <c r="X25" s="1815"/>
      <c r="Y25" s="322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8"/>
      <c r="Q26" s="1812">
        <f t="shared" ref="Q26:Q40" si="11">B26</f>
        <v>111</v>
      </c>
      <c r="R26" s="773" t="s">
        <v>17</v>
      </c>
      <c r="S26" s="774">
        <f>F26</f>
        <v>100</v>
      </c>
      <c r="T26" s="773" t="s">
        <v>17</v>
      </c>
      <c r="U26" s="774">
        <f>H26</f>
        <v>100</v>
      </c>
      <c r="V26" s="773" t="s">
        <v>17</v>
      </c>
      <c r="W26" s="774">
        <f>J26</f>
        <v>100</v>
      </c>
      <c r="X26" s="1815"/>
      <c r="Y26" s="322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8"/>
      <c r="Q27" s="1797">
        <f t="shared" si="11"/>
        <v>111</v>
      </c>
      <c r="R27" s="769" t="s">
        <v>17</v>
      </c>
      <c r="S27" s="770">
        <f>F27</f>
        <v>100</v>
      </c>
      <c r="T27" s="769" t="s">
        <v>17</v>
      </c>
      <c r="U27" s="770">
        <f>H27</f>
        <v>100</v>
      </c>
      <c r="V27" s="769" t="s">
        <v>17</v>
      </c>
      <c r="W27" s="770">
        <f>J27</f>
        <v>100</v>
      </c>
      <c r="X27" s="771"/>
      <c r="Y27" s="322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8"/>
      <c r="Q28" s="1812">
        <f t="shared" si="11"/>
        <v>111</v>
      </c>
      <c r="R28" s="773" t="s">
        <v>17</v>
      </c>
      <c r="S28" s="774">
        <f t="shared" ref="S28:S40" si="12">F28</f>
        <v>100</v>
      </c>
      <c r="T28" s="773" t="s">
        <v>17</v>
      </c>
      <c r="U28" s="774">
        <f t="shared" ref="U28:U40" si="13">H28</f>
        <v>100</v>
      </c>
      <c r="V28" s="773" t="s">
        <v>17</v>
      </c>
      <c r="W28" s="774">
        <f t="shared" ref="W28:W40" si="14">J28</f>
        <v>100</v>
      </c>
      <c r="X28" s="1815"/>
      <c r="Y28" s="3228"/>
      <c r="Z28" s="1816">
        <f t="shared" ref="Z28:Z40" si="15">Q28</f>
        <v>111</v>
      </c>
      <c r="AA28" s="1813">
        <f t="shared" si="3"/>
        <v>1</v>
      </c>
      <c r="AB28" s="1813">
        <f t="shared" si="4"/>
        <v>1</v>
      </c>
      <c r="AC28" s="1813">
        <f t="shared" si="5"/>
        <v>1</v>
      </c>
    </row>
    <row r="29" spans="1:29" ht="15">
      <c r="A29" s="466" t="s">
        <v>2568</v>
      </c>
      <c r="B29" s="71" t="s">
        <v>2698</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285" t="s">
        <v>2570</v>
      </c>
      <c r="Q29" s="1812" t="str">
        <f t="shared" si="11"/>
        <v>建筑类型</v>
      </c>
      <c r="R29" s="773" t="s">
        <v>17</v>
      </c>
      <c r="S29" s="774">
        <f t="shared" si="12"/>
        <v>100</v>
      </c>
      <c r="T29" s="773" t="s">
        <v>17</v>
      </c>
      <c r="U29" s="774">
        <f t="shared" si="13"/>
        <v>100</v>
      </c>
      <c r="V29" s="773" t="s">
        <v>17</v>
      </c>
      <c r="W29" s="774">
        <f t="shared" si="14"/>
        <v>100</v>
      </c>
      <c r="X29" s="1815"/>
      <c r="Y29" s="3232"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2"/>
      <c r="Q30" s="775" t="str">
        <f t="shared" si="11"/>
        <v>项目建筑规模</v>
      </c>
      <c r="R30" s="776" t="s">
        <v>17</v>
      </c>
      <c r="S30" s="777" t="e">
        <f t="shared" si="12"/>
        <v>#N/A</v>
      </c>
      <c r="T30" s="776" t="s">
        <v>17</v>
      </c>
      <c r="U30" s="777" t="e">
        <f t="shared" si="13"/>
        <v>#N/A</v>
      </c>
      <c r="V30" s="776" t="s">
        <v>17</v>
      </c>
      <c r="W30" s="777" t="e">
        <f t="shared" si="14"/>
        <v>#N/A</v>
      </c>
      <c r="X30" s="778"/>
      <c r="Y30" s="3232"/>
      <c r="Z30" s="779"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2"/>
      <c r="Q31" s="1812" t="str">
        <f t="shared" si="11"/>
        <v>建筑结构</v>
      </c>
      <c r="R31" s="773" t="s">
        <v>17</v>
      </c>
      <c r="S31" s="774">
        <f t="shared" si="12"/>
        <v>100</v>
      </c>
      <c r="T31" s="773" t="s">
        <v>17</v>
      </c>
      <c r="U31" s="774">
        <f t="shared" si="13"/>
        <v>100</v>
      </c>
      <c r="V31" s="773" t="s">
        <v>17</v>
      </c>
      <c r="W31" s="774">
        <f t="shared" si="14"/>
        <v>100</v>
      </c>
      <c r="X31" s="1815"/>
      <c r="Y31" s="3232"/>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2"/>
      <c r="Q32" s="1812" t="str">
        <f t="shared" si="11"/>
        <v>公共部分装修</v>
      </c>
      <c r="R32" s="773" t="s">
        <v>17</v>
      </c>
      <c r="S32" s="774">
        <f t="shared" si="12"/>
        <v>100</v>
      </c>
      <c r="T32" s="773" t="s">
        <v>17</v>
      </c>
      <c r="U32" s="774">
        <f t="shared" si="13"/>
        <v>100</v>
      </c>
      <c r="V32" s="773" t="s">
        <v>17</v>
      </c>
      <c r="W32" s="774">
        <f t="shared" si="14"/>
        <v>100</v>
      </c>
      <c r="X32" s="1815"/>
      <c r="Y32" s="3232"/>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2"/>
      <c r="Q33" s="1812" t="str">
        <f t="shared" si="11"/>
        <v>成新度</v>
      </c>
      <c r="R33" s="773" t="s">
        <v>17</v>
      </c>
      <c r="S33" s="774" t="e">
        <f t="shared" si="12"/>
        <v>#N/A</v>
      </c>
      <c r="T33" s="773" t="s">
        <v>17</v>
      </c>
      <c r="U33" s="774" t="e">
        <f t="shared" si="13"/>
        <v>#N/A</v>
      </c>
      <c r="V33" s="773" t="s">
        <v>17</v>
      </c>
      <c r="W33" s="774" t="e">
        <f t="shared" si="14"/>
        <v>#N/A</v>
      </c>
      <c r="X33" s="1815"/>
      <c r="Y33" s="3232"/>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2"/>
      <c r="Q34" s="1797" t="str">
        <f t="shared" si="11"/>
        <v>物业管理</v>
      </c>
      <c r="R34" s="769" t="s">
        <v>17</v>
      </c>
      <c r="S34" s="770">
        <f t="shared" si="12"/>
        <v>100</v>
      </c>
      <c r="T34" s="769" t="s">
        <v>17</v>
      </c>
      <c r="U34" s="770">
        <f t="shared" si="13"/>
        <v>100</v>
      </c>
      <c r="V34" s="769" t="s">
        <v>17</v>
      </c>
      <c r="W34" s="770">
        <f t="shared" si="14"/>
        <v>100</v>
      </c>
      <c r="X34" s="771"/>
      <c r="Y34" s="3232"/>
      <c r="Z34" s="55" t="str">
        <f t="shared" si="15"/>
        <v>物业管理</v>
      </c>
      <c r="AA34" s="772">
        <f t="shared" si="3"/>
        <v>1</v>
      </c>
      <c r="AB34" s="772">
        <f t="shared" si="4"/>
        <v>1</v>
      </c>
      <c r="AC34" s="772">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2" t="s">
        <v>2570</v>
      </c>
      <c r="Q35" s="1812" t="str">
        <f t="shared" si="11"/>
        <v>市政基础设施</v>
      </c>
      <c r="R35" s="773" t="s">
        <v>17</v>
      </c>
      <c r="S35" s="774">
        <f t="shared" si="12"/>
        <v>100</v>
      </c>
      <c r="T35" s="773" t="s">
        <v>17</v>
      </c>
      <c r="U35" s="774">
        <f t="shared" si="13"/>
        <v>100</v>
      </c>
      <c r="V35" s="773" t="s">
        <v>17</v>
      </c>
      <c r="W35" s="774">
        <f t="shared" si="14"/>
        <v>100</v>
      </c>
      <c r="X35" s="1815"/>
      <c r="Y35" s="3232"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2"/>
      <c r="Q36" s="1812" t="str">
        <f t="shared" si="11"/>
        <v>内部装修</v>
      </c>
      <c r="R36" s="773" t="s">
        <v>17</v>
      </c>
      <c r="S36" s="774">
        <f t="shared" si="12"/>
        <v>100</v>
      </c>
      <c r="T36" s="773" t="s">
        <v>17</v>
      </c>
      <c r="U36" s="774">
        <f t="shared" si="13"/>
        <v>100</v>
      </c>
      <c r="V36" s="773" t="s">
        <v>17</v>
      </c>
      <c r="W36" s="774">
        <f t="shared" si="14"/>
        <v>100</v>
      </c>
      <c r="X36" s="1815"/>
      <c r="Y36" s="3232"/>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2"/>
      <c r="Q37" s="1812" t="str">
        <f t="shared" si="11"/>
        <v>内部装修状况</v>
      </c>
      <c r="R37" s="773" t="s">
        <v>17</v>
      </c>
      <c r="S37" s="774">
        <f t="shared" si="12"/>
        <v>100</v>
      </c>
      <c r="T37" s="773" t="s">
        <v>17</v>
      </c>
      <c r="U37" s="774">
        <f t="shared" si="13"/>
        <v>100</v>
      </c>
      <c r="V37" s="773" t="s">
        <v>17</v>
      </c>
      <c r="W37" s="774">
        <f t="shared" si="14"/>
        <v>100</v>
      </c>
      <c r="X37" s="1815"/>
      <c r="Y37" s="323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2"/>
      <c r="Q38" s="775">
        <f t="shared" si="11"/>
        <v>111</v>
      </c>
      <c r="R38" s="776" t="s">
        <v>17</v>
      </c>
      <c r="S38" s="777">
        <f t="shared" si="12"/>
        <v>100</v>
      </c>
      <c r="T38" s="776" t="s">
        <v>17</v>
      </c>
      <c r="U38" s="777">
        <f t="shared" si="13"/>
        <v>100</v>
      </c>
      <c r="V38" s="776" t="s">
        <v>17</v>
      </c>
      <c r="W38" s="777">
        <f t="shared" si="14"/>
        <v>100</v>
      </c>
      <c r="X38" s="778"/>
      <c r="Y38" s="3232"/>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2"/>
      <c r="Q39" s="1812">
        <f t="shared" si="11"/>
        <v>111</v>
      </c>
      <c r="R39" s="773" t="s">
        <v>17</v>
      </c>
      <c r="S39" s="774">
        <f t="shared" si="12"/>
        <v>100</v>
      </c>
      <c r="T39" s="773" t="s">
        <v>17</v>
      </c>
      <c r="U39" s="774">
        <f t="shared" si="13"/>
        <v>100</v>
      </c>
      <c r="V39" s="773" t="s">
        <v>17</v>
      </c>
      <c r="W39" s="774">
        <f t="shared" si="14"/>
        <v>100</v>
      </c>
      <c r="X39" s="1815"/>
      <c r="Y39" s="3232"/>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3"/>
      <c r="Q40" s="1812">
        <f t="shared" si="11"/>
        <v>111</v>
      </c>
      <c r="R40" s="773" t="s">
        <v>17</v>
      </c>
      <c r="S40" s="774">
        <f t="shared" si="12"/>
        <v>100</v>
      </c>
      <c r="T40" s="773" t="s">
        <v>17</v>
      </c>
      <c r="U40" s="774">
        <f t="shared" si="13"/>
        <v>100</v>
      </c>
      <c r="V40" s="773" t="s">
        <v>17</v>
      </c>
      <c r="W40" s="774">
        <f t="shared" si="14"/>
        <v>100</v>
      </c>
      <c r="X40" s="1815"/>
      <c r="Y40" s="3233"/>
      <c r="Z40" s="1816">
        <f t="shared" si="15"/>
        <v>111</v>
      </c>
      <c r="AA40" s="1813">
        <f t="shared" si="3"/>
        <v>1</v>
      </c>
      <c r="AB40" s="1813">
        <f t="shared" si="4"/>
        <v>1</v>
      </c>
      <c r="AC40" s="1813">
        <f t="shared" si="5"/>
        <v>1</v>
      </c>
    </row>
    <row r="41" spans="1:29" ht="15">
      <c r="A41" s="479" t="s">
        <v>2582</v>
      </c>
      <c r="B41" s="480"/>
      <c r="C41" s="1409" t="s">
        <v>1</v>
      </c>
      <c r="D41" s="1410"/>
      <c r="E41" s="1411"/>
      <c r="F41" s="1412"/>
      <c r="G41" s="1413"/>
      <c r="H41" s="1414"/>
      <c r="I41" s="1411"/>
      <c r="J41" s="1414"/>
      <c r="K41" s="782"/>
      <c r="L41" s="1145"/>
      <c r="M41" s="1146"/>
      <c r="N41" s="1133"/>
      <c r="O41" s="1146"/>
      <c r="P41" s="3225" t="str">
        <f>A41</f>
        <v>成交单价（元/平方米）</v>
      </c>
      <c r="Q41" s="3225"/>
      <c r="R41" s="3226">
        <f>E41</f>
        <v>0</v>
      </c>
      <c r="S41" s="3226"/>
      <c r="T41" s="3226">
        <f>G41</f>
        <v>0</v>
      </c>
      <c r="U41" s="3226"/>
      <c r="V41" s="3226">
        <f>I41</f>
        <v>0</v>
      </c>
      <c r="W41" s="3226"/>
      <c r="X41" s="758"/>
      <c r="Y41" s="780"/>
      <c r="Z41" s="758"/>
      <c r="AA41" s="758"/>
      <c r="AB41" s="758"/>
      <c r="AC41" s="758"/>
    </row>
    <row r="42" spans="1:29" ht="15.75" thickBot="1">
      <c r="A42" s="486" t="s">
        <v>2674</v>
      </c>
      <c r="B42" s="487"/>
      <c r="C42" s="1415" t="e">
        <f>R43</f>
        <v>#DIV/0!</v>
      </c>
      <c r="D42" s="1416"/>
      <c r="E42" s="1417" t="e">
        <f>R42</f>
        <v>#DIV/0!</v>
      </c>
      <c r="F42" s="1417"/>
      <c r="G42" s="1415" t="e">
        <f>T42</f>
        <v>#DIV/0!</v>
      </c>
      <c r="H42" s="1416"/>
      <c r="I42" s="1417" t="e">
        <f>V42</f>
        <v>#DIV/0!</v>
      </c>
      <c r="J42" s="1416"/>
      <c r="K42" s="783"/>
      <c r="L42" s="1145"/>
      <c r="M42" s="1146"/>
      <c r="N42" s="1133"/>
      <c r="O42" s="1146"/>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8"/>
      <c r="Y42" s="758"/>
      <c r="Z42" s="758"/>
      <c r="AA42" s="758"/>
      <c r="AB42" s="758"/>
      <c r="AC42" s="758"/>
    </row>
    <row r="43" spans="1:29" ht="15.75" thickBot="1">
      <c r="A43" s="492" t="s">
        <v>2675</v>
      </c>
      <c r="B43" s="493"/>
      <c r="C43" s="1419" t="e">
        <f>R43</f>
        <v>#DIV/0!</v>
      </c>
      <c r="D43" s="1419"/>
      <c r="E43" s="1419"/>
      <c r="F43" s="1419"/>
      <c r="G43" s="1419"/>
      <c r="H43" s="1419"/>
      <c r="I43" s="1419"/>
      <c r="J43" s="1419"/>
      <c r="K43" s="784"/>
      <c r="L43" s="1145"/>
      <c r="M43" s="1146"/>
      <c r="N43" s="1146"/>
      <c r="O43" s="1146"/>
      <c r="P43" s="3222" t="str">
        <f>A43</f>
        <v>估价对象XX用房的比较价值（楼面单价，元/平方米）</v>
      </c>
      <c r="Q43" s="3223"/>
      <c r="R43" s="3224" t="e">
        <f>IF(F1="售价",ROUND(AVERAGE(R42:V42),0),ROUND(AVERAGE(R42:V42),1))</f>
        <v>#DIV/0!</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3"/>
      <c r="Q51" s="504"/>
    </row>
    <row r="52" spans="1:17" s="508" customFormat="1" ht="15">
      <c r="A52" s="505" t="s">
        <v>2553</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2593</v>
      </c>
      <c r="B57" s="528" t="s">
        <v>2559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2568</v>
      </c>
      <c r="B88" s="528" t="s">
        <v>2617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8" priority="16" stopIfTrue="1" operator="containsText" text="超过">
      <formula>NOT(ISERROR(SEARCH("超过",F46)))</formula>
    </cfRule>
  </conditionalFormatting>
  <conditionalFormatting sqref="H48">
    <cfRule type="containsText" dxfId="117" priority="15" stopIfTrue="1" operator="containsText" text="超过">
      <formula>NOT(ISERROR(SEARCH("超过",H48)))</formula>
    </cfRule>
  </conditionalFormatting>
  <conditionalFormatting sqref="F48">
    <cfRule type="containsText" dxfId="116" priority="14" stopIfTrue="1" operator="containsText" text="超过">
      <formula>NOT(ISERROR(SEARCH("超过",F48)))</formula>
    </cfRule>
  </conditionalFormatting>
  <conditionalFormatting sqref="F47 H47">
    <cfRule type="containsText" dxfId="115" priority="13" stopIfTrue="1" operator="containsText" text="超过">
      <formula>NOT(ISERROR(SEARCH("超过",F47)))</formula>
    </cfRule>
  </conditionalFormatting>
  <conditionalFormatting sqref="E46">
    <cfRule type="expression" dxfId="114" priority="12" stopIfTrue="1">
      <formula>$F$46="超过30%"</formula>
    </cfRule>
  </conditionalFormatting>
  <conditionalFormatting sqref="E47">
    <cfRule type="expression" dxfId="113" priority="11" stopIfTrue="1">
      <formula>$F$47="超过20%"</formula>
    </cfRule>
  </conditionalFormatting>
  <conditionalFormatting sqref="E48">
    <cfRule type="expression" dxfId="112" priority="10" stopIfTrue="1">
      <formula>$F$48="超过30%"</formula>
    </cfRule>
  </conditionalFormatting>
  <conditionalFormatting sqref="G48">
    <cfRule type="expression" dxfId="111" priority="9" stopIfTrue="1">
      <formula>$H$48="超过30%"</formula>
    </cfRule>
  </conditionalFormatting>
  <conditionalFormatting sqref="G46">
    <cfRule type="expression" dxfId="110" priority="8" stopIfTrue="1">
      <formula>$H$46="超过30%"</formula>
    </cfRule>
  </conditionalFormatting>
  <conditionalFormatting sqref="G47">
    <cfRule type="expression" dxfId="109" priority="7" stopIfTrue="1">
      <formula>$H$47="超过20%"</formula>
    </cfRule>
  </conditionalFormatting>
  <conditionalFormatting sqref="J46">
    <cfRule type="containsText" dxfId="108" priority="6" stopIfTrue="1" operator="containsText" text="超过">
      <formula>NOT(ISERROR(SEARCH("超过",J46)))</formula>
    </cfRule>
  </conditionalFormatting>
  <conditionalFormatting sqref="J48">
    <cfRule type="containsText" dxfId="107" priority="5" stopIfTrue="1" operator="containsText" text="超过">
      <formula>NOT(ISERROR(SEARCH("超过",J48)))</formula>
    </cfRule>
  </conditionalFormatting>
  <conditionalFormatting sqref="J47">
    <cfRule type="containsText" dxfId="106" priority="4" stopIfTrue="1" operator="containsText" text="超过">
      <formula>NOT(ISERROR(SEARCH("超过",J47)))</formula>
    </cfRule>
  </conditionalFormatting>
  <conditionalFormatting sqref="I46">
    <cfRule type="expression" dxfId="105" priority="3" stopIfTrue="1">
      <formula>$J$46="超过30%"</formula>
    </cfRule>
  </conditionalFormatting>
  <conditionalFormatting sqref="I47">
    <cfRule type="expression" dxfId="104" priority="2" stopIfTrue="1">
      <formula>$J$47="超过20%"</formula>
    </cfRule>
  </conditionalFormatting>
  <conditionalFormatting sqref="I48">
    <cfRule type="expression" dxfId="10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8"/>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2650</v>
      </c>
      <c r="B4" s="402"/>
      <c r="C4" s="3240" t="s">
        <v>2651</v>
      </c>
      <c r="D4" s="3241"/>
      <c r="E4" s="3242" t="s">
        <v>2652</v>
      </c>
      <c r="F4" s="3243"/>
      <c r="G4" s="3240" t="s">
        <v>2653</v>
      </c>
      <c r="H4" s="3241"/>
      <c r="I4" s="3240" t="s">
        <v>2654</v>
      </c>
      <c r="J4" s="3241"/>
      <c r="K4" s="610" t="s">
        <v>2655</v>
      </c>
      <c r="L4" s="1132"/>
      <c r="M4" s="1133"/>
      <c r="N4" s="1133"/>
      <c r="O4" s="1133"/>
      <c r="P4" s="3244" t="s">
        <v>2656</v>
      </c>
      <c r="Q4" s="3245"/>
      <c r="R4" s="3250" t="s">
        <v>2652</v>
      </c>
      <c r="S4" s="3251"/>
      <c r="T4" s="3250" t="s">
        <v>2653</v>
      </c>
      <c r="U4" s="3251"/>
      <c r="V4" s="3256" t="s">
        <v>2654</v>
      </c>
      <c r="W4" s="3256"/>
      <c r="X4" s="1815"/>
      <c r="Y4" s="3250" t="s">
        <v>2656</v>
      </c>
      <c r="Z4" s="3251"/>
      <c r="AA4" s="3237" t="s">
        <v>2652</v>
      </c>
      <c r="AB4" s="3238" t="s">
        <v>2653</v>
      </c>
      <c r="AC4" s="3237" t="s">
        <v>2654</v>
      </c>
    </row>
    <row r="5" spans="1:29" ht="15">
      <c r="A5" s="404"/>
      <c r="B5" s="405"/>
      <c r="C5" s="3259" t="s">
        <v>2547</v>
      </c>
      <c r="D5" s="3260"/>
      <c r="E5" s="3266" t="s">
        <v>2548</v>
      </c>
      <c r="F5" s="3267"/>
      <c r="G5" s="3259" t="s">
        <v>2549</v>
      </c>
      <c r="H5" s="3260"/>
      <c r="I5" s="3259" t="s">
        <v>2550</v>
      </c>
      <c r="J5" s="3260"/>
      <c r="K5" s="610"/>
      <c r="L5" s="1132"/>
      <c r="M5" s="1133"/>
      <c r="N5" s="1133"/>
      <c r="O5" s="1133"/>
      <c r="P5" s="3246"/>
      <c r="Q5" s="3247"/>
      <c r="R5" s="3252"/>
      <c r="S5" s="3253"/>
      <c r="T5" s="3252"/>
      <c r="U5" s="3253"/>
      <c r="V5" s="3256"/>
      <c r="W5" s="3256"/>
      <c r="X5" s="1815"/>
      <c r="Y5" s="3252"/>
      <c r="Z5" s="3253"/>
      <c r="AA5" s="3238"/>
      <c r="AB5" s="3238"/>
      <c r="AC5" s="3238"/>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1815"/>
      <c r="Y6" s="3254"/>
      <c r="Z6" s="3255"/>
      <c r="AA6" s="3239"/>
      <c r="AB6" s="3239"/>
      <c r="AC6" s="3239"/>
    </row>
    <row r="7" spans="1:29" s="117" customFormat="1" ht="15.75" thickBot="1">
      <c r="A7" s="408" t="s">
        <v>2553</v>
      </c>
      <c r="B7" s="409"/>
      <c r="C7" s="410">
        <f>'数据-取费表'!B2</f>
        <v>43172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61" t="s">
        <v>2554</v>
      </c>
      <c r="Q7" s="3263"/>
      <c r="R7" s="769" t="s">
        <v>17</v>
      </c>
      <c r="S7" s="770">
        <f t="shared" ref="S7:S14" si="0">F7</f>
        <v>0</v>
      </c>
      <c r="T7" s="769" t="s">
        <v>17</v>
      </c>
      <c r="U7" s="770">
        <f t="shared" ref="U7:U14" si="1">H7</f>
        <v>0</v>
      </c>
      <c r="V7" s="769" t="s">
        <v>17</v>
      </c>
      <c r="W7" s="770">
        <f t="shared" ref="W7:W14" si="2">J7</f>
        <v>0</v>
      </c>
      <c r="X7" s="771"/>
      <c r="Y7" s="3261" t="s">
        <v>2554</v>
      </c>
      <c r="Z7" s="3262"/>
      <c r="AA7" s="772" t="e">
        <f>D7/F7</f>
        <v>#DIV/0!</v>
      </c>
      <c r="AB7" s="772" t="e">
        <f>D7/H7</f>
        <v>#DIV/0!</v>
      </c>
      <c r="AC7" s="772"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61" t="s">
        <v>2557</v>
      </c>
      <c r="Q8" s="3262"/>
      <c r="R8" s="769" t="s">
        <v>17</v>
      </c>
      <c r="S8" s="770">
        <f t="shared" si="0"/>
        <v>0</v>
      </c>
      <c r="T8" s="769" t="s">
        <v>17</v>
      </c>
      <c r="U8" s="770">
        <f t="shared" si="1"/>
        <v>0</v>
      </c>
      <c r="V8" s="769" t="s">
        <v>17</v>
      </c>
      <c r="W8" s="770">
        <f t="shared" si="2"/>
        <v>0</v>
      </c>
      <c r="X8" s="771"/>
      <c r="Y8" s="3261" t="s">
        <v>2557</v>
      </c>
      <c r="Z8" s="3262"/>
      <c r="AA8" s="772" t="e">
        <f t="shared" ref="AA8:AA36" si="3">D8/F8</f>
        <v>#DIV/0!</v>
      </c>
      <c r="AB8" s="772" t="e">
        <f t="shared" ref="AB8:AB36" si="4">D8/H8</f>
        <v>#DIV/0!</v>
      </c>
      <c r="AC8" s="772" t="e">
        <f t="shared" ref="AC8:AC36" si="5">D8/J8</f>
        <v>#DIV/0!</v>
      </c>
    </row>
    <row r="9" spans="1:29" s="117" customFormat="1">
      <c r="A9" s="68" t="s">
        <v>2558</v>
      </c>
      <c r="B9" s="639" t="s">
        <v>2559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5" t="s">
        <v>2560</v>
      </c>
      <c r="Q9" s="1797" t="str">
        <f t="shared" ref="Q9:Q14" si="6">B9</f>
        <v>用途</v>
      </c>
      <c r="R9" s="769" t="s">
        <v>17</v>
      </c>
      <c r="S9" s="770">
        <f t="shared" si="0"/>
        <v>100</v>
      </c>
      <c r="T9" s="769" t="s">
        <v>17</v>
      </c>
      <c r="U9" s="770">
        <f t="shared" si="1"/>
        <v>100</v>
      </c>
      <c r="V9" s="769" t="s">
        <v>17</v>
      </c>
      <c r="W9" s="770">
        <f t="shared" si="2"/>
        <v>100</v>
      </c>
      <c r="X9" s="771"/>
      <c r="Y9" s="3046" t="s">
        <v>2561</v>
      </c>
      <c r="Z9" s="55" t="str">
        <f t="shared" ref="Z9:Z14" si="7">Q9</f>
        <v>用途</v>
      </c>
      <c r="AA9" s="772">
        <f t="shared" si="3"/>
        <v>1</v>
      </c>
      <c r="AB9" s="772">
        <f t="shared" si="4"/>
        <v>1</v>
      </c>
      <c r="AC9" s="772">
        <f t="shared" si="5"/>
        <v>1</v>
      </c>
    </row>
    <row r="10" spans="1:29" s="427" customFormat="1" ht="27">
      <c r="A10" s="640"/>
      <c r="B10" s="641" t="s">
        <v>2562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5"/>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5"/>
      <c r="Q11" s="1797">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5"/>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5"/>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01" t="s">
        <v>2564</v>
      </c>
      <c r="B14" s="628" t="s">
        <v>2714</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7" t="s">
        <v>2565</v>
      </c>
      <c r="Q14" s="1812" t="str">
        <f t="shared" si="6"/>
        <v>交通便捷度</v>
      </c>
      <c r="R14" s="773" t="s">
        <v>17</v>
      </c>
      <c r="S14" s="774">
        <f t="shared" si="0"/>
        <v>100</v>
      </c>
      <c r="T14" s="773" t="s">
        <v>17</v>
      </c>
      <c r="U14" s="774">
        <f t="shared" si="1"/>
        <v>100</v>
      </c>
      <c r="V14" s="773" t="s">
        <v>17</v>
      </c>
      <c r="W14" s="774">
        <f t="shared" si="2"/>
        <v>100</v>
      </c>
      <c r="X14" s="1815"/>
      <c r="Y14" s="3227" t="s">
        <v>2565</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28"/>
      <c r="Q15" s="1812"/>
      <c r="R15" s="773"/>
      <c r="S15" s="774"/>
      <c r="T15" s="773"/>
      <c r="U15" s="774"/>
      <c r="V15" s="773"/>
      <c r="W15" s="774"/>
      <c r="X15" s="1815"/>
      <c r="Y15" s="3228"/>
      <c r="Z15" s="1816"/>
      <c r="AA15" s="1813">
        <v>1</v>
      </c>
      <c r="AB15" s="1813">
        <v>1</v>
      </c>
      <c r="AC15" s="1813">
        <v>1</v>
      </c>
    </row>
    <row r="16" spans="1:29" ht="42.75">
      <c r="A16" s="404"/>
      <c r="B16" s="630" t="s">
        <v>2693</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8"/>
      <c r="Q16" s="1812" t="str">
        <f>B16</f>
        <v>公共配套设施</v>
      </c>
      <c r="R16" s="773" t="s">
        <v>17</v>
      </c>
      <c r="S16" s="774">
        <f>F16</f>
        <v>100</v>
      </c>
      <c r="T16" s="773" t="s">
        <v>17</v>
      </c>
      <c r="U16" s="774">
        <f>H16</f>
        <v>100</v>
      </c>
      <c r="V16" s="773" t="s">
        <v>17</v>
      </c>
      <c r="W16" s="774">
        <f>J16</f>
        <v>100</v>
      </c>
      <c r="X16" s="1815"/>
      <c r="Y16" s="3228"/>
      <c r="Z16" s="1816" t="str">
        <f>Q16</f>
        <v>公共配套设施</v>
      </c>
      <c r="AA16" s="1813">
        <f t="shared" si="3"/>
        <v>1</v>
      </c>
      <c r="AB16" s="1813">
        <f t="shared" si="4"/>
        <v>1</v>
      </c>
      <c r="AC16" s="1813">
        <f t="shared" si="5"/>
        <v>1</v>
      </c>
    </row>
    <row r="17" spans="1:29" ht="15">
      <c r="A17" s="404"/>
      <c r="B17" s="631"/>
      <c r="C17" s="2612"/>
      <c r="D17" s="448"/>
      <c r="E17" s="447"/>
      <c r="F17" s="449"/>
      <c r="G17" s="447"/>
      <c r="H17" s="448"/>
      <c r="I17" s="447"/>
      <c r="J17" s="448"/>
      <c r="K17" s="615"/>
      <c r="L17" s="1142"/>
      <c r="M17" s="1133"/>
      <c r="N17" s="1133"/>
      <c r="O17" s="1133"/>
      <c r="P17" s="3228"/>
      <c r="Q17" s="1812"/>
      <c r="R17" s="773"/>
      <c r="S17" s="774"/>
      <c r="T17" s="773"/>
      <c r="U17" s="774"/>
      <c r="V17" s="773"/>
      <c r="W17" s="774"/>
      <c r="X17" s="1815"/>
      <c r="Y17" s="3228"/>
      <c r="Z17" s="1816"/>
      <c r="AA17" s="1813">
        <v>1</v>
      </c>
      <c r="AB17" s="1813">
        <v>1</v>
      </c>
      <c r="AC17" s="1813">
        <v>1</v>
      </c>
    </row>
    <row r="18" spans="1:29" ht="28.5">
      <c r="A18" s="404"/>
      <c r="B18" s="632" t="s">
        <v>2694</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8"/>
      <c r="Q18" s="1812" t="str">
        <f>B18</f>
        <v>基础设施水平</v>
      </c>
      <c r="R18" s="773" t="s">
        <v>17</v>
      </c>
      <c r="S18" s="774">
        <f>F18</f>
        <v>100</v>
      </c>
      <c r="T18" s="773" t="s">
        <v>17</v>
      </c>
      <c r="U18" s="774">
        <f>H18</f>
        <v>100</v>
      </c>
      <c r="V18" s="773" t="s">
        <v>17</v>
      </c>
      <c r="W18" s="774">
        <f>J18</f>
        <v>100</v>
      </c>
      <c r="X18" s="1815"/>
      <c r="Y18" s="3228"/>
      <c r="Z18" s="1816" t="str">
        <f>Q18</f>
        <v>基础设施水平</v>
      </c>
      <c r="AA18" s="1813">
        <f t="shared" ref="AA18" si="8">D18/F18</f>
        <v>1</v>
      </c>
      <c r="AB18" s="1813">
        <f t="shared" ref="AB18" si="9">D18/H18</f>
        <v>1</v>
      </c>
      <c r="AC18" s="1813">
        <f t="shared" ref="AC18" si="10">D18/J18</f>
        <v>1</v>
      </c>
    </row>
    <row r="19" spans="1:29" ht="15">
      <c r="A19" s="404"/>
      <c r="B19" s="632"/>
      <c r="C19" s="2612"/>
      <c r="D19" s="450"/>
      <c r="E19" s="2612"/>
      <c r="F19" s="453"/>
      <c r="G19" s="2612"/>
      <c r="H19" s="448"/>
      <c r="I19" s="447"/>
      <c r="J19" s="448"/>
      <c r="K19" s="1385"/>
      <c r="L19" s="1142"/>
      <c r="M19" s="1133"/>
      <c r="N19" s="1133"/>
      <c r="O19" s="1133"/>
      <c r="P19" s="3228"/>
      <c r="Q19" s="1812"/>
      <c r="R19" s="773"/>
      <c r="S19" s="774"/>
      <c r="T19" s="773"/>
      <c r="U19" s="774"/>
      <c r="V19" s="773"/>
      <c r="W19" s="774"/>
      <c r="X19" s="1815"/>
      <c r="Y19" s="3228"/>
      <c r="Z19" s="1816"/>
      <c r="AA19" s="1813">
        <v>1</v>
      </c>
      <c r="AB19" s="1813">
        <v>1</v>
      </c>
      <c r="AC19" s="1813">
        <v>1</v>
      </c>
    </row>
    <row r="20" spans="1:29" ht="57">
      <c r="A20" s="404"/>
      <c r="B20" s="630" t="s">
        <v>2715</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8"/>
      <c r="Q20" s="1812" t="str">
        <f>B20</f>
        <v>自然及人文环境</v>
      </c>
      <c r="R20" s="773" t="s">
        <v>17</v>
      </c>
      <c r="S20" s="774">
        <f>F20</f>
        <v>100</v>
      </c>
      <c r="T20" s="773" t="s">
        <v>17</v>
      </c>
      <c r="U20" s="774">
        <f>H20</f>
        <v>100</v>
      </c>
      <c r="V20" s="773" t="s">
        <v>17</v>
      </c>
      <c r="W20" s="774">
        <f>J20</f>
        <v>100</v>
      </c>
      <c r="X20" s="1815"/>
      <c r="Y20" s="3228"/>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28"/>
      <c r="Q21" s="1812"/>
      <c r="R21" s="773"/>
      <c r="S21" s="774"/>
      <c r="T21" s="773"/>
      <c r="U21" s="774"/>
      <c r="V21" s="773"/>
      <c r="W21" s="774"/>
      <c r="X21" s="1815"/>
      <c r="Y21" s="3228"/>
      <c r="Z21" s="1816"/>
      <c r="AA21" s="1813">
        <v>1</v>
      </c>
      <c r="AB21" s="1813">
        <v>1</v>
      </c>
      <c r="AC21" s="1813">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8"/>
      <c r="Q22" s="1812" t="str">
        <f>B22</f>
        <v>楼层</v>
      </c>
      <c r="R22" s="773" t="s">
        <v>17</v>
      </c>
      <c r="S22" s="774">
        <f>F22</f>
        <v>100</v>
      </c>
      <c r="T22" s="773" t="s">
        <v>17</v>
      </c>
      <c r="U22" s="774">
        <f>H22</f>
        <v>100</v>
      </c>
      <c r="V22" s="773" t="s">
        <v>17</v>
      </c>
      <c r="W22" s="774">
        <f>J22</f>
        <v>100</v>
      </c>
      <c r="X22" s="1815"/>
      <c r="Y22" s="3228"/>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8"/>
      <c r="Q23" s="1812">
        <f>B23</f>
        <v>111</v>
      </c>
      <c r="R23" s="773" t="s">
        <v>17</v>
      </c>
      <c r="S23" s="774">
        <f>F23</f>
        <v>100</v>
      </c>
      <c r="T23" s="773" t="s">
        <v>17</v>
      </c>
      <c r="U23" s="774">
        <f>H23</f>
        <v>100</v>
      </c>
      <c r="V23" s="773" t="s">
        <v>17</v>
      </c>
      <c r="W23" s="774">
        <f>J23</f>
        <v>100</v>
      </c>
      <c r="X23" s="1815"/>
      <c r="Y23" s="3228"/>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8"/>
      <c r="Q24" s="1812">
        <f t="shared" ref="Q24:Q36" si="11">B24</f>
        <v>111</v>
      </c>
      <c r="R24" s="773" t="s">
        <v>17</v>
      </c>
      <c r="S24" s="774">
        <f>F24</f>
        <v>100</v>
      </c>
      <c r="T24" s="773" t="s">
        <v>17</v>
      </c>
      <c r="U24" s="774">
        <f>H24</f>
        <v>100</v>
      </c>
      <c r="V24" s="773" t="s">
        <v>17</v>
      </c>
      <c r="W24" s="774">
        <f>J24</f>
        <v>100</v>
      </c>
      <c r="X24" s="1815"/>
      <c r="Y24" s="3228"/>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28"/>
      <c r="Q25" s="1797">
        <f t="shared" si="11"/>
        <v>111</v>
      </c>
      <c r="R25" s="769" t="s">
        <v>17</v>
      </c>
      <c r="S25" s="770">
        <f>F25</f>
        <v>100</v>
      </c>
      <c r="T25" s="769" t="s">
        <v>17</v>
      </c>
      <c r="U25" s="770">
        <f>H25</f>
        <v>100</v>
      </c>
      <c r="V25" s="769" t="s">
        <v>17</v>
      </c>
      <c r="W25" s="770">
        <f>J25</f>
        <v>100</v>
      </c>
      <c r="X25" s="771"/>
      <c r="Y25" s="3228"/>
      <c r="Z25" s="55">
        <f>Q25</f>
        <v>111</v>
      </c>
      <c r="AA25" s="1813">
        <f>D25/F25</f>
        <v>1</v>
      </c>
      <c r="AB25" s="1813">
        <f>D25/H25</f>
        <v>1</v>
      </c>
      <c r="AC25" s="1813">
        <f>D25/J25</f>
        <v>1</v>
      </c>
    </row>
    <row r="26" spans="1:29" ht="15">
      <c r="A26" s="651" t="s">
        <v>2568</v>
      </c>
      <c r="B26" s="70" t="s">
        <v>2717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85" t="s">
        <v>2570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32" t="s">
        <v>2570</v>
      </c>
      <c r="Z26" s="1816" t="str">
        <f t="shared" ref="Z26:Z36" si="15">Q26</f>
        <v>配套类型</v>
      </c>
      <c r="AA26" s="1813">
        <f t="shared" si="3"/>
        <v>1</v>
      </c>
      <c r="AB26" s="1813">
        <f t="shared" si="4"/>
        <v>1</v>
      </c>
      <c r="AC26" s="1813">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32"/>
      <c r="Q27" s="775" t="str">
        <f t="shared" si="11"/>
        <v>项目停车位配比</v>
      </c>
      <c r="R27" s="776" t="s">
        <v>17</v>
      </c>
      <c r="S27" s="777">
        <f t="shared" si="12"/>
        <v>100</v>
      </c>
      <c r="T27" s="776" t="s">
        <v>17</v>
      </c>
      <c r="U27" s="777">
        <f t="shared" si="13"/>
        <v>100</v>
      </c>
      <c r="V27" s="776" t="s">
        <v>17</v>
      </c>
      <c r="W27" s="777">
        <f t="shared" si="14"/>
        <v>100</v>
      </c>
      <c r="X27" s="778"/>
      <c r="Y27" s="3232"/>
      <c r="Z27" s="779" t="str">
        <f t="shared" si="15"/>
        <v>项目停车位配比</v>
      </c>
      <c r="AA27" s="1813">
        <f t="shared" si="3"/>
        <v>1</v>
      </c>
      <c r="AB27" s="1813">
        <f t="shared" si="4"/>
        <v>1</v>
      </c>
      <c r="AC27" s="1813">
        <f t="shared" si="5"/>
        <v>1</v>
      </c>
    </row>
    <row r="28" spans="1:29" ht="15">
      <c r="A28" s="655"/>
      <c r="B28" s="653" t="s">
        <v>2719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2"/>
      <c r="Q28" s="1812" t="str">
        <f t="shared" si="11"/>
        <v>公共部分装修</v>
      </c>
      <c r="R28" s="773" t="s">
        <v>17</v>
      </c>
      <c r="S28" s="774">
        <f t="shared" si="12"/>
        <v>100</v>
      </c>
      <c r="T28" s="773" t="s">
        <v>17</v>
      </c>
      <c r="U28" s="774">
        <f t="shared" si="13"/>
        <v>100</v>
      </c>
      <c r="V28" s="773" t="s">
        <v>17</v>
      </c>
      <c r="W28" s="774">
        <f t="shared" si="14"/>
        <v>100</v>
      </c>
      <c r="X28" s="1815"/>
      <c r="Y28" s="3232"/>
      <c r="Z28" s="1816" t="str">
        <f t="shared" si="15"/>
        <v>公共部分装修</v>
      </c>
      <c r="AA28" s="1813">
        <f t="shared" si="3"/>
        <v>1</v>
      </c>
      <c r="AB28" s="1813">
        <f t="shared" si="4"/>
        <v>1</v>
      </c>
      <c r="AC28" s="1813">
        <f t="shared" si="5"/>
        <v>1</v>
      </c>
    </row>
    <row r="29" spans="1:29" ht="15">
      <c r="A29" s="655"/>
      <c r="B29" s="653"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2"/>
      <c r="Q29" s="1812" t="str">
        <f t="shared" si="11"/>
        <v>成新率</v>
      </c>
      <c r="R29" s="773" t="s">
        <v>17</v>
      </c>
      <c r="S29" s="774" t="e">
        <f t="shared" si="12"/>
        <v>#N/A</v>
      </c>
      <c r="T29" s="773" t="s">
        <v>17</v>
      </c>
      <c r="U29" s="774" t="e">
        <f t="shared" si="13"/>
        <v>#N/A</v>
      </c>
      <c r="V29" s="773" t="s">
        <v>17</v>
      </c>
      <c r="W29" s="774" t="e">
        <f t="shared" si="14"/>
        <v>#N/A</v>
      </c>
      <c r="X29" s="1815"/>
      <c r="Y29" s="3232"/>
      <c r="Z29" s="1816" t="str">
        <f t="shared" si="15"/>
        <v>成新率</v>
      </c>
      <c r="AA29" s="1813" t="e">
        <f t="shared" si="3"/>
        <v>#N/A</v>
      </c>
      <c r="AB29" s="1813" t="e">
        <f t="shared" si="4"/>
        <v>#N/A</v>
      </c>
      <c r="AC29" s="1813" t="e">
        <f t="shared" si="5"/>
        <v>#N/A</v>
      </c>
    </row>
    <row r="30" spans="1:29" ht="15">
      <c r="A30" s="655"/>
      <c r="B30" s="653" t="s">
        <v>2721</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32"/>
      <c r="Q30" s="1812" t="str">
        <f t="shared" si="11"/>
        <v>物业等级</v>
      </c>
      <c r="R30" s="773" t="s">
        <v>17</v>
      </c>
      <c r="S30" s="774">
        <f t="shared" si="12"/>
        <v>100</v>
      </c>
      <c r="T30" s="773" t="s">
        <v>17</v>
      </c>
      <c r="U30" s="774">
        <f t="shared" si="13"/>
        <v>100</v>
      </c>
      <c r="V30" s="773" t="s">
        <v>17</v>
      </c>
      <c r="W30" s="774">
        <f t="shared" si="14"/>
        <v>100</v>
      </c>
      <c r="X30" s="1815"/>
      <c r="Y30" s="3232"/>
      <c r="Z30" s="1816" t="str">
        <f t="shared" si="15"/>
        <v>物业等级</v>
      </c>
      <c r="AA30" s="1813">
        <f t="shared" si="3"/>
        <v>1</v>
      </c>
      <c r="AB30" s="1813">
        <f t="shared" si="4"/>
        <v>1</v>
      </c>
      <c r="AC30" s="1813">
        <f t="shared" si="5"/>
        <v>1</v>
      </c>
    </row>
    <row r="31" spans="1:29" s="117" customFormat="1" ht="15">
      <c r="A31" s="657"/>
      <c r="B31" s="653"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2"/>
      <c r="Q31" s="1797" t="str">
        <f t="shared" si="11"/>
        <v>停车位面积</v>
      </c>
      <c r="R31" s="769" t="s">
        <v>17</v>
      </c>
      <c r="S31" s="770" t="e">
        <f t="shared" si="12"/>
        <v>#N/A</v>
      </c>
      <c r="T31" s="769" t="s">
        <v>17</v>
      </c>
      <c r="U31" s="770" t="e">
        <f t="shared" si="13"/>
        <v>#N/A</v>
      </c>
      <c r="V31" s="769" t="s">
        <v>17</v>
      </c>
      <c r="W31" s="770" t="e">
        <f t="shared" si="14"/>
        <v>#N/A</v>
      </c>
      <c r="X31" s="771"/>
      <c r="Y31" s="3232"/>
      <c r="Z31" s="55" t="str">
        <f t="shared" si="15"/>
        <v>停车位面积</v>
      </c>
      <c r="AA31" s="772" t="e">
        <f t="shared" si="3"/>
        <v>#N/A</v>
      </c>
      <c r="AB31" s="772" t="e">
        <f t="shared" si="4"/>
        <v>#N/A</v>
      </c>
      <c r="AC31" s="772" t="e">
        <f t="shared" si="5"/>
        <v>#N/A</v>
      </c>
    </row>
    <row r="32" spans="1:29" ht="15">
      <c r="A32" s="655"/>
      <c r="B32" s="653" t="s">
        <v>2723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2" t="s">
        <v>2570</v>
      </c>
      <c r="Q32" s="1812" t="str">
        <f t="shared" si="11"/>
        <v>车位类型</v>
      </c>
      <c r="R32" s="773" t="s">
        <v>17</v>
      </c>
      <c r="S32" s="774">
        <f t="shared" si="12"/>
        <v>100</v>
      </c>
      <c r="T32" s="773" t="s">
        <v>17</v>
      </c>
      <c r="U32" s="774">
        <f t="shared" si="13"/>
        <v>100</v>
      </c>
      <c r="V32" s="773" t="s">
        <v>17</v>
      </c>
      <c r="W32" s="774">
        <f t="shared" si="14"/>
        <v>100</v>
      </c>
      <c r="X32" s="1815"/>
      <c r="Y32" s="3232" t="s">
        <v>2570</v>
      </c>
      <c r="Z32" s="1816" t="str">
        <f t="shared" si="15"/>
        <v>车位类型</v>
      </c>
      <c r="AA32" s="1813">
        <f t="shared" si="3"/>
        <v>1</v>
      </c>
      <c r="AB32" s="1813">
        <f t="shared" si="4"/>
        <v>1</v>
      </c>
      <c r="AC32" s="1813">
        <f t="shared" si="5"/>
        <v>1</v>
      </c>
    </row>
    <row r="33" spans="1:29" ht="15">
      <c r="A33" s="655"/>
      <c r="B33" s="653" t="s">
        <v>2724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2"/>
      <c r="Q33" s="1812" t="str">
        <f t="shared" si="11"/>
        <v>是否直接入户</v>
      </c>
      <c r="R33" s="773" t="s">
        <v>17</v>
      </c>
      <c r="S33" s="774">
        <f t="shared" si="12"/>
        <v>100</v>
      </c>
      <c r="T33" s="773" t="s">
        <v>17</v>
      </c>
      <c r="U33" s="774">
        <f t="shared" si="13"/>
        <v>100</v>
      </c>
      <c r="V33" s="773" t="s">
        <v>17</v>
      </c>
      <c r="W33" s="774">
        <f t="shared" si="14"/>
        <v>100</v>
      </c>
      <c r="X33" s="1815"/>
      <c r="Y33" s="3232"/>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2"/>
      <c r="Q34" s="1812">
        <f t="shared" si="11"/>
        <v>111</v>
      </c>
      <c r="R34" s="773" t="s">
        <v>17</v>
      </c>
      <c r="S34" s="774">
        <f t="shared" si="12"/>
        <v>100</v>
      </c>
      <c r="T34" s="773" t="s">
        <v>17</v>
      </c>
      <c r="U34" s="774">
        <f t="shared" si="13"/>
        <v>100</v>
      </c>
      <c r="V34" s="773" t="s">
        <v>17</v>
      </c>
      <c r="W34" s="774">
        <f t="shared" si="14"/>
        <v>100</v>
      </c>
      <c r="X34" s="1815"/>
      <c r="Y34" s="3232"/>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2"/>
      <c r="Q35" s="775">
        <f t="shared" si="11"/>
        <v>111</v>
      </c>
      <c r="R35" s="776" t="s">
        <v>17</v>
      </c>
      <c r="S35" s="777">
        <f t="shared" si="12"/>
        <v>100</v>
      </c>
      <c r="T35" s="776" t="s">
        <v>17</v>
      </c>
      <c r="U35" s="777">
        <f t="shared" si="13"/>
        <v>100</v>
      </c>
      <c r="V35" s="776" t="s">
        <v>17</v>
      </c>
      <c r="W35" s="777">
        <f t="shared" si="14"/>
        <v>100</v>
      </c>
      <c r="X35" s="778"/>
      <c r="Y35" s="3232"/>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2"/>
      <c r="Q36" s="1812">
        <f t="shared" si="11"/>
        <v>111</v>
      </c>
      <c r="R36" s="773" t="s">
        <v>17</v>
      </c>
      <c r="S36" s="774">
        <f t="shared" si="12"/>
        <v>100</v>
      </c>
      <c r="T36" s="773" t="s">
        <v>17</v>
      </c>
      <c r="U36" s="774">
        <f t="shared" si="13"/>
        <v>100</v>
      </c>
      <c r="V36" s="773" t="s">
        <v>17</v>
      </c>
      <c r="W36" s="774">
        <f t="shared" si="14"/>
        <v>100</v>
      </c>
      <c r="X36" s="1815"/>
      <c r="Y36" s="3232"/>
      <c r="Z36" s="1816">
        <f t="shared" si="15"/>
        <v>111</v>
      </c>
      <c r="AA36" s="1813">
        <f t="shared" si="3"/>
        <v>1</v>
      </c>
      <c r="AB36" s="1813">
        <f t="shared" si="4"/>
        <v>1</v>
      </c>
      <c r="AC36" s="1813">
        <f t="shared" si="5"/>
        <v>1</v>
      </c>
    </row>
    <row r="37" spans="1:29" ht="15">
      <c r="A37" s="479" t="s">
        <v>2725</v>
      </c>
      <c r="B37" s="2699" t="s">
        <v>2726</v>
      </c>
      <c r="C37" s="1409" t="s">
        <v>1</v>
      </c>
      <c r="D37" s="1410"/>
      <c r="E37" s="1411"/>
      <c r="F37" s="1412"/>
      <c r="G37" s="1413"/>
      <c r="H37" s="1414"/>
      <c r="I37" s="1411"/>
      <c r="J37" s="1414"/>
      <c r="K37" s="618"/>
      <c r="L37" s="1145"/>
      <c r="M37" s="1146"/>
      <c r="N37" s="1133"/>
      <c r="O37" s="1146"/>
      <c r="P37" s="3225" t="str">
        <f>A37</f>
        <v>成交单价</v>
      </c>
      <c r="Q37" s="3225"/>
      <c r="R37" s="3226">
        <f>E37</f>
        <v>0</v>
      </c>
      <c r="S37" s="3226"/>
      <c r="T37" s="3226">
        <f>G37</f>
        <v>0</v>
      </c>
      <c r="U37" s="3226"/>
      <c r="V37" s="3226">
        <f>I37</f>
        <v>0</v>
      </c>
      <c r="W37" s="3226"/>
      <c r="X37" s="758"/>
      <c r="Y37" s="780"/>
      <c r="Z37" s="758"/>
      <c r="AA37" s="758"/>
      <c r="AB37" s="758"/>
      <c r="AC37" s="758"/>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8"/>
      <c r="Y38" s="758"/>
      <c r="Z38" s="758"/>
      <c r="AA38" s="758"/>
      <c r="AB38" s="758"/>
      <c r="AC38" s="758"/>
    </row>
    <row r="39" spans="1:29" ht="15.75" thickBot="1">
      <c r="A39" s="492" t="s">
        <v>2728</v>
      </c>
      <c r="B39" s="493"/>
      <c r="C39" s="1419" t="e">
        <f>R39</f>
        <v>#DIV/0!</v>
      </c>
      <c r="D39" s="1419"/>
      <c r="E39" s="1419"/>
      <c r="F39" s="1419"/>
      <c r="G39" s="1419"/>
      <c r="H39" s="1419"/>
      <c r="I39" s="1419"/>
      <c r="J39" s="1419"/>
      <c r="K39" s="620"/>
      <c r="L39" s="1145"/>
      <c r="M39" s="1146"/>
      <c r="N39" s="1146"/>
      <c r="O39" s="1146"/>
      <c r="P39" s="3222" t="str">
        <f>A39</f>
        <v>估价对象XX用房的比较价值（楼面单价，元/平方米）</v>
      </c>
      <c r="Q39" s="3223"/>
      <c r="R39" s="3224" t="e">
        <f>IF(F1="售价",ROUND(AVERAGE(R38:V38),0),ROUND(AVERAGE(R38:V38),1))</f>
        <v>#DIV/0!</v>
      </c>
      <c r="S39" s="3224"/>
      <c r="T39" s="3224"/>
      <c r="U39" s="3224"/>
      <c r="V39" s="3224"/>
      <c r="W39" s="322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2733</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2608</v>
      </c>
      <c r="C65" s="578" t="s">
        <v>2602</v>
      </c>
      <c r="D65" s="578" t="s">
        <v>2603</v>
      </c>
      <c r="E65" s="578" t="s">
        <v>2604</v>
      </c>
      <c r="F65" s="578" t="s">
        <v>2605</v>
      </c>
      <c r="G65" s="578" t="s">
        <v>2606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2694</v>
      </c>
      <c r="C67" s="659" t="s">
        <v>2680</v>
      </c>
      <c r="D67" s="659" t="s">
        <v>2681</v>
      </c>
      <c r="E67" s="659" t="s">
        <v>2682</v>
      </c>
      <c r="F67" s="659" t="s">
        <v>2683</v>
      </c>
      <c r="G67" s="659" t="s">
        <v>2684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2614</v>
      </c>
      <c r="C69" s="578" t="s">
        <v>2602</v>
      </c>
      <c r="D69" s="578" t="s">
        <v>2603</v>
      </c>
      <c r="E69" s="578" t="s">
        <v>2604</v>
      </c>
      <c r="F69" s="578" t="s">
        <v>2605</v>
      </c>
      <c r="G69" s="578" t="s">
        <v>2606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4" stopIfTrue="1" operator="containsText" text="超过">
      <formula>NOT(ISERROR(SEARCH("超过",F42)))</formula>
    </cfRule>
  </conditionalFormatting>
  <conditionalFormatting sqref="J44">
    <cfRule type="containsText" dxfId="101" priority="13" stopIfTrue="1" operator="containsText" text="超过">
      <formula>NOT(ISERROR(SEARCH("超过",J44)))</formula>
    </cfRule>
  </conditionalFormatting>
  <conditionalFormatting sqref="H44">
    <cfRule type="containsText" dxfId="100" priority="12" stopIfTrue="1" operator="containsText" text="超过">
      <formula>NOT(ISERROR(SEARCH("超过",H44)))</formula>
    </cfRule>
  </conditionalFormatting>
  <conditionalFormatting sqref="F44">
    <cfRule type="containsText" dxfId="99" priority="11" stopIfTrue="1" operator="containsText" text="超过">
      <formula>NOT(ISERROR(SEARCH("超过",F44)))</formula>
    </cfRule>
  </conditionalFormatting>
  <conditionalFormatting sqref="F43 H43 J43">
    <cfRule type="containsText" dxfId="98" priority="10" stopIfTrue="1" operator="containsText" text="超过">
      <formula>NOT(ISERROR(SEARCH("超过",F43)))</formula>
    </cfRule>
  </conditionalFormatting>
  <conditionalFormatting sqref="E42">
    <cfRule type="expression" dxfId="97" priority="9" stopIfTrue="1">
      <formula>$F$42="超过30%"</formula>
    </cfRule>
  </conditionalFormatting>
  <conditionalFormatting sqref="G44">
    <cfRule type="expression" dxfId="96" priority="8" stopIfTrue="1">
      <formula>$H$54+$H$44="超过30%"</formula>
    </cfRule>
  </conditionalFormatting>
  <conditionalFormatting sqref="E43">
    <cfRule type="expression" dxfId="95" priority="7" stopIfTrue="1">
      <formula>$F$43="超过20%"</formula>
    </cfRule>
  </conditionalFormatting>
  <conditionalFormatting sqref="E44">
    <cfRule type="expression" dxfId="94" priority="6" stopIfTrue="1">
      <formula>$F$44="超过30%"</formula>
    </cfRule>
  </conditionalFormatting>
  <conditionalFormatting sqref="G42">
    <cfRule type="expression" dxfId="93" priority="5" stopIfTrue="1">
      <formula>$H$52+$H$42="超过30%"</formula>
    </cfRule>
  </conditionalFormatting>
  <conditionalFormatting sqref="G43">
    <cfRule type="expression" dxfId="92" priority="4" stopIfTrue="1">
      <formula>$H$43="超过20%"</formula>
    </cfRule>
  </conditionalFormatting>
  <conditionalFormatting sqref="I42">
    <cfRule type="expression" dxfId="91" priority="3" stopIfTrue="1">
      <formula>$J$52+$J$42="超过30%"</formula>
    </cfRule>
  </conditionalFormatting>
  <conditionalFormatting sqref="I43">
    <cfRule type="expression" dxfId="90" priority="2" stopIfTrue="1">
      <formula>$J$53+$J$43="超过20%"</formula>
    </cfRule>
  </conditionalFormatting>
  <conditionalFormatting sqref="I44">
    <cfRule type="expression" dxfId="8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8"/>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IF(C2="——",C37,ROUND(B2*10000/D3,0))</f>
        <v>#DIV/0!</v>
      </c>
      <c r="C3" s="400" t="s">
        <v>2649</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40" t="s">
        <v>2651</v>
      </c>
      <c r="D4" s="3241"/>
      <c r="E4" s="3242" t="s">
        <v>2652</v>
      </c>
      <c r="F4" s="3243"/>
      <c r="G4" s="3240" t="s">
        <v>2653</v>
      </c>
      <c r="H4" s="3241"/>
      <c r="I4" s="3240" t="s">
        <v>2654</v>
      </c>
      <c r="J4" s="3241"/>
      <c r="K4" s="610" t="s">
        <v>2655</v>
      </c>
      <c r="L4" s="1132"/>
      <c r="M4" s="1133"/>
      <c r="N4" s="1133"/>
      <c r="O4" s="1133"/>
      <c r="P4" s="3244" t="s">
        <v>2656</v>
      </c>
      <c r="Q4" s="3245"/>
      <c r="R4" s="3250" t="s">
        <v>2652</v>
      </c>
      <c r="S4" s="3251"/>
      <c r="T4" s="3250" t="s">
        <v>2653</v>
      </c>
      <c r="U4" s="3251"/>
      <c r="V4" s="3256" t="s">
        <v>2654</v>
      </c>
      <c r="W4" s="3256"/>
      <c r="X4" s="1815"/>
      <c r="Y4" s="3250" t="s">
        <v>2656</v>
      </c>
      <c r="Z4" s="3251"/>
      <c r="AA4" s="3237" t="s">
        <v>2652</v>
      </c>
      <c r="AB4" s="3238" t="s">
        <v>2653</v>
      </c>
      <c r="AC4" s="3237" t="s">
        <v>2654</v>
      </c>
    </row>
    <row r="5" spans="1:29" ht="15">
      <c r="A5" s="404"/>
      <c r="B5" s="405"/>
      <c r="C5" s="3259" t="s">
        <v>2547</v>
      </c>
      <c r="D5" s="3260"/>
      <c r="E5" s="3266" t="s">
        <v>2548</v>
      </c>
      <c r="F5" s="3267"/>
      <c r="G5" s="3259" t="s">
        <v>2549</v>
      </c>
      <c r="H5" s="3260"/>
      <c r="I5" s="3259" t="s">
        <v>2550</v>
      </c>
      <c r="J5" s="3260"/>
      <c r="K5" s="610"/>
      <c r="L5" s="1132"/>
      <c r="M5" s="1133"/>
      <c r="N5" s="1133"/>
      <c r="O5" s="1133"/>
      <c r="P5" s="3246"/>
      <c r="Q5" s="3247"/>
      <c r="R5" s="3252"/>
      <c r="S5" s="3253"/>
      <c r="T5" s="3252"/>
      <c r="U5" s="3253"/>
      <c r="V5" s="3256"/>
      <c r="W5" s="3256"/>
      <c r="X5" s="1815"/>
      <c r="Y5" s="3252"/>
      <c r="Z5" s="3253"/>
      <c r="AA5" s="3238"/>
      <c r="AB5" s="3238"/>
      <c r="AC5" s="3238"/>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1815"/>
      <c r="Y6" s="3254"/>
      <c r="Z6" s="3255"/>
      <c r="AA6" s="3239"/>
      <c r="AB6" s="3239"/>
      <c r="AC6" s="3239"/>
    </row>
    <row r="7" spans="1:29" s="117" customFormat="1" ht="15.75" thickBot="1">
      <c r="A7" s="408" t="s">
        <v>2553</v>
      </c>
      <c r="B7" s="409"/>
      <c r="C7" s="410">
        <f>'数据-取费表'!B2</f>
        <v>43172</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261" t="s">
        <v>2554</v>
      </c>
      <c r="Q7" s="3263"/>
      <c r="R7" s="769" t="s">
        <v>17</v>
      </c>
      <c r="S7" s="770">
        <f t="shared" ref="S7:S14" si="0">F7</f>
        <v>0</v>
      </c>
      <c r="T7" s="769" t="s">
        <v>17</v>
      </c>
      <c r="U7" s="770">
        <f t="shared" ref="U7:U14" si="1">H7</f>
        <v>0</v>
      </c>
      <c r="V7" s="769" t="s">
        <v>17</v>
      </c>
      <c r="W7" s="770">
        <f t="shared" ref="W7:W14" si="2">J7</f>
        <v>0</v>
      </c>
      <c r="X7" s="771"/>
      <c r="Y7" s="3261" t="s">
        <v>2554</v>
      </c>
      <c r="Z7" s="3262"/>
      <c r="AA7" s="772" t="e">
        <f>D7/F7</f>
        <v>#DIV/0!</v>
      </c>
      <c r="AB7" s="772" t="e">
        <f>D7/H7</f>
        <v>#DIV/0!</v>
      </c>
      <c r="AC7" s="772"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61" t="s">
        <v>2557</v>
      </c>
      <c r="Q8" s="3262"/>
      <c r="R8" s="769" t="s">
        <v>17</v>
      </c>
      <c r="S8" s="770">
        <f t="shared" si="0"/>
        <v>0</v>
      </c>
      <c r="T8" s="769" t="s">
        <v>17</v>
      </c>
      <c r="U8" s="770">
        <f t="shared" si="1"/>
        <v>0</v>
      </c>
      <c r="V8" s="769" t="s">
        <v>17</v>
      </c>
      <c r="W8" s="770">
        <f t="shared" si="2"/>
        <v>0</v>
      </c>
      <c r="X8" s="771"/>
      <c r="Y8" s="3261" t="s">
        <v>2557</v>
      </c>
      <c r="Z8" s="3262"/>
      <c r="AA8" s="772" t="e">
        <f t="shared" ref="AA8:AA34" si="3">D8/F8</f>
        <v>#DIV/0!</v>
      </c>
      <c r="AB8" s="772" t="e">
        <f t="shared" ref="AB8:AB34" si="4">D8/H8</f>
        <v>#DIV/0!</v>
      </c>
      <c r="AC8" s="772"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5" t="s">
        <v>2560</v>
      </c>
      <c r="Q9" s="1797" t="str">
        <f t="shared" ref="Q9:Q14" si="6">B9</f>
        <v>用途</v>
      </c>
      <c r="R9" s="769" t="s">
        <v>17</v>
      </c>
      <c r="S9" s="770">
        <f t="shared" si="0"/>
        <v>100</v>
      </c>
      <c r="T9" s="769" t="s">
        <v>17</v>
      </c>
      <c r="U9" s="770">
        <f t="shared" si="1"/>
        <v>100</v>
      </c>
      <c r="V9" s="769" t="s">
        <v>17</v>
      </c>
      <c r="W9" s="770">
        <f t="shared" si="2"/>
        <v>100</v>
      </c>
      <c r="X9" s="771"/>
      <c r="Y9" s="3046" t="s">
        <v>2561</v>
      </c>
      <c r="Z9" s="55" t="str">
        <f t="shared" ref="Z9:Z14" si="7">Q9</f>
        <v>用途</v>
      </c>
      <c r="AA9" s="772">
        <f t="shared" si="3"/>
        <v>1</v>
      </c>
      <c r="AB9" s="772">
        <f t="shared" si="4"/>
        <v>1</v>
      </c>
      <c r="AC9" s="772">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5"/>
      <c r="Q10" s="1797"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5"/>
      <c r="Q11" s="1797">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5"/>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40" t="s">
        <v>2564</v>
      </c>
      <c r="B14" s="69" t="s">
        <v>2714</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7" t="s">
        <v>2565</v>
      </c>
      <c r="Q14" s="1812" t="str">
        <f t="shared" si="6"/>
        <v>交通便捷度</v>
      </c>
      <c r="R14" s="773" t="s">
        <v>17</v>
      </c>
      <c r="S14" s="774">
        <f t="shared" si="0"/>
        <v>100</v>
      </c>
      <c r="T14" s="773" t="s">
        <v>17</v>
      </c>
      <c r="U14" s="774">
        <f t="shared" si="1"/>
        <v>100</v>
      </c>
      <c r="V14" s="773" t="s">
        <v>17</v>
      </c>
      <c r="W14" s="774">
        <f t="shared" si="2"/>
        <v>100</v>
      </c>
      <c r="X14" s="1815"/>
      <c r="Y14" s="3227"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28"/>
      <c r="Q15" s="1812"/>
      <c r="R15" s="773"/>
      <c r="S15" s="774"/>
      <c r="T15" s="773"/>
      <c r="U15" s="774"/>
      <c r="V15" s="773"/>
      <c r="W15" s="774"/>
      <c r="X15" s="1815"/>
      <c r="Y15" s="3228"/>
      <c r="Z15" s="1816"/>
      <c r="AA15" s="1813">
        <v>1</v>
      </c>
      <c r="AB15" s="1813">
        <v>1</v>
      </c>
      <c r="AC15" s="1813">
        <v>1</v>
      </c>
    </row>
    <row r="16" spans="1:29" ht="42.75">
      <c r="A16" s="428"/>
      <c r="B16" s="451" t="s">
        <v>2693</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8"/>
      <c r="Q16" s="1812" t="str">
        <f>B16</f>
        <v>公共配套设施</v>
      </c>
      <c r="R16" s="773" t="s">
        <v>17</v>
      </c>
      <c r="S16" s="774">
        <f>F16</f>
        <v>100</v>
      </c>
      <c r="T16" s="773" t="s">
        <v>17</v>
      </c>
      <c r="U16" s="774">
        <f>H16</f>
        <v>100</v>
      </c>
      <c r="V16" s="773" t="s">
        <v>17</v>
      </c>
      <c r="W16" s="774">
        <f>J16</f>
        <v>100</v>
      </c>
      <c r="X16" s="1815"/>
      <c r="Y16" s="3228"/>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2"/>
      <c r="M17" s="1133"/>
      <c r="N17" s="1133"/>
      <c r="O17" s="1141"/>
      <c r="P17" s="3228"/>
      <c r="Q17" s="1812"/>
      <c r="R17" s="773"/>
      <c r="S17" s="774"/>
      <c r="T17" s="773"/>
      <c r="U17" s="774"/>
      <c r="V17" s="773"/>
      <c r="W17" s="774"/>
      <c r="X17" s="1815"/>
      <c r="Y17" s="3228"/>
      <c r="Z17" s="1816"/>
      <c r="AA17" s="1813">
        <v>1</v>
      </c>
      <c r="AB17" s="1813">
        <v>1</v>
      </c>
      <c r="AC17" s="1813">
        <v>1</v>
      </c>
    </row>
    <row r="18" spans="1:29" ht="28.5">
      <c r="A18" s="428"/>
      <c r="B18" s="1386" t="s">
        <v>2694</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8"/>
      <c r="Q18" s="1812" t="str">
        <f>B18</f>
        <v>基础设施水平</v>
      </c>
      <c r="R18" s="773" t="s">
        <v>17</v>
      </c>
      <c r="S18" s="774">
        <f>F18</f>
        <v>100</v>
      </c>
      <c r="T18" s="773" t="s">
        <v>17</v>
      </c>
      <c r="U18" s="774">
        <f>H18</f>
        <v>100</v>
      </c>
      <c r="V18" s="773" t="s">
        <v>17</v>
      </c>
      <c r="W18" s="774">
        <f>J18</f>
        <v>100</v>
      </c>
      <c r="X18" s="1815"/>
      <c r="Y18" s="3228"/>
      <c r="Z18" s="1816" t="str">
        <f>Q18</f>
        <v>基础设施水平</v>
      </c>
      <c r="AA18" s="1813">
        <f t="shared" ref="AA18" si="8">D18/F18</f>
        <v>1</v>
      </c>
      <c r="AB18" s="1813">
        <f t="shared" ref="AB18" si="9">D18/H18</f>
        <v>1</v>
      </c>
      <c r="AC18" s="1813">
        <f t="shared" ref="AC18" si="10">D18/J18</f>
        <v>1</v>
      </c>
    </row>
    <row r="19" spans="1:29" ht="15">
      <c r="A19" s="428"/>
      <c r="B19" s="1386"/>
      <c r="C19" s="2612"/>
      <c r="D19" s="450"/>
      <c r="E19" s="2612"/>
      <c r="F19" s="453"/>
      <c r="G19" s="2612"/>
      <c r="H19" s="448"/>
      <c r="I19" s="447"/>
      <c r="J19" s="448"/>
      <c r="K19" s="1385"/>
      <c r="L19" s="1142"/>
      <c r="M19" s="1133"/>
      <c r="N19" s="1133"/>
      <c r="O19" s="1141"/>
      <c r="P19" s="3228"/>
      <c r="Q19" s="1812"/>
      <c r="R19" s="773"/>
      <c r="S19" s="774"/>
      <c r="T19" s="773"/>
      <c r="U19" s="774"/>
      <c r="V19" s="773"/>
      <c r="W19" s="774"/>
      <c r="X19" s="1815"/>
      <c r="Y19" s="3228"/>
      <c r="Z19" s="1816"/>
      <c r="AA19" s="1813">
        <v>1</v>
      </c>
      <c r="AB19" s="1813">
        <v>1</v>
      </c>
      <c r="AC19" s="1813">
        <v>1</v>
      </c>
    </row>
    <row r="20" spans="1:29" ht="57">
      <c r="A20" s="428"/>
      <c r="B20" s="451" t="s">
        <v>2715</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8"/>
      <c r="Q20" s="1812" t="str">
        <f>B20</f>
        <v>自然及人文环境</v>
      </c>
      <c r="R20" s="773" t="s">
        <v>17</v>
      </c>
      <c r="S20" s="774">
        <f>F20</f>
        <v>100</v>
      </c>
      <c r="T20" s="773" t="s">
        <v>17</v>
      </c>
      <c r="U20" s="774">
        <f>H20</f>
        <v>100</v>
      </c>
      <c r="V20" s="773" t="s">
        <v>17</v>
      </c>
      <c r="W20" s="774">
        <f>J20</f>
        <v>100</v>
      </c>
      <c r="X20" s="1815"/>
      <c r="Y20" s="322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28"/>
      <c r="Q21" s="1812"/>
      <c r="R21" s="773"/>
      <c r="S21" s="774"/>
      <c r="T21" s="773"/>
      <c r="U21" s="774"/>
      <c r="V21" s="773"/>
      <c r="W21" s="774"/>
      <c r="X21" s="1815"/>
      <c r="Y21" s="3228"/>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8"/>
      <c r="Q22" s="1812" t="str">
        <f>B22</f>
        <v>楼层</v>
      </c>
      <c r="R22" s="773" t="s">
        <v>17</v>
      </c>
      <c r="S22" s="774">
        <f>F22</f>
        <v>100</v>
      </c>
      <c r="T22" s="773" t="s">
        <v>17</v>
      </c>
      <c r="U22" s="774">
        <f>H22</f>
        <v>100</v>
      </c>
      <c r="V22" s="773" t="s">
        <v>17</v>
      </c>
      <c r="W22" s="774">
        <f>J22</f>
        <v>100</v>
      </c>
      <c r="X22" s="1815"/>
      <c r="Y22" s="3228"/>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8"/>
      <c r="Q23" s="1812">
        <f>B23</f>
        <v>111</v>
      </c>
      <c r="R23" s="773" t="s">
        <v>17</v>
      </c>
      <c r="S23" s="774">
        <f>F23</f>
        <v>100</v>
      </c>
      <c r="T23" s="773" t="s">
        <v>17</v>
      </c>
      <c r="U23" s="774">
        <f>H23</f>
        <v>100</v>
      </c>
      <c r="V23" s="773" t="s">
        <v>17</v>
      </c>
      <c r="W23" s="774">
        <f>J23</f>
        <v>100</v>
      </c>
      <c r="X23" s="1815"/>
      <c r="Y23" s="3228"/>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8"/>
      <c r="Q24" s="1812">
        <f t="shared" ref="Q24:Q34" si="11">B24</f>
        <v>111</v>
      </c>
      <c r="R24" s="773" t="s">
        <v>17</v>
      </c>
      <c r="S24" s="774">
        <f>F24</f>
        <v>100</v>
      </c>
      <c r="T24" s="773" t="s">
        <v>17</v>
      </c>
      <c r="U24" s="774">
        <f>H24</f>
        <v>100</v>
      </c>
      <c r="V24" s="773" t="s">
        <v>17</v>
      </c>
      <c r="W24" s="774">
        <f>J24</f>
        <v>100</v>
      </c>
      <c r="X24" s="1815"/>
      <c r="Y24" s="3228"/>
      <c r="Z24" s="1816">
        <f>Q24</f>
        <v>111</v>
      </c>
      <c r="AA24" s="1813">
        <f t="shared" si="3"/>
        <v>1</v>
      </c>
      <c r="AB24" s="1813">
        <f t="shared" si="4"/>
        <v>1</v>
      </c>
      <c r="AC24" s="1813">
        <f t="shared" si="5"/>
        <v>1</v>
      </c>
    </row>
    <row r="25" spans="1:29" s="117" customFormat="1" ht="15.75" thickBot="1">
      <c r="A25" s="431"/>
      <c r="B25" s="2604">
        <v>111</v>
      </c>
      <c r="C25" s="2702"/>
      <c r="D25" s="664">
        <v>100</v>
      </c>
      <c r="E25" s="2702"/>
      <c r="F25" s="665">
        <f>SUMIF(75:75,E25,76:76)-SUMIF(75:75,C25,76:76)+100</f>
        <v>100</v>
      </c>
      <c r="G25" s="2702"/>
      <c r="H25" s="664">
        <f>SUMIF(75:75,G25,76:76)-SUMIF(75:75,C25,76:76)+100</f>
        <v>100</v>
      </c>
      <c r="I25" s="2702"/>
      <c r="J25" s="664">
        <f>SUMIF(75:75,I25,76:76)-SUMIF(75:75,C25,76:76)+100</f>
        <v>100</v>
      </c>
      <c r="K25" s="613"/>
      <c r="L25" s="1134"/>
      <c r="M25" s="1135"/>
      <c r="N25" s="1135"/>
      <c r="O25" s="1136"/>
      <c r="P25" s="3228"/>
      <c r="Q25" s="1797">
        <f t="shared" si="11"/>
        <v>111</v>
      </c>
      <c r="R25" s="769" t="s">
        <v>17</v>
      </c>
      <c r="S25" s="770">
        <f>F25</f>
        <v>100</v>
      </c>
      <c r="T25" s="769" t="s">
        <v>17</v>
      </c>
      <c r="U25" s="770">
        <f>H25</f>
        <v>100</v>
      </c>
      <c r="V25" s="769" t="s">
        <v>17</v>
      </c>
      <c r="W25" s="770">
        <f>J25</f>
        <v>100</v>
      </c>
      <c r="X25" s="771"/>
      <c r="Y25" s="3228"/>
      <c r="Z25" s="55">
        <f>Q25</f>
        <v>111</v>
      </c>
      <c r="AA25" s="1813">
        <f>D25/F25</f>
        <v>1</v>
      </c>
      <c r="AB25" s="1813">
        <f>D25/H25</f>
        <v>1</v>
      </c>
      <c r="AC25" s="1813">
        <f>D25/J25</f>
        <v>1</v>
      </c>
    </row>
    <row r="26" spans="1:29" ht="15">
      <c r="A26" s="466" t="s">
        <v>2568</v>
      </c>
      <c r="B26" s="71" t="s">
        <v>2719</v>
      </c>
      <c r="C26" s="2683"/>
      <c r="D26" s="467">
        <v>100</v>
      </c>
      <c r="E26" s="2683"/>
      <c r="F26" s="666">
        <f>SUMIF(77:77,E26,78:78)-SUMIF(77:77,C26,78:78)+100</f>
        <v>100</v>
      </c>
      <c r="G26" s="2683"/>
      <c r="H26" s="467">
        <f>SUMIF(77:77,G26,78:78)-SUMIF(77:77,C26,78:78)+100</f>
        <v>100</v>
      </c>
      <c r="I26" s="2683"/>
      <c r="J26" s="467">
        <f>SUMIF(77:77,I26,78:78)-SUMIF(77:77,C26,78:78)+100</f>
        <v>100</v>
      </c>
      <c r="K26" s="612"/>
      <c r="L26" s="1142"/>
      <c r="M26" s="1133"/>
      <c r="N26" s="1133"/>
      <c r="O26" s="1141"/>
      <c r="P26" s="3285" t="s">
        <v>2570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32"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2"/>
      <c r="Q27" s="775" t="str">
        <f t="shared" si="11"/>
        <v>成新率</v>
      </c>
      <c r="R27" s="776" t="s">
        <v>17</v>
      </c>
      <c r="S27" s="777" t="e">
        <f t="shared" si="12"/>
        <v>#N/A</v>
      </c>
      <c r="T27" s="776" t="s">
        <v>17</v>
      </c>
      <c r="U27" s="777" t="e">
        <f t="shared" si="13"/>
        <v>#N/A</v>
      </c>
      <c r="V27" s="776" t="s">
        <v>17</v>
      </c>
      <c r="W27" s="777" t="e">
        <f t="shared" si="14"/>
        <v>#N/A</v>
      </c>
      <c r="X27" s="778"/>
      <c r="Y27" s="3232"/>
      <c r="Z27" s="779"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2"/>
      <c r="Q28" s="1812" t="str">
        <f t="shared" si="11"/>
        <v>物业等级</v>
      </c>
      <c r="R28" s="773" t="s">
        <v>17</v>
      </c>
      <c r="S28" s="774">
        <f t="shared" si="12"/>
        <v>100</v>
      </c>
      <c r="T28" s="773" t="s">
        <v>17</v>
      </c>
      <c r="U28" s="774">
        <f t="shared" si="13"/>
        <v>100</v>
      </c>
      <c r="V28" s="773" t="s">
        <v>17</v>
      </c>
      <c r="W28" s="774">
        <f t="shared" si="14"/>
        <v>100</v>
      </c>
      <c r="X28" s="1815"/>
      <c r="Y28" s="3232"/>
      <c r="Z28" s="1816" t="str">
        <f t="shared" si="15"/>
        <v>物业等级</v>
      </c>
      <c r="AA28" s="1813">
        <f t="shared" si="3"/>
        <v>1</v>
      </c>
      <c r="AB28" s="1813">
        <f t="shared" si="4"/>
        <v>1</v>
      </c>
      <c r="AC28" s="1813">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32"/>
      <c r="Q29" s="1812" t="str">
        <f t="shared" si="11"/>
        <v>有无电梯</v>
      </c>
      <c r="R29" s="773" t="s">
        <v>17</v>
      </c>
      <c r="S29" s="774">
        <f t="shared" si="12"/>
        <v>100</v>
      </c>
      <c r="T29" s="773" t="s">
        <v>17</v>
      </c>
      <c r="U29" s="774">
        <f t="shared" si="13"/>
        <v>100</v>
      </c>
      <c r="V29" s="773" t="s">
        <v>17</v>
      </c>
      <c r="W29" s="774">
        <f t="shared" si="14"/>
        <v>100</v>
      </c>
      <c r="X29" s="1815"/>
      <c r="Y29" s="3232"/>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2"/>
      <c r="Q30" s="1812" t="str">
        <f t="shared" si="11"/>
        <v>建筑面积</v>
      </c>
      <c r="R30" s="773" t="s">
        <v>17</v>
      </c>
      <c r="S30" s="774" t="e">
        <f t="shared" si="12"/>
        <v>#N/A</v>
      </c>
      <c r="T30" s="773" t="s">
        <v>17</v>
      </c>
      <c r="U30" s="774" t="e">
        <f t="shared" si="13"/>
        <v>#N/A</v>
      </c>
      <c r="V30" s="773" t="s">
        <v>17</v>
      </c>
      <c r="W30" s="774" t="e">
        <f t="shared" si="14"/>
        <v>#N/A</v>
      </c>
      <c r="X30" s="1815"/>
      <c r="Y30" s="3232"/>
      <c r="Z30" s="1816" t="str">
        <f t="shared" si="15"/>
        <v>建筑面积</v>
      </c>
      <c r="AA30" s="1813" t="e">
        <f t="shared" si="3"/>
        <v>#N/A</v>
      </c>
      <c r="AB30" s="1813" t="e">
        <f t="shared" si="4"/>
        <v>#N/A</v>
      </c>
      <c r="AC30" s="1813" t="e">
        <f t="shared" si="5"/>
        <v>#N/A</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32"/>
      <c r="Q31" s="1797" t="str">
        <f t="shared" si="11"/>
        <v>是否封闭</v>
      </c>
      <c r="R31" s="769" t="s">
        <v>17</v>
      </c>
      <c r="S31" s="770">
        <f t="shared" si="12"/>
        <v>100</v>
      </c>
      <c r="T31" s="769" t="s">
        <v>17</v>
      </c>
      <c r="U31" s="770">
        <f t="shared" si="13"/>
        <v>100</v>
      </c>
      <c r="V31" s="769" t="s">
        <v>17</v>
      </c>
      <c r="W31" s="770">
        <f t="shared" si="14"/>
        <v>100</v>
      </c>
      <c r="X31" s="771"/>
      <c r="Y31" s="3232"/>
      <c r="Z31" s="55" t="str">
        <f t="shared" si="15"/>
        <v>是否封闭</v>
      </c>
      <c r="AA31" s="772">
        <f t="shared" si="3"/>
        <v>1</v>
      </c>
      <c r="AB31" s="772">
        <f t="shared" si="4"/>
        <v>1</v>
      </c>
      <c r="AC31" s="772">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2" t="s">
        <v>2570</v>
      </c>
      <c r="Q32" s="1812">
        <f t="shared" si="11"/>
        <v>111</v>
      </c>
      <c r="R32" s="773" t="s">
        <v>17</v>
      </c>
      <c r="S32" s="774">
        <f t="shared" si="12"/>
        <v>100</v>
      </c>
      <c r="T32" s="773" t="s">
        <v>17</v>
      </c>
      <c r="U32" s="774">
        <f t="shared" si="13"/>
        <v>100</v>
      </c>
      <c r="V32" s="773" t="s">
        <v>17</v>
      </c>
      <c r="W32" s="774">
        <f t="shared" si="14"/>
        <v>100</v>
      </c>
      <c r="X32" s="1815"/>
      <c r="Y32" s="3232" t="s">
        <v>2570</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2"/>
      <c r="Q33" s="1812">
        <f t="shared" si="11"/>
        <v>111</v>
      </c>
      <c r="R33" s="773" t="s">
        <v>17</v>
      </c>
      <c r="S33" s="774">
        <f t="shared" si="12"/>
        <v>100</v>
      </c>
      <c r="T33" s="773" t="s">
        <v>17</v>
      </c>
      <c r="U33" s="774">
        <f t="shared" si="13"/>
        <v>100</v>
      </c>
      <c r="V33" s="773" t="s">
        <v>17</v>
      </c>
      <c r="W33" s="774">
        <f t="shared" si="14"/>
        <v>100</v>
      </c>
      <c r="X33" s="1815"/>
      <c r="Y33" s="3232"/>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232"/>
      <c r="Q34" s="1812">
        <f t="shared" si="11"/>
        <v>111</v>
      </c>
      <c r="R34" s="773" t="s">
        <v>17</v>
      </c>
      <c r="S34" s="774">
        <f t="shared" si="12"/>
        <v>100</v>
      </c>
      <c r="T34" s="773" t="s">
        <v>17</v>
      </c>
      <c r="U34" s="774">
        <f t="shared" si="13"/>
        <v>100</v>
      </c>
      <c r="V34" s="773" t="s">
        <v>17</v>
      </c>
      <c r="W34" s="774">
        <f t="shared" si="14"/>
        <v>100</v>
      </c>
      <c r="X34" s="1815"/>
      <c r="Y34" s="3232"/>
      <c r="Z34" s="1816">
        <f t="shared" si="15"/>
        <v>111</v>
      </c>
      <c r="AA34" s="1813">
        <f t="shared" si="3"/>
        <v>1</v>
      </c>
      <c r="AB34" s="1813">
        <f t="shared" si="4"/>
        <v>1</v>
      </c>
      <c r="AC34" s="1813">
        <f t="shared" si="5"/>
        <v>1</v>
      </c>
    </row>
    <row r="35" spans="1:29" ht="15">
      <c r="A35" s="479" t="s">
        <v>2582</v>
      </c>
      <c r="B35" s="480"/>
      <c r="C35" s="1409" t="s">
        <v>1</v>
      </c>
      <c r="D35" s="1410"/>
      <c r="E35" s="1411"/>
      <c r="F35" s="1412"/>
      <c r="G35" s="1413"/>
      <c r="H35" s="1414"/>
      <c r="I35" s="1411"/>
      <c r="J35" s="1414"/>
      <c r="K35" s="782"/>
      <c r="L35" s="1145"/>
      <c r="M35" s="1146"/>
      <c r="N35" s="1133"/>
      <c r="O35" s="1146"/>
      <c r="P35" s="3225" t="str">
        <f>A35</f>
        <v>成交单价（元/平方米）</v>
      </c>
      <c r="Q35" s="3225"/>
      <c r="R35" s="3226">
        <f>E35</f>
        <v>0</v>
      </c>
      <c r="S35" s="3226"/>
      <c r="T35" s="3226">
        <f>G35</f>
        <v>0</v>
      </c>
      <c r="U35" s="3226"/>
      <c r="V35" s="3226">
        <f>I35</f>
        <v>0</v>
      </c>
      <c r="W35" s="3226"/>
      <c r="X35" s="758"/>
      <c r="Y35" s="780"/>
      <c r="Z35" s="758"/>
      <c r="AA35" s="758"/>
      <c r="AB35" s="758"/>
      <c r="AC35" s="758"/>
    </row>
    <row r="36" spans="1:29" ht="15.75" thickBot="1">
      <c r="A36" s="486" t="s">
        <v>2674</v>
      </c>
      <c r="B36" s="487"/>
      <c r="C36" s="1415" t="e">
        <f>R37</f>
        <v>#DIV/0!</v>
      </c>
      <c r="D36" s="1416"/>
      <c r="E36" s="1417" t="e">
        <f>R36</f>
        <v>#DIV/0!</v>
      </c>
      <c r="F36" s="1417"/>
      <c r="G36" s="1415" t="e">
        <f>T36</f>
        <v>#DIV/0!</v>
      </c>
      <c r="H36" s="1416"/>
      <c r="I36" s="1417" t="e">
        <f>V36</f>
        <v>#DIV/0!</v>
      </c>
      <c r="J36" s="1416"/>
      <c r="K36" s="783"/>
      <c r="L36" s="1145"/>
      <c r="M36" s="1146"/>
      <c r="N36" s="1133"/>
      <c r="O36" s="1146"/>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8"/>
      <c r="Y36" s="758"/>
      <c r="Z36" s="758"/>
      <c r="AA36" s="758"/>
      <c r="AB36" s="758"/>
      <c r="AC36" s="758"/>
    </row>
    <row r="37" spans="1:29" ht="15.75" thickBot="1">
      <c r="A37" s="492" t="s">
        <v>2675</v>
      </c>
      <c r="B37" s="493"/>
      <c r="C37" s="1419" t="e">
        <f>R37</f>
        <v>#DIV/0!</v>
      </c>
      <c r="D37" s="1419"/>
      <c r="E37" s="1419"/>
      <c r="F37" s="1419"/>
      <c r="G37" s="1419"/>
      <c r="H37" s="1419"/>
      <c r="I37" s="1419"/>
      <c r="J37" s="1419"/>
      <c r="K37" s="784"/>
      <c r="L37" s="1145"/>
      <c r="M37" s="1146"/>
      <c r="N37" s="1146"/>
      <c r="O37" s="1146"/>
      <c r="P37" s="3222" t="str">
        <f>A37</f>
        <v>估价对象XX用房的比较价值（楼面单价，元/平方米）</v>
      </c>
      <c r="Q37" s="3223"/>
      <c r="R37" s="3224" t="e">
        <f>IF(F1="售价",ROUND(AVERAGE(R36:V36),0),ROUND(AVERAGE(R36:V36),1))</f>
        <v>#DIV/0!</v>
      </c>
      <c r="S37" s="3224"/>
      <c r="T37" s="3224"/>
      <c r="U37" s="3224"/>
      <c r="V37" s="3224"/>
      <c r="W37" s="322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3"/>
      <c r="Q45" s="504"/>
    </row>
    <row r="46" spans="1:29" s="508" customFormat="1" ht="15">
      <c r="A46" s="505" t="s">
        <v>2553</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2593</v>
      </c>
      <c r="B51" s="528" t="s">
        <v>2559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2568</v>
      </c>
      <c r="B77" s="528" t="s">
        <v>2621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8" priority="14" stopIfTrue="1" operator="containsText" text="超过">
      <formula>NOT(ISERROR(SEARCH("超过",F40)))</formula>
    </cfRule>
  </conditionalFormatting>
  <conditionalFormatting sqref="J42">
    <cfRule type="containsText" dxfId="87" priority="13" stopIfTrue="1" operator="containsText" text="超过">
      <formula>NOT(ISERROR(SEARCH("超过",J42)))</formula>
    </cfRule>
  </conditionalFormatting>
  <conditionalFormatting sqref="H42">
    <cfRule type="containsText" dxfId="86" priority="12" stopIfTrue="1" operator="containsText" text="超过">
      <formula>NOT(ISERROR(SEARCH("超过",H42)))</formula>
    </cfRule>
  </conditionalFormatting>
  <conditionalFormatting sqref="F42">
    <cfRule type="containsText" dxfId="85" priority="11" stopIfTrue="1" operator="containsText" text="超过">
      <formula>NOT(ISERROR(SEARCH("超过",F42)))</formula>
    </cfRule>
  </conditionalFormatting>
  <conditionalFormatting sqref="F41 H41 J41">
    <cfRule type="containsText" dxfId="84" priority="10" stopIfTrue="1" operator="containsText" text="超过">
      <formula>NOT(ISERROR(SEARCH("超过",F41)))</formula>
    </cfRule>
  </conditionalFormatting>
  <conditionalFormatting sqref="E40">
    <cfRule type="expression" dxfId="83" priority="9" stopIfTrue="1">
      <formula>$F$40="超过30%"</formula>
    </cfRule>
  </conditionalFormatting>
  <conditionalFormatting sqref="G42">
    <cfRule type="expression" dxfId="82" priority="8" stopIfTrue="1">
      <formula>$H$54+$H$42="超过30%"</formula>
    </cfRule>
  </conditionalFormatting>
  <conditionalFormatting sqref="E41">
    <cfRule type="expression" dxfId="81" priority="7" stopIfTrue="1">
      <formula>$F$41="超过20%"</formula>
    </cfRule>
  </conditionalFormatting>
  <conditionalFormatting sqref="E42">
    <cfRule type="expression" dxfId="80" priority="6" stopIfTrue="1">
      <formula>$F$42="超过30%"</formula>
    </cfRule>
  </conditionalFormatting>
  <conditionalFormatting sqref="G40">
    <cfRule type="expression" dxfId="79" priority="5" stopIfTrue="1">
      <formula>$H$52+$H$40="超过30%"</formula>
    </cfRule>
  </conditionalFormatting>
  <conditionalFormatting sqref="G41">
    <cfRule type="expression" dxfId="78" priority="4" stopIfTrue="1">
      <formula>$H$53+$H$41="超过20%"</formula>
    </cfRule>
  </conditionalFormatting>
  <conditionalFormatting sqref="I40">
    <cfRule type="expression" dxfId="77" priority="3" stopIfTrue="1">
      <formula>$J$40="超过30%"</formula>
    </cfRule>
  </conditionalFormatting>
  <conditionalFormatting sqref="I41">
    <cfRule type="expression" dxfId="76" priority="2" stopIfTrue="1">
      <formula>$J$41="超过20%"</formula>
    </cfRule>
  </conditionalFormatting>
  <conditionalFormatting sqref="I42">
    <cfRule type="expression" dxfId="7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2334</v>
      </c>
      <c r="B3" s="609" t="e">
        <f>ROUND(IF(D3="",B2*10000/'数据-汇总表'!E3,B2*10000/D3),0)</f>
        <v>#DIV/0!</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2650</v>
      </c>
      <c r="B4" s="402"/>
      <c r="C4" s="3240" t="s">
        <v>2651</v>
      </c>
      <c r="D4" s="3241"/>
      <c r="E4" s="3242" t="s">
        <v>2652</v>
      </c>
      <c r="F4" s="3243"/>
      <c r="G4" s="3240" t="s">
        <v>2653</v>
      </c>
      <c r="H4" s="3241"/>
      <c r="I4" s="3240" t="s">
        <v>2654</v>
      </c>
      <c r="J4" s="3241"/>
      <c r="K4" s="610" t="s">
        <v>2655</v>
      </c>
      <c r="L4" s="1132"/>
      <c r="M4" s="1133"/>
      <c r="N4" s="1133"/>
      <c r="O4" s="1133"/>
      <c r="P4" s="3244" t="s">
        <v>2656</v>
      </c>
      <c r="Q4" s="3245"/>
      <c r="R4" s="3250" t="s">
        <v>2652</v>
      </c>
      <c r="S4" s="3251"/>
      <c r="T4" s="3250" t="s">
        <v>2653</v>
      </c>
      <c r="U4" s="3251"/>
      <c r="V4" s="3256" t="s">
        <v>2654</v>
      </c>
      <c r="W4" s="3256"/>
      <c r="X4" s="1815"/>
      <c r="Y4" s="3250" t="s">
        <v>2656</v>
      </c>
      <c r="Z4" s="3251"/>
      <c r="AA4" s="3237" t="s">
        <v>2652</v>
      </c>
      <c r="AB4" s="3238" t="s">
        <v>2653</v>
      </c>
      <c r="AC4" s="3237" t="s">
        <v>2654</v>
      </c>
    </row>
    <row r="5" spans="1:30" ht="15">
      <c r="A5" s="404"/>
      <c r="B5" s="405"/>
      <c r="C5" s="3259" t="s">
        <v>2547</v>
      </c>
      <c r="D5" s="3260"/>
      <c r="E5" s="3266" t="s">
        <v>2548</v>
      </c>
      <c r="F5" s="3267"/>
      <c r="G5" s="3259" t="s">
        <v>2549</v>
      </c>
      <c r="H5" s="3260"/>
      <c r="I5" s="3259" t="s">
        <v>2550</v>
      </c>
      <c r="J5" s="3260"/>
      <c r="K5" s="610"/>
      <c r="L5" s="1132"/>
      <c r="M5" s="1133"/>
      <c r="N5" s="1133"/>
      <c r="O5" s="1133"/>
      <c r="P5" s="3246"/>
      <c r="Q5" s="3247"/>
      <c r="R5" s="3252"/>
      <c r="S5" s="3253"/>
      <c r="T5" s="3252"/>
      <c r="U5" s="3253"/>
      <c r="V5" s="3256"/>
      <c r="W5" s="3256"/>
      <c r="X5" s="1815"/>
      <c r="Y5" s="3252"/>
      <c r="Z5" s="3253"/>
      <c r="AA5" s="3238"/>
      <c r="AB5" s="3238"/>
      <c r="AC5" s="3238"/>
    </row>
    <row r="6" spans="1:30"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1815"/>
      <c r="Y6" s="3254"/>
      <c r="Z6" s="3255"/>
      <c r="AA6" s="3239"/>
      <c r="AB6" s="3239"/>
      <c r="AC6" s="3239"/>
    </row>
    <row r="7" spans="1:30" s="117" customFormat="1" ht="15.75" thickBot="1">
      <c r="A7" s="408" t="s">
        <v>2553</v>
      </c>
      <c r="B7" s="409"/>
      <c r="C7" s="410">
        <f>'数据-取费表'!B2</f>
        <v>43172</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4"/>
      <c r="M7" s="1135"/>
      <c r="N7" s="1135"/>
      <c r="O7" s="1135"/>
      <c r="P7" s="3261" t="s">
        <v>2554</v>
      </c>
      <c r="Q7" s="3263"/>
      <c r="R7" s="769" t="s">
        <v>17</v>
      </c>
      <c r="S7" s="770">
        <f t="shared" ref="S7:S15" si="0">F7</f>
        <v>0</v>
      </c>
      <c r="T7" s="769" t="s">
        <v>17</v>
      </c>
      <c r="U7" s="770">
        <f t="shared" ref="U7:U15" si="1">H7</f>
        <v>0</v>
      </c>
      <c r="V7" s="769" t="s">
        <v>17</v>
      </c>
      <c r="W7" s="770">
        <f t="shared" ref="W7:W15" si="2">J7</f>
        <v>0</v>
      </c>
      <c r="X7" s="771"/>
      <c r="Y7" s="3261" t="s">
        <v>2554</v>
      </c>
      <c r="Z7" s="3262"/>
      <c r="AA7" s="772" t="e">
        <f>D7/F7</f>
        <v>#DIV/0!</v>
      </c>
      <c r="AB7" s="772" t="e">
        <f>D7/H7</f>
        <v>#DIV/0!</v>
      </c>
      <c r="AC7" s="772"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61" t="s">
        <v>2557</v>
      </c>
      <c r="Q8" s="3262"/>
      <c r="R8" s="769" t="s">
        <v>17</v>
      </c>
      <c r="S8" s="770">
        <f t="shared" si="0"/>
        <v>0</v>
      </c>
      <c r="T8" s="769" t="s">
        <v>17</v>
      </c>
      <c r="U8" s="770">
        <f t="shared" si="1"/>
        <v>0</v>
      </c>
      <c r="V8" s="769" t="s">
        <v>17</v>
      </c>
      <c r="W8" s="770">
        <f t="shared" si="2"/>
        <v>0</v>
      </c>
      <c r="X8" s="771"/>
      <c r="Y8" s="3261" t="s">
        <v>2557</v>
      </c>
      <c r="Z8" s="3262"/>
      <c r="AA8" s="772" t="e">
        <f t="shared" ref="AA8:AA45" si="3">D8/F8</f>
        <v>#DIV/0!</v>
      </c>
      <c r="AB8" s="772" t="e">
        <f t="shared" ref="AB8:AB45" si="4">D8/H8</f>
        <v>#DIV/0!</v>
      </c>
      <c r="AC8" s="772" t="e">
        <f t="shared" ref="AC8:AC45" si="5">D8/J8</f>
        <v>#DIV/0!</v>
      </c>
    </row>
    <row r="9" spans="1:30" s="117" customFormat="1">
      <c r="A9" s="415" t="s">
        <v>2558</v>
      </c>
      <c r="B9" s="71" t="s">
        <v>2559</v>
      </c>
      <c r="C9" s="2703"/>
      <c r="D9" s="135">
        <v>100</v>
      </c>
      <c r="E9" s="2703"/>
      <c r="F9" s="135">
        <f>SUMIF(75:75,E9,76:76)-SUMIF(75:75,C9,76:76)+100</f>
        <v>100</v>
      </c>
      <c r="G9" s="2703"/>
      <c r="H9" s="135">
        <f>SUMIF(75:75,G9,76:76)-SUMIF(75:75,C9,76:76)+100</f>
        <v>100</v>
      </c>
      <c r="I9" s="2703"/>
      <c r="J9" s="135">
        <f>SUMIF(75:75,I9,76:76)-SUMIF(75:75,C9,76:76)+100</f>
        <v>100</v>
      </c>
      <c r="K9" s="611"/>
      <c r="L9" s="1134"/>
      <c r="M9" s="1135"/>
      <c r="N9" s="1135"/>
      <c r="O9" s="1136"/>
      <c r="P9" s="3225" t="s">
        <v>2560</v>
      </c>
      <c r="Q9" s="1797" t="str">
        <f t="shared" ref="Q9:Q15" si="6">B9</f>
        <v>用途</v>
      </c>
      <c r="R9" s="769" t="s">
        <v>17</v>
      </c>
      <c r="S9" s="770">
        <f t="shared" si="0"/>
        <v>100</v>
      </c>
      <c r="T9" s="769" t="s">
        <v>17</v>
      </c>
      <c r="U9" s="770">
        <f t="shared" si="1"/>
        <v>100</v>
      </c>
      <c r="V9" s="769" t="s">
        <v>17</v>
      </c>
      <c r="W9" s="770">
        <f t="shared" si="2"/>
        <v>100</v>
      </c>
      <c r="X9" s="771"/>
      <c r="Y9" s="3046" t="s">
        <v>2561</v>
      </c>
      <c r="Z9" s="55" t="str">
        <f t="shared" ref="Z9:Z15" si="7">Q9</f>
        <v>用途</v>
      </c>
      <c r="AA9" s="772">
        <f t="shared" si="3"/>
        <v>1</v>
      </c>
      <c r="AB9" s="772">
        <f t="shared" si="4"/>
        <v>1</v>
      </c>
      <c r="AC9" s="772">
        <f t="shared" si="5"/>
        <v>1</v>
      </c>
    </row>
    <row r="10" spans="1:30" s="427" customFormat="1" ht="27">
      <c r="A10" s="421"/>
      <c r="B10" s="422" t="s">
        <v>2562</v>
      </c>
      <c r="C10" s="432"/>
      <c r="D10" s="136">
        <v>100</v>
      </c>
      <c r="E10" s="465"/>
      <c r="F10" s="136">
        <f>ROUND(100/'数据-取费表'!G16,0)</f>
        <v>119</v>
      </c>
      <c r="G10" s="463"/>
      <c r="H10" s="136">
        <f>ROUND(100/'数据-取费表'!G16,0)</f>
        <v>119</v>
      </c>
      <c r="I10" s="463"/>
      <c r="J10" s="136">
        <f>ROUND(100/'数据-取费表'!G16,0)</f>
        <v>119</v>
      </c>
      <c r="K10" s="671"/>
      <c r="L10" s="1137"/>
      <c r="M10" s="1138"/>
      <c r="N10" s="1138"/>
      <c r="O10" s="1139"/>
      <c r="P10" s="3225"/>
      <c r="Q10" s="1797" t="str">
        <f t="shared" si="6"/>
        <v>土地使用年限（年）</v>
      </c>
      <c r="R10" s="769" t="s">
        <v>17</v>
      </c>
      <c r="S10" s="770">
        <f t="shared" si="0"/>
        <v>119</v>
      </c>
      <c r="T10" s="769" t="s">
        <v>17</v>
      </c>
      <c r="U10" s="770">
        <f t="shared" si="1"/>
        <v>119</v>
      </c>
      <c r="V10" s="769" t="s">
        <v>17</v>
      </c>
      <c r="W10" s="770">
        <f t="shared" si="2"/>
        <v>119</v>
      </c>
      <c r="X10" s="771"/>
      <c r="Y10" s="3046"/>
      <c r="Z10" s="55" t="str">
        <f t="shared" si="7"/>
        <v>土地使用年限（年）</v>
      </c>
      <c r="AA10" s="772">
        <f t="shared" si="3"/>
        <v>0.84033613445378152</v>
      </c>
      <c r="AB10" s="772">
        <f t="shared" si="4"/>
        <v>0.84033613445378152</v>
      </c>
      <c r="AC10" s="772">
        <f t="shared" si="5"/>
        <v>0.84033613445378152</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25"/>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30" s="117" customFormat="1" ht="15">
      <c r="A12" s="431"/>
      <c r="B12" s="2604" t="s">
        <v>2752</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25"/>
      <c r="Q12" s="1797" t="str">
        <f t="shared" si="6"/>
        <v>配建</v>
      </c>
      <c r="R12" s="769" t="s">
        <v>17</v>
      </c>
      <c r="S12" s="770">
        <f t="shared" si="0"/>
        <v>100</v>
      </c>
      <c r="T12" s="769" t="s">
        <v>17</v>
      </c>
      <c r="U12" s="770">
        <f t="shared" si="1"/>
        <v>100</v>
      </c>
      <c r="V12" s="769" t="s">
        <v>17</v>
      </c>
      <c r="W12" s="770">
        <f t="shared" si="2"/>
        <v>100</v>
      </c>
      <c r="X12" s="771"/>
      <c r="Y12" s="3046"/>
      <c r="Z12" s="55" t="str">
        <f t="shared" si="7"/>
        <v>配建</v>
      </c>
      <c r="AA12" s="772">
        <f>D12/F12</f>
        <v>1</v>
      </c>
      <c r="AB12" s="772">
        <f>D12/H12</f>
        <v>1</v>
      </c>
      <c r="AC12" s="772">
        <f>D12/J12</f>
        <v>1</v>
      </c>
    </row>
    <row r="13" spans="1:30" ht="15">
      <c r="A13" s="428"/>
      <c r="B13" s="2604">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6"/>
      <c r="Z13" s="55">
        <f t="shared" si="7"/>
        <v>111</v>
      </c>
      <c r="AA13" s="772">
        <f>D13/F13</f>
        <v>1</v>
      </c>
      <c r="AB13" s="772">
        <f>D13/H13</f>
        <v>1</v>
      </c>
      <c r="AC13" s="772">
        <f>D13/J13</f>
        <v>1</v>
      </c>
    </row>
    <row r="14" spans="1:30" ht="15.75" thickBot="1">
      <c r="A14" s="436"/>
      <c r="B14" s="2606">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25"/>
      <c r="Q14" s="1797">
        <f t="shared" si="6"/>
        <v>111</v>
      </c>
      <c r="R14" s="769" t="s">
        <v>17</v>
      </c>
      <c r="S14" s="770">
        <f t="shared" si="0"/>
        <v>100</v>
      </c>
      <c r="T14" s="769" t="s">
        <v>17</v>
      </c>
      <c r="U14" s="770">
        <f t="shared" si="1"/>
        <v>100</v>
      </c>
      <c r="V14" s="769" t="s">
        <v>17</v>
      </c>
      <c r="W14" s="770">
        <f t="shared" si="2"/>
        <v>100</v>
      </c>
      <c r="X14" s="771"/>
      <c r="Y14" s="3046"/>
      <c r="Z14" s="55">
        <f t="shared" si="7"/>
        <v>111</v>
      </c>
      <c r="AA14" s="772">
        <f>D14/F14</f>
        <v>1</v>
      </c>
      <c r="AB14" s="772">
        <f>D14/H14</f>
        <v>1</v>
      </c>
      <c r="AC14" s="772">
        <f>D14/J14</f>
        <v>1</v>
      </c>
    </row>
    <row r="15" spans="1:30" ht="99.75">
      <c r="A15" s="440" t="s">
        <v>2564</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27" t="s">
        <v>2565</v>
      </c>
      <c r="Q15" s="1812" t="str">
        <f t="shared" si="6"/>
        <v>居住社区成熟度</v>
      </c>
      <c r="R15" s="773" t="s">
        <v>17</v>
      </c>
      <c r="S15" s="774">
        <f t="shared" si="0"/>
        <v>100</v>
      </c>
      <c r="T15" s="773" t="s">
        <v>17</v>
      </c>
      <c r="U15" s="774">
        <f t="shared" si="1"/>
        <v>100</v>
      </c>
      <c r="V15" s="773" t="s">
        <v>17</v>
      </c>
      <c r="W15" s="774">
        <f t="shared" si="2"/>
        <v>100</v>
      </c>
      <c r="X15" s="1815"/>
      <c r="Y15" s="3227" t="s">
        <v>2565</v>
      </c>
      <c r="Z15" s="1816" t="str">
        <f t="shared" si="7"/>
        <v>居住社区成熟度</v>
      </c>
      <c r="AA15" s="1813">
        <f t="shared" si="3"/>
        <v>1</v>
      </c>
      <c r="AB15" s="1813">
        <f t="shared" si="4"/>
        <v>1</v>
      </c>
      <c r="AC15" s="1813">
        <f t="shared" si="5"/>
        <v>1</v>
      </c>
    </row>
    <row r="16" spans="1:30" ht="15">
      <c r="A16" s="428"/>
      <c r="B16" s="446"/>
      <c r="C16" s="447"/>
      <c r="D16" s="448"/>
      <c r="E16" s="2609"/>
      <c r="F16" s="448"/>
      <c r="G16" s="2609"/>
      <c r="H16" s="450"/>
      <c r="I16" s="2608"/>
      <c r="J16" s="448"/>
      <c r="K16" s="671"/>
      <c r="L16" s="1142"/>
      <c r="M16" s="1133"/>
      <c r="N16" s="1133"/>
      <c r="O16" s="1141"/>
      <c r="P16" s="3228"/>
      <c r="Q16" s="1812"/>
      <c r="R16" s="773"/>
      <c r="S16" s="774"/>
      <c r="T16" s="773"/>
      <c r="U16" s="774"/>
      <c r="V16" s="773"/>
      <c r="W16" s="774"/>
      <c r="X16" s="1815"/>
      <c r="Y16" s="3228"/>
      <c r="Z16" s="1816"/>
      <c r="AA16" s="1813">
        <v>1</v>
      </c>
      <c r="AB16" s="1813">
        <v>1</v>
      </c>
      <c r="AC16" s="1813">
        <v>1</v>
      </c>
    </row>
    <row r="17" spans="1:29" ht="71.25">
      <c r="A17" s="428"/>
      <c r="B17" s="451" t="s">
        <v>2658</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28"/>
      <c r="Q17" s="1812" t="str">
        <f>B17</f>
        <v>商业繁华度</v>
      </c>
      <c r="R17" s="773" t="s">
        <v>17</v>
      </c>
      <c r="S17" s="774">
        <f>F17</f>
        <v>100</v>
      </c>
      <c r="T17" s="773" t="s">
        <v>17</v>
      </c>
      <c r="U17" s="774">
        <f>H17</f>
        <v>100</v>
      </c>
      <c r="V17" s="773" t="s">
        <v>17</v>
      </c>
      <c r="W17" s="774">
        <f>J17</f>
        <v>100</v>
      </c>
      <c r="X17" s="1815"/>
      <c r="Y17" s="3228"/>
      <c r="Z17" s="1816" t="str">
        <f>Q17</f>
        <v>商业繁华度</v>
      </c>
      <c r="AA17" s="1813">
        <f t="shared" si="3"/>
        <v>1</v>
      </c>
      <c r="AB17" s="1813">
        <f t="shared" si="4"/>
        <v>1</v>
      </c>
      <c r="AC17" s="1813">
        <f t="shared" si="5"/>
        <v>1</v>
      </c>
    </row>
    <row r="18" spans="1:29" ht="15">
      <c r="A18" s="428"/>
      <c r="B18" s="456"/>
      <c r="C18" s="2612"/>
      <c r="D18" s="450"/>
      <c r="E18" s="2614"/>
      <c r="F18" s="450"/>
      <c r="G18" s="2614"/>
      <c r="H18" s="448"/>
      <c r="I18" s="2613"/>
      <c r="J18" s="448"/>
      <c r="K18" s="671"/>
      <c r="L18" s="1142"/>
      <c r="M18" s="1133"/>
      <c r="N18" s="1133"/>
      <c r="O18" s="1141"/>
      <c r="P18" s="3228"/>
      <c r="Q18" s="1812"/>
      <c r="R18" s="773"/>
      <c r="S18" s="774"/>
      <c r="T18" s="773"/>
      <c r="U18" s="774"/>
      <c r="V18" s="773"/>
      <c r="W18" s="774"/>
      <c r="X18" s="1815"/>
      <c r="Y18" s="3228"/>
      <c r="Z18" s="1816"/>
      <c r="AA18" s="1813">
        <v>1</v>
      </c>
      <c r="AB18" s="1813">
        <v>1</v>
      </c>
      <c r="AC18" s="1813">
        <v>1</v>
      </c>
    </row>
    <row r="19" spans="1:29" ht="71.25">
      <c r="A19" s="428"/>
      <c r="B19" s="451" t="s">
        <v>2692</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28"/>
      <c r="Q19" s="1812" t="str">
        <f>B19</f>
        <v>办公集聚程度</v>
      </c>
      <c r="R19" s="773" t="s">
        <v>17</v>
      </c>
      <c r="S19" s="774">
        <f>F19</f>
        <v>100</v>
      </c>
      <c r="T19" s="773" t="s">
        <v>17</v>
      </c>
      <c r="U19" s="774">
        <f>H19</f>
        <v>100</v>
      </c>
      <c r="V19" s="773" t="s">
        <v>17</v>
      </c>
      <c r="W19" s="774">
        <f>J19</f>
        <v>100</v>
      </c>
      <c r="X19" s="1815"/>
      <c r="Y19" s="3228"/>
      <c r="Z19" s="1816" t="str">
        <f>Q19</f>
        <v>办公集聚程度</v>
      </c>
      <c r="AA19" s="1813">
        <f t="shared" si="3"/>
        <v>1</v>
      </c>
      <c r="AB19" s="1813">
        <f t="shared" si="4"/>
        <v>1</v>
      </c>
      <c r="AC19" s="1813">
        <f t="shared" si="5"/>
        <v>1</v>
      </c>
    </row>
    <row r="20" spans="1:29" ht="15">
      <c r="A20" s="428"/>
      <c r="B20" s="456"/>
      <c r="C20" s="447"/>
      <c r="D20" s="448"/>
      <c r="E20" s="2609"/>
      <c r="F20" s="448"/>
      <c r="G20" s="2609"/>
      <c r="H20" s="448"/>
      <c r="I20" s="2608"/>
      <c r="J20" s="448"/>
      <c r="K20" s="671"/>
      <c r="L20" s="1142"/>
      <c r="M20" s="1133"/>
      <c r="N20" s="1133"/>
      <c r="O20" s="1141"/>
      <c r="P20" s="3228"/>
      <c r="Q20" s="1812"/>
      <c r="R20" s="773"/>
      <c r="S20" s="774"/>
      <c r="T20" s="773"/>
      <c r="U20" s="774"/>
      <c r="V20" s="773"/>
      <c r="W20" s="774"/>
      <c r="X20" s="1815"/>
      <c r="Y20" s="3228"/>
      <c r="Z20" s="1816"/>
      <c r="AA20" s="1813">
        <v>1</v>
      </c>
      <c r="AB20" s="1813">
        <v>1</v>
      </c>
      <c r="AC20" s="1813">
        <v>1</v>
      </c>
    </row>
    <row r="21" spans="1:29" ht="85.5">
      <c r="A21" s="428"/>
      <c r="B21" s="451" t="s">
        <v>2714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28"/>
      <c r="Q21" s="1812" t="str">
        <f>B21</f>
        <v>交通便捷度</v>
      </c>
      <c r="R21" s="773" t="s">
        <v>17</v>
      </c>
      <c r="S21" s="774">
        <f>F21</f>
        <v>100</v>
      </c>
      <c r="T21" s="773" t="s">
        <v>17</v>
      </c>
      <c r="U21" s="774">
        <f>H21</f>
        <v>100</v>
      </c>
      <c r="V21" s="773" t="s">
        <v>17</v>
      </c>
      <c r="W21" s="774">
        <f>J21</f>
        <v>100</v>
      </c>
      <c r="X21" s="1815"/>
      <c r="Y21" s="3228"/>
      <c r="Z21" s="1816" t="str">
        <f>Q21</f>
        <v>交通便捷度</v>
      </c>
      <c r="AA21" s="1813">
        <f t="shared" si="3"/>
        <v>1</v>
      </c>
      <c r="AB21" s="1813">
        <f t="shared" si="4"/>
        <v>1</v>
      </c>
      <c r="AC21" s="1813">
        <f t="shared" si="5"/>
        <v>1</v>
      </c>
    </row>
    <row r="22" spans="1:29" ht="15">
      <c r="A22" s="428"/>
      <c r="B22" s="1386"/>
      <c r="C22" s="447"/>
      <c r="D22" s="450"/>
      <c r="E22" s="2609"/>
      <c r="F22" s="448"/>
      <c r="G22" s="2609"/>
      <c r="H22" s="448"/>
      <c r="I22" s="2608"/>
      <c r="J22" s="448"/>
      <c r="K22" s="671"/>
      <c r="L22" s="1142"/>
      <c r="M22" s="1133"/>
      <c r="N22" s="1133"/>
      <c r="O22" s="1141"/>
      <c r="P22" s="3228"/>
      <c r="Q22" s="1812"/>
      <c r="R22" s="773"/>
      <c r="S22" s="774"/>
      <c r="T22" s="773"/>
      <c r="U22" s="774"/>
      <c r="V22" s="773"/>
      <c r="W22" s="774"/>
      <c r="X22" s="1815"/>
      <c r="Y22" s="3228"/>
      <c r="Z22" s="1816"/>
      <c r="AA22" s="1813">
        <v>1</v>
      </c>
      <c r="AB22" s="1813">
        <v>1</v>
      </c>
      <c r="AC22" s="1813">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28"/>
      <c r="Q23" s="1812" t="str">
        <f t="shared" ref="Q23:Q37" si="8">B23</f>
        <v>区域土地利用方向</v>
      </c>
      <c r="R23" s="773" t="s">
        <v>17</v>
      </c>
      <c r="S23" s="774">
        <f>F23</f>
        <v>100</v>
      </c>
      <c r="T23" s="773" t="s">
        <v>17</v>
      </c>
      <c r="U23" s="774">
        <f>H23</f>
        <v>100</v>
      </c>
      <c r="V23" s="773" t="s">
        <v>17</v>
      </c>
      <c r="W23" s="774">
        <f>J23</f>
        <v>100</v>
      </c>
      <c r="X23" s="1815"/>
      <c r="Y23" s="3228"/>
      <c r="Z23" s="1816" t="str">
        <f>Q23</f>
        <v>区域土地利用方向</v>
      </c>
      <c r="AA23" s="1813">
        <f t="shared" si="3"/>
        <v>1</v>
      </c>
      <c r="AB23" s="1813">
        <f t="shared" si="4"/>
        <v>1</v>
      </c>
      <c r="AC23" s="1813">
        <f t="shared" si="5"/>
        <v>1</v>
      </c>
    </row>
    <row r="24" spans="1:29" ht="15">
      <c r="A24" s="404"/>
      <c r="B24" s="456"/>
      <c r="C24" s="616"/>
      <c r="D24" s="448"/>
      <c r="E24" s="2609"/>
      <c r="F24" s="448"/>
      <c r="G24" s="2608"/>
      <c r="H24" s="448"/>
      <c r="I24" s="2608"/>
      <c r="J24" s="448"/>
      <c r="K24" s="811"/>
      <c r="L24" s="1142"/>
      <c r="M24" s="1133"/>
      <c r="N24" s="1133"/>
      <c r="O24" s="1141"/>
      <c r="P24" s="3228"/>
      <c r="Q24" s="1812"/>
      <c r="R24" s="773"/>
      <c r="S24" s="774"/>
      <c r="T24" s="773"/>
      <c r="U24" s="774"/>
      <c r="V24" s="773"/>
      <c r="W24" s="774"/>
      <c r="X24" s="1815"/>
      <c r="Y24" s="3228"/>
      <c r="Z24" s="1816"/>
      <c r="AA24" s="1813"/>
      <c r="AB24" s="1813"/>
      <c r="AC24" s="1813"/>
    </row>
    <row r="25" spans="1:29" ht="57">
      <c r="A25" s="404"/>
      <c r="B25" s="1386" t="s">
        <v>2754</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28"/>
      <c r="Q25" s="1812" t="str">
        <f t="shared" si="8"/>
        <v>自然及人文环境状况</v>
      </c>
      <c r="R25" s="773" t="s">
        <v>17</v>
      </c>
      <c r="S25" s="774">
        <f>F25</f>
        <v>100</v>
      </c>
      <c r="T25" s="773" t="s">
        <v>17</v>
      </c>
      <c r="U25" s="774">
        <f>H25</f>
        <v>100</v>
      </c>
      <c r="V25" s="773" t="s">
        <v>17</v>
      </c>
      <c r="W25" s="774">
        <f>J25</f>
        <v>100</v>
      </c>
      <c r="X25" s="1815"/>
      <c r="Y25" s="3228"/>
      <c r="Z25" s="1816" t="str">
        <f>Q25</f>
        <v>自然及人文环境状况</v>
      </c>
      <c r="AA25" s="1813">
        <f t="shared" si="3"/>
        <v>1</v>
      </c>
      <c r="AB25" s="1813">
        <f t="shared" si="4"/>
        <v>1</v>
      </c>
      <c r="AC25" s="1813">
        <f t="shared" si="5"/>
        <v>1</v>
      </c>
    </row>
    <row r="26" spans="1:29" ht="15">
      <c r="A26" s="404"/>
      <c r="B26" s="456"/>
      <c r="C26" s="447"/>
      <c r="D26" s="448"/>
      <c r="E26" s="2615"/>
      <c r="F26" s="448"/>
      <c r="G26" s="2615"/>
      <c r="H26" s="448"/>
      <c r="I26" s="447"/>
      <c r="J26" s="448"/>
      <c r="K26" s="671"/>
      <c r="L26" s="1142"/>
      <c r="M26" s="1133"/>
      <c r="N26" s="1133"/>
      <c r="O26" s="1141"/>
      <c r="P26" s="3228"/>
      <c r="Q26" s="1812"/>
      <c r="R26" s="773"/>
      <c r="S26" s="774"/>
      <c r="T26" s="773"/>
      <c r="U26" s="774"/>
      <c r="V26" s="773"/>
      <c r="W26" s="774"/>
      <c r="X26" s="1815"/>
      <c r="Y26" s="3228"/>
      <c r="Z26" s="1816"/>
      <c r="AA26" s="1813">
        <v>1</v>
      </c>
      <c r="AB26" s="1813">
        <v>1</v>
      </c>
      <c r="AC26" s="1813">
        <v>1</v>
      </c>
    </row>
    <row r="27" spans="1:29" s="117" customFormat="1" ht="42.75">
      <c r="A27" s="648"/>
      <c r="B27" s="1386" t="s">
        <v>2659</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28"/>
      <c r="Q27" s="1797" t="str">
        <f t="shared" si="8"/>
        <v>公共配套设施</v>
      </c>
      <c r="R27" s="769" t="s">
        <v>17</v>
      </c>
      <c r="S27" s="770">
        <f>F27</f>
        <v>100</v>
      </c>
      <c r="T27" s="769" t="s">
        <v>17</v>
      </c>
      <c r="U27" s="770">
        <f>H27</f>
        <v>100</v>
      </c>
      <c r="V27" s="769" t="s">
        <v>17</v>
      </c>
      <c r="W27" s="770">
        <f>J27</f>
        <v>100</v>
      </c>
      <c r="X27" s="771"/>
      <c r="Y27" s="3228"/>
      <c r="Z27" s="55" t="str">
        <f>Q27</f>
        <v>公共配套设施</v>
      </c>
      <c r="AA27" s="1813">
        <f>D27/F27</f>
        <v>1</v>
      </c>
      <c r="AB27" s="1813">
        <f>D27/H27</f>
        <v>1</v>
      </c>
      <c r="AC27" s="1813">
        <f>D27/J27</f>
        <v>1</v>
      </c>
    </row>
    <row r="28" spans="1:29" s="117" customFormat="1" ht="15">
      <c r="A28" s="648"/>
      <c r="B28" s="456"/>
      <c r="C28" s="2704"/>
      <c r="D28" s="448"/>
      <c r="E28" s="2615"/>
      <c r="F28" s="448"/>
      <c r="G28" s="2615"/>
      <c r="H28" s="448"/>
      <c r="I28" s="447"/>
      <c r="J28" s="448"/>
      <c r="K28" s="671"/>
      <c r="L28" s="1134"/>
      <c r="M28" s="1135"/>
      <c r="N28" s="1135"/>
      <c r="O28" s="1136"/>
      <c r="P28" s="3228"/>
      <c r="Q28" s="1797"/>
      <c r="R28" s="769"/>
      <c r="S28" s="770"/>
      <c r="T28" s="769"/>
      <c r="U28" s="770"/>
      <c r="V28" s="769"/>
      <c r="W28" s="770"/>
      <c r="X28" s="771"/>
      <c r="Y28" s="3228"/>
      <c r="Z28" s="55"/>
      <c r="AA28" s="1813">
        <v>1</v>
      </c>
      <c r="AB28" s="1813">
        <v>1</v>
      </c>
      <c r="AC28" s="1813">
        <v>1</v>
      </c>
    </row>
    <row r="29" spans="1:29" s="117" customFormat="1" ht="28.5">
      <c r="A29" s="648"/>
      <c r="B29" s="1386" t="s">
        <v>2660</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28"/>
      <c r="Q29" s="1797" t="str">
        <f t="shared" ref="Q29" si="9">B29</f>
        <v>基础设施水平</v>
      </c>
      <c r="R29" s="769" t="s">
        <v>17</v>
      </c>
      <c r="S29" s="770">
        <f>F29</f>
        <v>100</v>
      </c>
      <c r="T29" s="769" t="s">
        <v>17</v>
      </c>
      <c r="U29" s="770">
        <f>H29</f>
        <v>100</v>
      </c>
      <c r="V29" s="769" t="s">
        <v>17</v>
      </c>
      <c r="W29" s="770">
        <f>J29</f>
        <v>100</v>
      </c>
      <c r="X29" s="771"/>
      <c r="Y29" s="3228"/>
      <c r="Z29" s="55" t="str">
        <f>Q29</f>
        <v>基础设施水平</v>
      </c>
      <c r="AA29" s="1813">
        <f>D29/F29</f>
        <v>1</v>
      </c>
      <c r="AB29" s="1813">
        <f>D29/H29</f>
        <v>1</v>
      </c>
      <c r="AC29" s="1813">
        <f>D29/J29</f>
        <v>1</v>
      </c>
    </row>
    <row r="30" spans="1:29" s="117" customFormat="1" ht="15">
      <c r="A30" s="648"/>
      <c r="B30" s="456"/>
      <c r="C30" s="2704"/>
      <c r="D30" s="448"/>
      <c r="E30" s="2705"/>
      <c r="F30" s="448"/>
      <c r="G30" s="2705"/>
      <c r="H30" s="448"/>
      <c r="I30" s="2705"/>
      <c r="J30" s="448"/>
      <c r="K30" s="671"/>
      <c r="L30" s="1134"/>
      <c r="M30" s="1135"/>
      <c r="N30" s="1135"/>
      <c r="O30" s="1136"/>
      <c r="P30" s="3228"/>
      <c r="Q30" s="1797"/>
      <c r="R30" s="769"/>
      <c r="S30" s="770"/>
      <c r="T30" s="769"/>
      <c r="U30" s="770"/>
      <c r="V30" s="769"/>
      <c r="W30" s="770"/>
      <c r="X30" s="771"/>
      <c r="Y30" s="3228"/>
      <c r="Z30" s="55"/>
      <c r="AA30" s="1813">
        <v>1</v>
      </c>
      <c r="AB30" s="1813">
        <v>1</v>
      </c>
      <c r="AC30" s="1813">
        <v>1</v>
      </c>
    </row>
    <row r="31" spans="1:29" ht="15">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2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8"/>
      <c r="Z31" s="1816" t="str">
        <f t="shared" ref="Z31:Z45" si="13">Q31</f>
        <v>临街状况</v>
      </c>
      <c r="AA31" s="1813">
        <f t="shared" si="3"/>
        <v>1</v>
      </c>
      <c r="AB31" s="1813">
        <f t="shared" si="4"/>
        <v>1</v>
      </c>
      <c r="AC31" s="1813">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28"/>
      <c r="Q32" s="1812" t="str">
        <f t="shared" si="8"/>
        <v>毗邻道路的类型与等级</v>
      </c>
      <c r="R32" s="773" t="s">
        <v>17</v>
      </c>
      <c r="S32" s="774">
        <f t="shared" si="10"/>
        <v>100</v>
      </c>
      <c r="T32" s="773" t="s">
        <v>17</v>
      </c>
      <c r="U32" s="774">
        <f t="shared" si="11"/>
        <v>100</v>
      </c>
      <c r="V32" s="773" t="s">
        <v>17</v>
      </c>
      <c r="W32" s="774">
        <f t="shared" si="12"/>
        <v>100</v>
      </c>
      <c r="X32" s="1815"/>
      <c r="Y32" s="3228"/>
      <c r="Z32" s="1816" t="str">
        <f t="shared" si="13"/>
        <v>毗邻道路的类型与等级</v>
      </c>
      <c r="AA32" s="1813">
        <f t="shared" si="3"/>
        <v>1</v>
      </c>
      <c r="AB32" s="1813">
        <f t="shared" si="4"/>
        <v>1</v>
      </c>
      <c r="AC32" s="1813">
        <f t="shared" si="5"/>
        <v>1</v>
      </c>
    </row>
    <row r="33" spans="1:29" ht="15">
      <c r="A33" s="428"/>
      <c r="B33" s="456"/>
      <c r="C33" s="447"/>
      <c r="D33" s="448"/>
      <c r="E33" s="2615"/>
      <c r="F33" s="448"/>
      <c r="G33" s="2615"/>
      <c r="H33" s="448"/>
      <c r="I33" s="447"/>
      <c r="J33" s="448"/>
      <c r="K33" s="613"/>
      <c r="L33" s="1142"/>
      <c r="M33" s="1133"/>
      <c r="N33" s="1133"/>
      <c r="O33" s="1141"/>
      <c r="P33" s="3228"/>
      <c r="Q33" s="1812"/>
      <c r="R33" s="773"/>
      <c r="S33" s="774"/>
      <c r="T33" s="773"/>
      <c r="U33" s="774"/>
      <c r="V33" s="773"/>
      <c r="W33" s="774"/>
      <c r="X33" s="1815"/>
      <c r="Y33" s="3228"/>
      <c r="Z33" s="1816"/>
      <c r="AA33" s="1813">
        <v>1</v>
      </c>
      <c r="AB33" s="1813">
        <v>1</v>
      </c>
      <c r="AC33" s="1813">
        <v>1</v>
      </c>
    </row>
    <row r="34" spans="1:29" ht="15">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28"/>
      <c r="Q34" s="1812" t="str">
        <f t="shared" si="8"/>
        <v>土地级别</v>
      </c>
      <c r="R34" s="773" t="s">
        <v>17</v>
      </c>
      <c r="S34" s="774">
        <f t="shared" si="10"/>
        <v>100</v>
      </c>
      <c r="T34" s="773" t="s">
        <v>17</v>
      </c>
      <c r="U34" s="774">
        <f t="shared" si="11"/>
        <v>100</v>
      </c>
      <c r="V34" s="773" t="s">
        <v>17</v>
      </c>
      <c r="W34" s="774">
        <f t="shared" si="12"/>
        <v>100</v>
      </c>
      <c r="X34" s="1815"/>
      <c r="Y34" s="3228"/>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28"/>
      <c r="Q35" s="1812">
        <f t="shared" si="8"/>
        <v>111</v>
      </c>
      <c r="R35" s="773" t="s">
        <v>17</v>
      </c>
      <c r="S35" s="774">
        <f t="shared" si="10"/>
        <v>100</v>
      </c>
      <c r="T35" s="773" t="s">
        <v>17</v>
      </c>
      <c r="U35" s="774">
        <f t="shared" si="11"/>
        <v>100</v>
      </c>
      <c r="V35" s="773" t="s">
        <v>17</v>
      </c>
      <c r="W35" s="774">
        <f t="shared" si="12"/>
        <v>100</v>
      </c>
      <c r="X35" s="1815"/>
      <c r="Y35" s="3228"/>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85" t="s">
        <v>2570</v>
      </c>
      <c r="Q36" s="1812">
        <f t="shared" si="8"/>
        <v>111</v>
      </c>
      <c r="R36" s="773" t="s">
        <v>17</v>
      </c>
      <c r="S36" s="774">
        <f t="shared" si="10"/>
        <v>100</v>
      </c>
      <c r="T36" s="773" t="s">
        <v>17</v>
      </c>
      <c r="U36" s="774">
        <f t="shared" si="11"/>
        <v>100</v>
      </c>
      <c r="V36" s="773" t="s">
        <v>17</v>
      </c>
      <c r="W36" s="774">
        <f t="shared" si="12"/>
        <v>100</v>
      </c>
      <c r="X36" s="1815"/>
      <c r="Y36" s="3232" t="s">
        <v>2570</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32"/>
      <c r="Q37" s="1812">
        <f t="shared" si="8"/>
        <v>111</v>
      </c>
      <c r="R37" s="776" t="s">
        <v>17</v>
      </c>
      <c r="S37" s="777">
        <f t="shared" si="10"/>
        <v>100</v>
      </c>
      <c r="T37" s="776" t="s">
        <v>17</v>
      </c>
      <c r="U37" s="777">
        <f t="shared" si="11"/>
        <v>100</v>
      </c>
      <c r="V37" s="776" t="s">
        <v>17</v>
      </c>
      <c r="W37" s="777">
        <f t="shared" si="12"/>
        <v>100</v>
      </c>
      <c r="X37" s="778"/>
      <c r="Y37" s="3232"/>
      <c r="Z37" s="779">
        <f t="shared" si="13"/>
        <v>111</v>
      </c>
      <c r="AA37" s="1813">
        <f t="shared" si="3"/>
        <v>1</v>
      </c>
      <c r="AB37" s="1813">
        <f t="shared" si="4"/>
        <v>1</v>
      </c>
      <c r="AC37" s="1813">
        <f t="shared" si="5"/>
        <v>1</v>
      </c>
    </row>
    <row r="38" spans="1:29" ht="15">
      <c r="A38" s="472" t="s">
        <v>2568</v>
      </c>
      <c r="B38" s="456" t="s">
        <v>2756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32"/>
      <c r="Q38" s="1812" t="str">
        <f>B38</f>
        <v>宗地面积</v>
      </c>
      <c r="R38" s="773" t="s">
        <v>17</v>
      </c>
      <c r="S38" s="774" t="e">
        <f t="shared" si="10"/>
        <v>#N/A</v>
      </c>
      <c r="T38" s="773" t="s">
        <v>17</v>
      </c>
      <c r="U38" s="774" t="e">
        <f t="shared" si="11"/>
        <v>#N/A</v>
      </c>
      <c r="V38" s="773" t="s">
        <v>17</v>
      </c>
      <c r="W38" s="774" t="e">
        <f t="shared" si="12"/>
        <v>#N/A</v>
      </c>
      <c r="X38" s="1815"/>
      <c r="Y38" s="3232"/>
      <c r="Z38" s="1816" t="str">
        <f t="shared" si="13"/>
        <v>宗地面积</v>
      </c>
      <c r="AA38" s="1813" t="e">
        <f t="shared" si="3"/>
        <v>#N/A</v>
      </c>
      <c r="AB38" s="1813" t="e">
        <f t="shared" si="4"/>
        <v>#N/A</v>
      </c>
      <c r="AC38" s="1813" t="e">
        <f t="shared" si="5"/>
        <v>#N/A</v>
      </c>
    </row>
    <row r="39" spans="1:29" ht="15">
      <c r="A39" s="472"/>
      <c r="B39" s="422" t="s">
        <v>2757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2"/>
      <c r="M39" s="1133"/>
      <c r="N39" s="1133"/>
      <c r="O39" s="1141"/>
      <c r="P39" s="3232"/>
      <c r="Q39" s="1812" t="str">
        <f t="shared" ref="Q39:Q45" si="14">B39</f>
        <v>宗地形状</v>
      </c>
      <c r="R39" s="773" t="s">
        <v>17</v>
      </c>
      <c r="S39" s="774">
        <f t="shared" si="10"/>
        <v>100</v>
      </c>
      <c r="T39" s="773" t="s">
        <v>17</v>
      </c>
      <c r="U39" s="774">
        <f t="shared" si="11"/>
        <v>100</v>
      </c>
      <c r="V39" s="773" t="s">
        <v>17</v>
      </c>
      <c r="W39" s="774">
        <f t="shared" si="12"/>
        <v>100</v>
      </c>
      <c r="X39" s="1815"/>
      <c r="Y39" s="3232"/>
      <c r="Z39" s="1816" t="str">
        <f t="shared" si="13"/>
        <v>宗地形状</v>
      </c>
      <c r="AA39" s="1813">
        <f t="shared" si="3"/>
        <v>1</v>
      </c>
      <c r="AB39" s="1813">
        <f t="shared" si="4"/>
        <v>1</v>
      </c>
      <c r="AC39" s="1813">
        <f t="shared" si="5"/>
        <v>1</v>
      </c>
    </row>
    <row r="40" spans="1:29" ht="15">
      <c r="A40" s="472"/>
      <c r="B40" s="422" t="s">
        <v>2758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2"/>
      <c r="M40" s="1133"/>
      <c r="N40" s="1133"/>
      <c r="O40" s="1141"/>
      <c r="P40" s="3232"/>
      <c r="Q40" s="1812" t="str">
        <f t="shared" si="14"/>
        <v>临街宽度及深度</v>
      </c>
      <c r="R40" s="773" t="s">
        <v>17</v>
      </c>
      <c r="S40" s="774">
        <f t="shared" si="10"/>
        <v>100</v>
      </c>
      <c r="T40" s="773" t="s">
        <v>17</v>
      </c>
      <c r="U40" s="774">
        <f t="shared" si="11"/>
        <v>100</v>
      </c>
      <c r="V40" s="773" t="s">
        <v>17</v>
      </c>
      <c r="W40" s="774">
        <f t="shared" si="12"/>
        <v>100</v>
      </c>
      <c r="X40" s="1815"/>
      <c r="Y40" s="3232"/>
      <c r="Z40" s="1816" t="str">
        <f t="shared" si="13"/>
        <v>临街宽度及深度</v>
      </c>
      <c r="AA40" s="1813">
        <f t="shared" si="3"/>
        <v>1</v>
      </c>
      <c r="AB40" s="1813">
        <f t="shared" si="4"/>
        <v>1</v>
      </c>
      <c r="AC40" s="1813">
        <f t="shared" si="5"/>
        <v>1</v>
      </c>
    </row>
    <row r="41" spans="1:29" s="117" customFormat="1" ht="15">
      <c r="A41" s="473"/>
      <c r="B41" s="422" t="s">
        <v>2759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4"/>
      <c r="M41" s="1135"/>
      <c r="N41" s="1135"/>
      <c r="O41" s="1136"/>
      <c r="P41" s="3232"/>
      <c r="Q41" s="1812" t="str">
        <f t="shared" si="14"/>
        <v>宗地开发程度</v>
      </c>
      <c r="R41" s="769" t="s">
        <v>17</v>
      </c>
      <c r="S41" s="770">
        <f t="shared" si="10"/>
        <v>100</v>
      </c>
      <c r="T41" s="769" t="s">
        <v>17</v>
      </c>
      <c r="U41" s="770">
        <f t="shared" si="11"/>
        <v>100</v>
      </c>
      <c r="V41" s="769" t="s">
        <v>17</v>
      </c>
      <c r="W41" s="770">
        <f t="shared" si="12"/>
        <v>100</v>
      </c>
      <c r="X41" s="771"/>
      <c r="Y41" s="3232"/>
      <c r="Z41" s="55" t="str">
        <f t="shared" si="13"/>
        <v>宗地开发程度</v>
      </c>
      <c r="AA41" s="772">
        <f t="shared" si="3"/>
        <v>1</v>
      </c>
      <c r="AB41" s="772">
        <f t="shared" si="4"/>
        <v>1</v>
      </c>
      <c r="AC41" s="772">
        <f t="shared" si="5"/>
        <v>1</v>
      </c>
    </row>
    <row r="42" spans="1:29" ht="15">
      <c r="A42" s="472"/>
      <c r="B42" s="422" t="s">
        <v>2760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2"/>
      <c r="M42" s="1133"/>
      <c r="N42" s="1133"/>
      <c r="O42" s="1141"/>
      <c r="P42" s="3232" t="s">
        <v>2570</v>
      </c>
      <c r="Q42" s="1812" t="str">
        <f t="shared" si="14"/>
        <v>工程地质条件</v>
      </c>
      <c r="R42" s="773" t="s">
        <v>17</v>
      </c>
      <c r="S42" s="774">
        <f t="shared" si="10"/>
        <v>100</v>
      </c>
      <c r="T42" s="773" t="s">
        <v>17</v>
      </c>
      <c r="U42" s="774">
        <f t="shared" si="11"/>
        <v>100</v>
      </c>
      <c r="V42" s="773" t="s">
        <v>17</v>
      </c>
      <c r="W42" s="774">
        <f t="shared" si="12"/>
        <v>100</v>
      </c>
      <c r="X42" s="1815"/>
      <c r="Y42" s="3232" t="s">
        <v>2570</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32"/>
      <c r="Q43" s="1812">
        <f t="shared" si="14"/>
        <v>111</v>
      </c>
      <c r="R43" s="773" t="s">
        <v>17</v>
      </c>
      <c r="S43" s="774">
        <f t="shared" si="10"/>
        <v>100</v>
      </c>
      <c r="T43" s="773" t="s">
        <v>17</v>
      </c>
      <c r="U43" s="774">
        <f t="shared" si="11"/>
        <v>100</v>
      </c>
      <c r="V43" s="773" t="s">
        <v>17</v>
      </c>
      <c r="W43" s="774">
        <f t="shared" si="12"/>
        <v>100</v>
      </c>
      <c r="X43" s="1815"/>
      <c r="Y43" s="3232"/>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32"/>
      <c r="Q44" s="1812">
        <f t="shared" si="14"/>
        <v>111</v>
      </c>
      <c r="R44" s="773" t="s">
        <v>17</v>
      </c>
      <c r="S44" s="774">
        <f t="shared" si="10"/>
        <v>100</v>
      </c>
      <c r="T44" s="773" t="s">
        <v>17</v>
      </c>
      <c r="U44" s="774">
        <f t="shared" si="11"/>
        <v>100</v>
      </c>
      <c r="V44" s="773" t="s">
        <v>17</v>
      </c>
      <c r="W44" s="774">
        <f t="shared" si="12"/>
        <v>100</v>
      </c>
      <c r="X44" s="1815"/>
      <c r="Y44" s="3232"/>
      <c r="Z44" s="1816">
        <f t="shared" si="13"/>
        <v>111</v>
      </c>
      <c r="AA44" s="1813">
        <f t="shared" si="3"/>
        <v>1</v>
      </c>
      <c r="AB44" s="1813">
        <f t="shared" si="4"/>
        <v>1</v>
      </c>
      <c r="AC44" s="1813">
        <f t="shared" si="5"/>
        <v>1</v>
      </c>
    </row>
    <row r="45" spans="1:29" s="471" customFormat="1" ht="15.75" thickBot="1">
      <c r="A45" s="468"/>
      <c r="B45" s="1389">
        <v>111</v>
      </c>
      <c r="C45" s="2707"/>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32"/>
      <c r="Q45" s="1812">
        <f t="shared" si="14"/>
        <v>111</v>
      </c>
      <c r="R45" s="776" t="s">
        <v>17</v>
      </c>
      <c r="S45" s="777">
        <f t="shared" si="10"/>
        <v>100</v>
      </c>
      <c r="T45" s="776" t="s">
        <v>17</v>
      </c>
      <c r="U45" s="777">
        <f t="shared" si="11"/>
        <v>100</v>
      </c>
      <c r="V45" s="776" t="s">
        <v>17</v>
      </c>
      <c r="W45" s="777">
        <f t="shared" si="12"/>
        <v>100</v>
      </c>
      <c r="X45" s="778"/>
      <c r="Y45" s="3232"/>
      <c r="Z45" s="779">
        <f t="shared" si="13"/>
        <v>111</v>
      </c>
      <c r="AA45" s="1813">
        <f t="shared" si="3"/>
        <v>1</v>
      </c>
      <c r="AB45" s="1813">
        <f t="shared" si="4"/>
        <v>1</v>
      </c>
      <c r="AC45" s="1813">
        <f t="shared" si="5"/>
        <v>1</v>
      </c>
    </row>
    <row r="46" spans="1:29" ht="15">
      <c r="A46" s="479" t="s">
        <v>2725</v>
      </c>
      <c r="B46" s="2708" t="s">
        <v>2761</v>
      </c>
      <c r="C46" s="681" t="s">
        <v>1</v>
      </c>
      <c r="D46" s="481"/>
      <c r="E46" s="482"/>
      <c r="F46" s="483"/>
      <c r="G46" s="484"/>
      <c r="H46" s="485"/>
      <c r="I46" s="482"/>
      <c r="J46" s="485"/>
      <c r="K46" s="782"/>
      <c r="L46" s="1145"/>
      <c r="M46" s="1146"/>
      <c r="N46" s="1133"/>
      <c r="O46" s="1146"/>
      <c r="P46" s="3225" t="str">
        <f>A46</f>
        <v>成交单价</v>
      </c>
      <c r="Q46" s="3225"/>
      <c r="R46" s="3256">
        <f>E46</f>
        <v>0</v>
      </c>
      <c r="S46" s="3256"/>
      <c r="T46" s="3256">
        <f>G46</f>
        <v>0</v>
      </c>
      <c r="U46" s="3256"/>
      <c r="V46" s="3256">
        <f>I46</f>
        <v>0</v>
      </c>
      <c r="W46" s="3256"/>
      <c r="X46" s="758"/>
      <c r="Y46" s="780"/>
      <c r="Z46" s="758"/>
      <c r="AA46" s="758"/>
      <c r="AB46" s="758"/>
      <c r="AC46" s="758"/>
    </row>
    <row r="47" spans="1:29" ht="15.75" thickBot="1">
      <c r="A47" s="486" t="s">
        <v>2674</v>
      </c>
      <c r="B47" s="682"/>
      <c r="C47" s="490" t="e">
        <f>R48</f>
        <v>#DIV/0!</v>
      </c>
      <c r="D47" s="489"/>
      <c r="E47" s="490" t="e">
        <f>R47</f>
        <v>#DIV/0!</v>
      </c>
      <c r="F47" s="491"/>
      <c r="G47" s="488" t="e">
        <f>T47</f>
        <v>#DIV/0!</v>
      </c>
      <c r="H47" s="489"/>
      <c r="I47" s="490" t="e">
        <f>V47</f>
        <v>#DIV/0!</v>
      </c>
      <c r="J47" s="489"/>
      <c r="K47" s="783"/>
      <c r="L47" s="1145"/>
      <c r="M47" s="1146"/>
      <c r="N47" s="1146"/>
      <c r="O47" s="1146"/>
      <c r="P47" s="3225" t="str">
        <f>A47</f>
        <v>比较价值（元/平方米）</v>
      </c>
      <c r="Q47" s="3225"/>
      <c r="R47" s="3286" t="e">
        <f>ROUND(PRODUCT(R46,AA7:AA45),0)</f>
        <v>#DIV/0!</v>
      </c>
      <c r="S47" s="3286"/>
      <c r="T47" s="3286" t="e">
        <f>ROUND(PRODUCT(T46,AB7:AB45),0)</f>
        <v>#DIV/0!</v>
      </c>
      <c r="U47" s="3286"/>
      <c r="V47" s="3286" t="e">
        <f>ROUND(PRODUCT(V46,AC7:AC45),0)</f>
        <v>#DIV/0!</v>
      </c>
      <c r="W47" s="3286"/>
      <c r="X47" s="758"/>
      <c r="Y47" s="758"/>
      <c r="Z47" s="758"/>
      <c r="AA47" s="758"/>
      <c r="AB47" s="758"/>
      <c r="AC47" s="758"/>
    </row>
    <row r="48" spans="1:29" ht="15.75" thickBot="1">
      <c r="A48" s="492" t="s">
        <v>2762</v>
      </c>
      <c r="B48" s="493"/>
      <c r="C48" s="494" t="e">
        <f>R48</f>
        <v>#DIV/0!</v>
      </c>
      <c r="D48" s="494"/>
      <c r="E48" s="494"/>
      <c r="F48" s="494"/>
      <c r="G48" s="494"/>
      <c r="H48" s="494"/>
      <c r="I48" s="494"/>
      <c r="J48" s="494"/>
      <c r="K48" s="784"/>
      <c r="L48" s="1145"/>
      <c r="M48" s="1146"/>
      <c r="N48" s="1146"/>
      <c r="O48" s="1146"/>
      <c r="P48" s="3222" t="str">
        <f>A48</f>
        <v>估价对象XX用房的比较价值（楼面单价，元/平方米）</v>
      </c>
      <c r="Q48" s="3223"/>
      <c r="R48" s="3287" t="e">
        <f>ROUND(AVERAGE(R47:V47),0)</f>
        <v>#DIV/0!</v>
      </c>
      <c r="S48" s="3287"/>
      <c r="T48" s="3287"/>
      <c r="U48" s="3287"/>
      <c r="V48" s="3287"/>
      <c r="W48" s="328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2763</v>
      </c>
      <c r="B55" s="684" t="s">
        <v>2764</v>
      </c>
      <c r="C55" s="2709" t="s">
        <v>2765</v>
      </c>
      <c r="D55" s="2710" t="s">
        <v>2766</v>
      </c>
      <c r="E55" s="685" t="s">
        <v>2767</v>
      </c>
      <c r="F55" s="1109" t="s">
        <v>2768</v>
      </c>
      <c r="G55" s="3240" t="s">
        <v>2769</v>
      </c>
      <c r="H55" s="3288"/>
      <c r="I55" s="144" t="s">
        <v>2770</v>
      </c>
      <c r="J55" s="2711">
        <f>项目基本情况!F35</f>
        <v>0</v>
      </c>
      <c r="K55" s="2712" t="s">
        <v>2771</v>
      </c>
      <c r="L55" s="1108"/>
      <c r="M55" s="1146"/>
      <c r="N55" s="1146"/>
      <c r="O55" s="1146"/>
    </row>
    <row r="56" spans="1:15" s="691" customFormat="1">
      <c r="A56" s="687" t="s">
        <v>2772</v>
      </c>
      <c r="B56" s="688" t="e">
        <f>C48</f>
        <v>#DIV/0!</v>
      </c>
      <c r="C56" s="689">
        <v>1</v>
      </c>
      <c r="D56" s="1165">
        <v>1</v>
      </c>
      <c r="E56" s="689">
        <f>'数据-汇总表'!E8+'数据-汇总表'!E9</f>
        <v>5590.66</v>
      </c>
      <c r="F56" s="1105" t="e">
        <f t="shared" ref="F56:F65" si="15">ROUND(B56*E56/10000,0)</f>
        <v>#DIV/0!</v>
      </c>
      <c r="G56" s="3236"/>
      <c r="H56" s="3225"/>
      <c r="I56" s="1110">
        <v>1</v>
      </c>
      <c r="J56" s="1113">
        <v>1</v>
      </c>
      <c r="K56" s="1147"/>
      <c r="L56" s="943"/>
      <c r="M56" s="943"/>
      <c r="N56" s="943"/>
      <c r="O56" s="943"/>
    </row>
    <row r="57" spans="1:15" s="691" customFormat="1">
      <c r="A57" s="692" t="s">
        <v>2773</v>
      </c>
      <c r="B57" s="262" t="e">
        <f>ROUND($C$48*C57*D57,0)</f>
        <v>#DIV/0!</v>
      </c>
      <c r="C57" s="200">
        <f t="shared" ref="C57:C65" si="16">IF($C$55="北京市系数",I57,J57)</f>
        <v>0</v>
      </c>
      <c r="D57" s="1166">
        <v>0.25</v>
      </c>
      <c r="E57" s="693"/>
      <c r="F57" s="1105" t="e">
        <f t="shared" si="15"/>
        <v>#DIV/0!</v>
      </c>
      <c r="G57" s="3289" t="s">
        <v>2774</v>
      </c>
      <c r="H57" s="1106">
        <f>项目基本情况!B37</f>
        <v>0</v>
      </c>
      <c r="I57" s="1110">
        <f>SUMIF(修正!A45:A56,H57,修正!B45:B56)</f>
        <v>0</v>
      </c>
      <c r="J57" s="1114"/>
      <c r="K57" s="1146"/>
      <c r="L57" s="943"/>
      <c r="M57" s="943"/>
      <c r="N57" s="943"/>
      <c r="O57" s="943"/>
    </row>
    <row r="58" spans="1:15" s="691" customFormat="1">
      <c r="A58" s="692" t="s">
        <v>2775</v>
      </c>
      <c r="B58" s="262" t="e">
        <f t="shared" ref="B58:B65" si="17">ROUND($C$48*C58*D58,0)</f>
        <v>#DIV/0!</v>
      </c>
      <c r="C58" s="200">
        <f t="shared" si="16"/>
        <v>0</v>
      </c>
      <c r="D58" s="1166">
        <v>0.25</v>
      </c>
      <c r="E58" s="693"/>
      <c r="F58" s="1105" t="e">
        <f t="shared" si="15"/>
        <v>#DIV/0!</v>
      </c>
      <c r="G58" s="3289"/>
      <c r="H58" s="1106">
        <f>项目基本情况!B37</f>
        <v>0</v>
      </c>
      <c r="I58" s="1110">
        <f>SUMIF(修正!A45:A56,H58,修正!C45:C56)</f>
        <v>0</v>
      </c>
      <c r="J58" s="1114"/>
      <c r="K58" s="1147"/>
      <c r="L58" s="943"/>
      <c r="M58" s="943"/>
      <c r="N58" s="943"/>
      <c r="O58" s="943"/>
    </row>
    <row r="59" spans="1:15" s="691" customFormat="1">
      <c r="A59" s="692" t="s">
        <v>2776</v>
      </c>
      <c r="B59" s="262" t="e">
        <f t="shared" si="17"/>
        <v>#DIV/0!</v>
      </c>
      <c r="C59" s="200">
        <f t="shared" si="16"/>
        <v>0</v>
      </c>
      <c r="D59" s="1166">
        <v>0.25</v>
      </c>
      <c r="E59" s="693"/>
      <c r="F59" s="1105" t="e">
        <f t="shared" si="15"/>
        <v>#DIV/0!</v>
      </c>
      <c r="G59" s="3289"/>
      <c r="H59" s="1106">
        <f>项目基本情况!B37</f>
        <v>0</v>
      </c>
      <c r="I59" s="1110">
        <f>SUMIF(修正!A45:A56,H59,修正!D45:D56)</f>
        <v>0</v>
      </c>
      <c r="J59" s="1114"/>
      <c r="K59" s="1146"/>
      <c r="L59" s="943"/>
      <c r="M59" s="943"/>
      <c r="N59" s="943"/>
      <c r="O59" s="943"/>
    </row>
    <row r="60" spans="1:15" s="691" customFormat="1">
      <c r="A60" s="692" t="s">
        <v>2777</v>
      </c>
      <c r="B60" s="262" t="e">
        <f t="shared" si="17"/>
        <v>#DIV/0!</v>
      </c>
      <c r="C60" s="200">
        <f t="shared" si="16"/>
        <v>0</v>
      </c>
      <c r="D60" s="1166">
        <v>0.25</v>
      </c>
      <c r="E60" s="693"/>
      <c r="F60" s="1105" t="e">
        <f t="shared" si="15"/>
        <v>#DIV/0!</v>
      </c>
      <c r="G60" s="3289"/>
      <c r="H60" s="1106">
        <f>项目基本情况!B37</f>
        <v>0</v>
      </c>
      <c r="I60" s="1110">
        <f>SUMIF(修正!A45:A56,H60,修正!E45:E56)</f>
        <v>0</v>
      </c>
      <c r="J60" s="1114"/>
      <c r="K60" s="1147"/>
      <c r="L60" s="943"/>
      <c r="M60" s="943"/>
      <c r="N60" s="943"/>
      <c r="O60" s="943"/>
    </row>
    <row r="61" spans="1:15" s="691" customFormat="1">
      <c r="A61" s="692" t="s">
        <v>2778</v>
      </c>
      <c r="B61" s="262" t="e">
        <f t="shared" si="17"/>
        <v>#DIV/0!</v>
      </c>
      <c r="C61" s="200">
        <f t="shared" si="16"/>
        <v>0</v>
      </c>
      <c r="D61" s="1166">
        <v>0.25</v>
      </c>
      <c r="E61" s="261">
        <f>'数据-汇总表'!E11</f>
        <v>0</v>
      </c>
      <c r="F61" s="1105" t="e">
        <f t="shared" si="15"/>
        <v>#DIV/0!</v>
      </c>
      <c r="G61" s="2713" t="s">
        <v>2779</v>
      </c>
      <c r="H61" s="1106">
        <f>项目基本情况!C37</f>
        <v>0</v>
      </c>
      <c r="I61" s="1110">
        <f>SUMIF(修正!A45:A56,H61,修正!F45:F56)</f>
        <v>0</v>
      </c>
      <c r="J61" s="1114"/>
      <c r="K61" s="1146"/>
      <c r="L61" s="943"/>
      <c r="M61" s="943"/>
      <c r="N61" s="943"/>
      <c r="O61" s="943"/>
    </row>
    <row r="62" spans="1:15" s="691" customFormat="1">
      <c r="A62" s="692" t="s">
        <v>2780</v>
      </c>
      <c r="B62" s="262" t="e">
        <f t="shared" si="17"/>
        <v>#DIV/0!</v>
      </c>
      <c r="C62" s="200">
        <f t="shared" si="16"/>
        <v>0</v>
      </c>
      <c r="D62" s="1166">
        <v>0.25</v>
      </c>
      <c r="E62" s="261">
        <f>'数据-汇总表'!E12</f>
        <v>0</v>
      </c>
      <c r="F62" s="1105" t="e">
        <f t="shared" si="15"/>
        <v>#DIV/0!</v>
      </c>
      <c r="G62" s="1111" t="s">
        <v>2781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2782</v>
      </c>
      <c r="B63" s="262" t="e">
        <f t="shared" si="17"/>
        <v>#DIV/0!</v>
      </c>
      <c r="C63" s="200">
        <f t="shared" si="16"/>
        <v>0</v>
      </c>
      <c r="D63" s="1166">
        <v>0.25</v>
      </c>
      <c r="E63" s="261">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2784</v>
      </c>
      <c r="B64" s="262" t="e">
        <f t="shared" si="17"/>
        <v>#DIV/0!</v>
      </c>
      <c r="C64" s="200">
        <f t="shared" si="16"/>
        <v>0</v>
      </c>
      <c r="D64" s="1166">
        <v>0.25</v>
      </c>
      <c r="E64" s="261">
        <f>'数据-汇总表'!E14</f>
        <v>0</v>
      </c>
      <c r="F64" s="1105" t="e">
        <f t="shared" si="15"/>
        <v>#DIV/0!</v>
      </c>
      <c r="G64" s="2713" t="s">
        <v>2774</v>
      </c>
      <c r="H64" s="1106">
        <f>项目基本情况!B37</f>
        <v>0</v>
      </c>
      <c r="I64" s="1110">
        <f>SUMIF(修正!A45:A56,H64,修正!H45:H56)</f>
        <v>0</v>
      </c>
      <c r="J64" s="1114"/>
      <c r="K64" s="1147"/>
      <c r="L64" s="943"/>
      <c r="M64" s="943"/>
      <c r="N64" s="943"/>
      <c r="O64" s="943"/>
    </row>
    <row r="65" spans="1:17" s="691" customFormat="1" ht="15" thickBot="1">
      <c r="A65" s="692" t="s">
        <v>2785</v>
      </c>
      <c r="B65" s="262" t="e">
        <f t="shared" si="17"/>
        <v>#DIV/0!</v>
      </c>
      <c r="C65" s="200">
        <f t="shared" si="16"/>
        <v>0</v>
      </c>
      <c r="D65" s="1166">
        <v>0.25</v>
      </c>
      <c r="E65" s="261">
        <f>'数据-汇总表'!E15</f>
        <v>0</v>
      </c>
      <c r="F65" s="1105" t="e">
        <f t="shared" si="15"/>
        <v>#DIV/0!</v>
      </c>
      <c r="G65" s="2714" t="s">
        <v>2779</v>
      </c>
      <c r="H65" s="1116">
        <f>项目基本情况!C37</f>
        <v>0</v>
      </c>
      <c r="I65" s="1112">
        <f>SUMIF(修正!A45:A56,H65,修正!H45:H56)</f>
        <v>0</v>
      </c>
      <c r="J65" s="1115"/>
      <c r="K65" s="1146"/>
      <c r="L65" s="943"/>
      <c r="M65" s="943"/>
      <c r="N65" s="943"/>
      <c r="O65" s="943"/>
    </row>
    <row r="66" spans="1:17" s="691" customFormat="1" ht="13.5" thickBot="1">
      <c r="A66" s="694" t="s">
        <v>2786</v>
      </c>
      <c r="B66" s="695" t="s">
        <v>28</v>
      </c>
      <c r="C66" s="695" t="s">
        <v>29</v>
      </c>
      <c r="D66" s="695" t="s">
        <v>1029</v>
      </c>
      <c r="E66" s="695">
        <f>IF(B46="楼面地价",SUM(E56:E65),'数据-汇总表'!D3)</f>
        <v>5590.66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2679</v>
      </c>
      <c r="B69" s="758"/>
      <c r="C69" s="763"/>
      <c r="D69" s="763"/>
      <c r="E69" s="763"/>
      <c r="F69" s="764"/>
      <c r="G69" s="764"/>
      <c r="H69" s="763"/>
      <c r="I69" s="763"/>
      <c r="J69" s="1161"/>
      <c r="K69" s="1162"/>
      <c r="L69" s="1163"/>
      <c r="M69" s="1161"/>
      <c r="N69" s="1161"/>
      <c r="O69" s="1161"/>
      <c r="P69" s="503"/>
      <c r="Q69" s="504"/>
    </row>
    <row r="70" spans="1:17" s="508" customFormat="1" ht="15">
      <c r="A70" s="2715" t="s">
        <v>2787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6" t="s">
        <v>2788</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4"/>
      <c r="P72" s="504"/>
      <c r="Q72" s="504"/>
    </row>
    <row r="73" spans="1:17" s="117" customFormat="1" ht="15">
      <c r="A73" s="521" t="s">
        <v>2555</v>
      </c>
      <c r="B73" s="510"/>
      <c r="C73" s="522" t="s">
        <v>2657</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2593</v>
      </c>
      <c r="B75" s="528" t="s">
        <v>2559</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2696</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2797</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2798</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2799</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2800</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4" priority="14" stopIfTrue="1" operator="containsText" text="超过">
      <formula>NOT(ISERROR(SEARCH("超过",F51)))</formula>
    </cfRule>
  </conditionalFormatting>
  <conditionalFormatting sqref="J53">
    <cfRule type="containsText" dxfId="73" priority="13" stopIfTrue="1" operator="containsText" text="超过">
      <formula>NOT(ISERROR(SEARCH("超过",J53)))</formula>
    </cfRule>
  </conditionalFormatting>
  <conditionalFormatting sqref="H53">
    <cfRule type="containsText" dxfId="72" priority="12" stopIfTrue="1" operator="containsText" text="超过">
      <formula>NOT(ISERROR(SEARCH("超过",H53)))</formula>
    </cfRule>
  </conditionalFormatting>
  <conditionalFormatting sqref="F53">
    <cfRule type="containsText" dxfId="71" priority="11" stopIfTrue="1" operator="containsText" text="超过">
      <formula>NOT(ISERROR(SEARCH("超过",F53)))</formula>
    </cfRule>
  </conditionalFormatting>
  <conditionalFormatting sqref="F52 H52 J52">
    <cfRule type="containsText" dxfId="70" priority="10" stopIfTrue="1" operator="containsText" text="超过">
      <formula>NOT(ISERROR(SEARCH("超过",F52)))</formula>
    </cfRule>
  </conditionalFormatting>
  <conditionalFormatting sqref="E51">
    <cfRule type="expression" dxfId="69" priority="9" stopIfTrue="1">
      <formula>$F$51="超过30%"</formula>
    </cfRule>
  </conditionalFormatting>
  <conditionalFormatting sqref="G53">
    <cfRule type="expression" dxfId="68" priority="8" stopIfTrue="1">
      <formula>$H$53="超过30%"</formula>
    </cfRule>
  </conditionalFormatting>
  <conditionalFormatting sqref="E52">
    <cfRule type="expression" dxfId="67" priority="7" stopIfTrue="1">
      <formula>$F$52="超过20%"</formula>
    </cfRule>
  </conditionalFormatting>
  <conditionalFormatting sqref="E53">
    <cfRule type="expression" dxfId="66" priority="6" stopIfTrue="1">
      <formula>$F$53="超过30%"</formula>
    </cfRule>
  </conditionalFormatting>
  <conditionalFormatting sqref="G51">
    <cfRule type="expression" dxfId="65" priority="5" stopIfTrue="1">
      <formula>$H$53+$H$51="超过30%"</formula>
    </cfRule>
  </conditionalFormatting>
  <conditionalFormatting sqref="G52">
    <cfRule type="expression" dxfId="64" priority="4" stopIfTrue="1">
      <formula>$H$52="超过20%"</formula>
    </cfRule>
  </conditionalFormatting>
  <conditionalFormatting sqref="I51">
    <cfRule type="expression" dxfId="63" priority="3" stopIfTrue="1">
      <formula>$J$51="超过30%"</formula>
    </cfRule>
  </conditionalFormatting>
  <conditionalFormatting sqref="I52">
    <cfRule type="expression" dxfId="62" priority="2" stopIfTrue="1">
      <formula>$J$52="超过20%"</formula>
    </cfRule>
  </conditionalFormatting>
  <conditionalFormatting sqref="I53">
    <cfRule type="expression" dxfId="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ROUND(IF(D3="",B2*10000/'数据-汇总表'!E3,B2*10000/D3),0)</f>
        <v>#DIV/0!</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40" t="s">
        <v>2651</v>
      </c>
      <c r="D4" s="3241"/>
      <c r="E4" s="3242" t="s">
        <v>2652</v>
      </c>
      <c r="F4" s="3243"/>
      <c r="G4" s="3240" t="s">
        <v>2653</v>
      </c>
      <c r="H4" s="3241"/>
      <c r="I4" s="3240" t="s">
        <v>2654</v>
      </c>
      <c r="J4" s="3241"/>
      <c r="K4" s="610" t="s">
        <v>2655</v>
      </c>
      <c r="L4" s="1132"/>
      <c r="M4" s="1133"/>
      <c r="N4" s="1133"/>
      <c r="O4" s="1133"/>
      <c r="P4" s="3244" t="s">
        <v>2656</v>
      </c>
      <c r="Q4" s="3245"/>
      <c r="R4" s="3250" t="s">
        <v>2652</v>
      </c>
      <c r="S4" s="3251"/>
      <c r="T4" s="3250" t="s">
        <v>2653</v>
      </c>
      <c r="U4" s="3251"/>
      <c r="V4" s="3256" t="s">
        <v>2654</v>
      </c>
      <c r="W4" s="3256"/>
      <c r="X4" s="1815"/>
      <c r="Y4" s="3250" t="s">
        <v>2656</v>
      </c>
      <c r="Z4" s="3251"/>
      <c r="AA4" s="3237" t="s">
        <v>2652</v>
      </c>
      <c r="AB4" s="3238" t="s">
        <v>2653</v>
      </c>
      <c r="AC4" s="3237" t="s">
        <v>2654</v>
      </c>
    </row>
    <row r="5" spans="1:29" ht="15">
      <c r="A5" s="404"/>
      <c r="B5" s="405"/>
      <c r="C5" s="3259" t="s">
        <v>2547</v>
      </c>
      <c r="D5" s="3260"/>
      <c r="E5" s="3266" t="s">
        <v>2548</v>
      </c>
      <c r="F5" s="3267"/>
      <c r="G5" s="3259" t="s">
        <v>2549</v>
      </c>
      <c r="H5" s="3260"/>
      <c r="I5" s="3259" t="s">
        <v>2550</v>
      </c>
      <c r="J5" s="3260"/>
      <c r="K5" s="610"/>
      <c r="L5" s="1132"/>
      <c r="M5" s="1133"/>
      <c r="N5" s="1133"/>
      <c r="O5" s="1133"/>
      <c r="P5" s="3246"/>
      <c r="Q5" s="3247"/>
      <c r="R5" s="3252"/>
      <c r="S5" s="3253"/>
      <c r="T5" s="3252"/>
      <c r="U5" s="3253"/>
      <c r="V5" s="3256"/>
      <c r="W5" s="3256"/>
      <c r="X5" s="1815"/>
      <c r="Y5" s="3252"/>
      <c r="Z5" s="3253"/>
      <c r="AA5" s="3238"/>
      <c r="AB5" s="3238"/>
      <c r="AC5" s="3238"/>
    </row>
    <row r="6" spans="1:29" ht="15.75" thickBot="1">
      <c r="A6" s="406"/>
      <c r="B6" s="407"/>
      <c r="C6" s="3290" t="s">
        <v>2802</v>
      </c>
      <c r="D6" s="3291"/>
      <c r="E6" s="3292" t="s">
        <v>2802</v>
      </c>
      <c r="F6" s="3293"/>
      <c r="G6" s="3290" t="s">
        <v>2802</v>
      </c>
      <c r="H6" s="3291"/>
      <c r="I6" s="3290" t="s">
        <v>2802</v>
      </c>
      <c r="J6" s="3291"/>
      <c r="K6" s="610" t="s">
        <v>2552</v>
      </c>
      <c r="L6" s="1132"/>
      <c r="M6" s="1133"/>
      <c r="N6" s="1133"/>
      <c r="O6" s="1133"/>
      <c r="P6" s="3248"/>
      <c r="Q6" s="3249"/>
      <c r="R6" s="3252"/>
      <c r="S6" s="3253"/>
      <c r="T6" s="3254"/>
      <c r="U6" s="3255"/>
      <c r="V6" s="3256"/>
      <c r="W6" s="3256"/>
      <c r="X6" s="1815"/>
      <c r="Y6" s="3254"/>
      <c r="Z6" s="3255"/>
      <c r="AA6" s="3239"/>
      <c r="AB6" s="3239"/>
      <c r="AC6" s="3239"/>
    </row>
    <row r="7" spans="1:29" s="117" customFormat="1" ht="15.75" thickBot="1">
      <c r="A7" s="408" t="s">
        <v>2553</v>
      </c>
      <c r="B7" s="409"/>
      <c r="C7" s="410">
        <f>'数据-取费表'!B2</f>
        <v>43172</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261" t="s">
        <v>2554</v>
      </c>
      <c r="Q7" s="3263"/>
      <c r="R7" s="769" t="s">
        <v>17</v>
      </c>
      <c r="S7" s="770">
        <f t="shared" ref="S7:S15" si="0">F7</f>
        <v>0</v>
      </c>
      <c r="T7" s="769" t="s">
        <v>17</v>
      </c>
      <c r="U7" s="770">
        <f t="shared" ref="U7:U15" si="1">H7</f>
        <v>0</v>
      </c>
      <c r="V7" s="769" t="s">
        <v>17</v>
      </c>
      <c r="W7" s="770">
        <f t="shared" ref="W7:W15" si="2">J7</f>
        <v>0</v>
      </c>
      <c r="X7" s="771"/>
      <c r="Y7" s="3261" t="s">
        <v>2554</v>
      </c>
      <c r="Z7" s="3262"/>
      <c r="AA7" s="772" t="e">
        <f>D7/F7</f>
        <v>#DIV/0!</v>
      </c>
      <c r="AB7" s="772" t="e">
        <f>D7/H7</f>
        <v>#DIV/0!</v>
      </c>
      <c r="AC7" s="772"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61" t="s">
        <v>2557</v>
      </c>
      <c r="Q8" s="3262"/>
      <c r="R8" s="769" t="s">
        <v>17</v>
      </c>
      <c r="S8" s="770">
        <f t="shared" si="0"/>
        <v>0</v>
      </c>
      <c r="T8" s="769" t="s">
        <v>17</v>
      </c>
      <c r="U8" s="770">
        <f t="shared" si="1"/>
        <v>0</v>
      </c>
      <c r="V8" s="769" t="s">
        <v>17</v>
      </c>
      <c r="W8" s="770">
        <f t="shared" si="2"/>
        <v>0</v>
      </c>
      <c r="X8" s="771"/>
      <c r="Y8" s="3261" t="s">
        <v>2557</v>
      </c>
      <c r="Z8" s="3262"/>
      <c r="AA8" s="772" t="e">
        <f t="shared" ref="AA8:AA40" si="3">D8/F8</f>
        <v>#DIV/0!</v>
      </c>
      <c r="AB8" s="772" t="e">
        <f t="shared" ref="AB8:AB40" si="4">D8/H8</f>
        <v>#DIV/0!</v>
      </c>
      <c r="AC8" s="772" t="e">
        <f t="shared" ref="AC8:AC40" si="5">D8/J8</f>
        <v>#DIV/0!</v>
      </c>
    </row>
    <row r="9" spans="1:29" s="117" customFormat="1">
      <c r="A9" s="415" t="s">
        <v>2558</v>
      </c>
      <c r="B9" s="71" t="s">
        <v>2559</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225" t="s">
        <v>2560</v>
      </c>
      <c r="Q9" s="1797" t="str">
        <f t="shared" ref="Q9:Q15" si="6">B9</f>
        <v>用途</v>
      </c>
      <c r="R9" s="769" t="s">
        <v>17</v>
      </c>
      <c r="S9" s="770">
        <f t="shared" si="0"/>
        <v>100</v>
      </c>
      <c r="T9" s="769" t="s">
        <v>17</v>
      </c>
      <c r="U9" s="770">
        <f t="shared" si="1"/>
        <v>100</v>
      </c>
      <c r="V9" s="769" t="s">
        <v>17</v>
      </c>
      <c r="W9" s="770">
        <f t="shared" si="2"/>
        <v>100</v>
      </c>
      <c r="X9" s="771"/>
      <c r="Y9" s="3046" t="s">
        <v>2561</v>
      </c>
      <c r="Z9" s="55" t="str">
        <f t="shared" ref="Z9:Z15" si="7">Q9</f>
        <v>用途</v>
      </c>
      <c r="AA9" s="772">
        <f t="shared" si="3"/>
        <v>1</v>
      </c>
      <c r="AB9" s="772">
        <f t="shared" si="4"/>
        <v>1</v>
      </c>
      <c r="AC9" s="772">
        <f t="shared" si="5"/>
        <v>1</v>
      </c>
    </row>
    <row r="10" spans="1:29" s="427" customFormat="1" ht="27">
      <c r="A10" s="421"/>
      <c r="B10" s="422" t="s">
        <v>2562</v>
      </c>
      <c r="C10" s="432"/>
      <c r="D10" s="136">
        <v>100</v>
      </c>
      <c r="E10" s="432"/>
      <c r="F10" s="136">
        <f>ROUND(100/'数据-取费表'!G16,0)</f>
        <v>119</v>
      </c>
      <c r="G10" s="432"/>
      <c r="H10" s="136">
        <f>ROUND(100/'数据-取费表'!G16,0)</f>
        <v>119</v>
      </c>
      <c r="I10" s="432"/>
      <c r="J10" s="136">
        <f>ROUND(100/'数据-取费表'!G16,0)</f>
        <v>119</v>
      </c>
      <c r="K10" s="671"/>
      <c r="L10" s="1137"/>
      <c r="M10" s="1138"/>
      <c r="N10" s="1138"/>
      <c r="O10" s="1139"/>
      <c r="P10" s="3225"/>
      <c r="Q10" s="1797" t="str">
        <f t="shared" si="6"/>
        <v>土地使用年限（年）</v>
      </c>
      <c r="R10" s="769" t="s">
        <v>17</v>
      </c>
      <c r="S10" s="770">
        <f t="shared" si="0"/>
        <v>119</v>
      </c>
      <c r="T10" s="769" t="s">
        <v>17</v>
      </c>
      <c r="U10" s="770">
        <f t="shared" si="1"/>
        <v>119</v>
      </c>
      <c r="V10" s="769" t="s">
        <v>17</v>
      </c>
      <c r="W10" s="770">
        <f t="shared" si="2"/>
        <v>119</v>
      </c>
      <c r="X10" s="771"/>
      <c r="Y10" s="3046"/>
      <c r="Z10" s="55" t="str">
        <f t="shared" si="7"/>
        <v>土地使用年限（年）</v>
      </c>
      <c r="AA10" s="772">
        <f t="shared" si="3"/>
        <v>0.84033613445378152</v>
      </c>
      <c r="AB10" s="772">
        <f t="shared" si="4"/>
        <v>0.84033613445378152</v>
      </c>
      <c r="AC10" s="772">
        <f t="shared" si="5"/>
        <v>0.84033613445378152</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25"/>
      <c r="Q11" s="1797"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1"/>
      <c r="B12" s="2604">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25"/>
      <c r="Q12" s="1797">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8"/>
      <c r="B13" s="2604">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25"/>
      <c r="Q13" s="1797">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6"/>
      <c r="B14" s="2606">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25"/>
      <c r="Q14" s="1797">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40" t="s">
        <v>2564</v>
      </c>
      <c r="B15" s="628" t="s">
        <v>2803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27" t="s">
        <v>2565</v>
      </c>
      <c r="Q15" s="1812" t="str">
        <f t="shared" si="6"/>
        <v>产业集聚程度</v>
      </c>
      <c r="R15" s="773" t="s">
        <v>17</v>
      </c>
      <c r="S15" s="774">
        <f t="shared" si="0"/>
        <v>100</v>
      </c>
      <c r="T15" s="773" t="s">
        <v>17</v>
      </c>
      <c r="U15" s="774">
        <f t="shared" si="1"/>
        <v>100</v>
      </c>
      <c r="V15" s="773" t="s">
        <v>17</v>
      </c>
      <c r="W15" s="774">
        <f t="shared" si="2"/>
        <v>100</v>
      </c>
      <c r="X15" s="1815"/>
      <c r="Y15" s="3227" t="s">
        <v>2565</v>
      </c>
      <c r="Z15" s="1816" t="str">
        <f t="shared" si="7"/>
        <v>产业集聚程度</v>
      </c>
      <c r="AA15" s="1813">
        <f t="shared" si="3"/>
        <v>1</v>
      </c>
      <c r="AB15" s="1813">
        <f t="shared" si="4"/>
        <v>1</v>
      </c>
      <c r="AC15" s="1813">
        <f t="shared" si="5"/>
        <v>1</v>
      </c>
    </row>
    <row r="16" spans="1:29" ht="15">
      <c r="A16" s="428"/>
      <c r="B16" s="629"/>
      <c r="C16" s="447"/>
      <c r="D16" s="448"/>
      <c r="E16" s="2615"/>
      <c r="F16" s="448"/>
      <c r="G16" s="2615"/>
      <c r="H16" s="450"/>
      <c r="I16" s="2615"/>
      <c r="J16" s="448"/>
      <c r="K16" s="671"/>
      <c r="L16" s="1142"/>
      <c r="M16" s="1133"/>
      <c r="N16" s="1133"/>
      <c r="O16" s="1141"/>
      <c r="P16" s="3228"/>
      <c r="Q16" s="1812"/>
      <c r="R16" s="773"/>
      <c r="S16" s="774"/>
      <c r="T16" s="773"/>
      <c r="U16" s="774"/>
      <c r="V16" s="773"/>
      <c r="W16" s="774"/>
      <c r="X16" s="1815"/>
      <c r="Y16" s="3228"/>
      <c r="Z16" s="1816"/>
      <c r="AA16" s="1813">
        <v>1</v>
      </c>
      <c r="AB16" s="1813">
        <v>1</v>
      </c>
      <c r="AC16" s="1813">
        <v>1</v>
      </c>
    </row>
    <row r="17" spans="1:29" ht="85.5">
      <c r="A17" s="428"/>
      <c r="B17" s="630" t="s">
        <v>2714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28"/>
      <c r="Q17" s="1812" t="str">
        <f>B17</f>
        <v>交通便捷度</v>
      </c>
      <c r="R17" s="773" t="s">
        <v>17</v>
      </c>
      <c r="S17" s="774">
        <f>F17</f>
        <v>100</v>
      </c>
      <c r="T17" s="773" t="s">
        <v>17</v>
      </c>
      <c r="U17" s="774">
        <f>H17</f>
        <v>100</v>
      </c>
      <c r="V17" s="773" t="s">
        <v>17</v>
      </c>
      <c r="W17" s="774">
        <f>J17</f>
        <v>100</v>
      </c>
      <c r="X17" s="1815"/>
      <c r="Y17" s="3228"/>
      <c r="Z17" s="1816" t="str">
        <f>Q17</f>
        <v>交通便捷度</v>
      </c>
      <c r="AA17" s="1813">
        <f t="shared" si="3"/>
        <v>1</v>
      </c>
      <c r="AB17" s="1813">
        <f t="shared" si="4"/>
        <v>1</v>
      </c>
      <c r="AC17" s="1813">
        <f t="shared" si="5"/>
        <v>1</v>
      </c>
    </row>
    <row r="18" spans="1:29" ht="15">
      <c r="A18" s="428"/>
      <c r="B18" s="631"/>
      <c r="C18" s="447"/>
      <c r="D18" s="448"/>
      <c r="E18" s="2609"/>
      <c r="F18" s="448"/>
      <c r="G18" s="2609"/>
      <c r="H18" s="448"/>
      <c r="I18" s="2608"/>
      <c r="J18" s="448"/>
      <c r="K18" s="671"/>
      <c r="L18" s="1142"/>
      <c r="M18" s="1133"/>
      <c r="N18" s="1133"/>
      <c r="O18" s="1141"/>
      <c r="P18" s="3228"/>
      <c r="Q18" s="1812"/>
      <c r="R18" s="773"/>
      <c r="S18" s="774"/>
      <c r="T18" s="773"/>
      <c r="U18" s="774"/>
      <c r="V18" s="773"/>
      <c r="W18" s="774"/>
      <c r="X18" s="1815"/>
      <c r="Y18" s="3228"/>
      <c r="Z18" s="1816"/>
      <c r="AA18" s="1813">
        <v>1</v>
      </c>
      <c r="AB18" s="1813">
        <v>1</v>
      </c>
      <c r="AC18" s="1813">
        <v>1</v>
      </c>
    </row>
    <row r="19" spans="1:29" ht="15">
      <c r="A19" s="428"/>
      <c r="B19" s="630" t="s">
        <v>2753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28"/>
      <c r="Q19" s="1812" t="str">
        <f t="shared" ref="Q19:Q33" si="8">B19</f>
        <v>区域土地利用方向</v>
      </c>
      <c r="R19" s="773" t="s">
        <v>17</v>
      </c>
      <c r="S19" s="774">
        <f>F19</f>
        <v>100</v>
      </c>
      <c r="T19" s="773" t="s">
        <v>17</v>
      </c>
      <c r="U19" s="774">
        <f>H19</f>
        <v>100</v>
      </c>
      <c r="V19" s="773" t="s">
        <v>17</v>
      </c>
      <c r="W19" s="774">
        <f>J19</f>
        <v>100</v>
      </c>
      <c r="X19" s="1815"/>
      <c r="Y19" s="3228"/>
      <c r="Z19" s="1816" t="str">
        <f>Q19</f>
        <v>区域土地利用方向</v>
      </c>
      <c r="AA19" s="1813">
        <f t="shared" si="3"/>
        <v>1</v>
      </c>
      <c r="AB19" s="1813">
        <f t="shared" si="4"/>
        <v>1</v>
      </c>
      <c r="AC19" s="1813">
        <f t="shared" si="5"/>
        <v>1</v>
      </c>
    </row>
    <row r="20" spans="1:29" ht="15">
      <c r="A20" s="404"/>
      <c r="B20" s="631"/>
      <c r="C20" s="447"/>
      <c r="D20" s="448"/>
      <c r="E20" s="2609"/>
      <c r="F20" s="448"/>
      <c r="G20" s="2609"/>
      <c r="H20" s="448"/>
      <c r="I20" s="2609"/>
      <c r="J20" s="448"/>
      <c r="K20" s="811"/>
      <c r="L20" s="1142"/>
      <c r="M20" s="1133"/>
      <c r="N20" s="1133"/>
      <c r="O20" s="1141"/>
      <c r="P20" s="3228"/>
      <c r="Q20" s="1812"/>
      <c r="R20" s="773"/>
      <c r="S20" s="774"/>
      <c r="T20" s="773"/>
      <c r="U20" s="774"/>
      <c r="V20" s="773"/>
      <c r="W20" s="774"/>
      <c r="X20" s="1815"/>
      <c r="Y20" s="3228"/>
      <c r="Z20" s="1816"/>
      <c r="AA20" s="1813"/>
      <c r="AB20" s="1813"/>
      <c r="AC20" s="1813"/>
    </row>
    <row r="21" spans="1:29" ht="71.25">
      <c r="A21" s="404"/>
      <c r="B21" s="630" t="s">
        <v>2804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28"/>
      <c r="Q21" s="1812" t="str">
        <f t="shared" si="8"/>
        <v>环境状况</v>
      </c>
      <c r="R21" s="773" t="s">
        <v>17</v>
      </c>
      <c r="S21" s="774">
        <f>F21</f>
        <v>100</v>
      </c>
      <c r="T21" s="773" t="s">
        <v>17</v>
      </c>
      <c r="U21" s="774">
        <f>H21</f>
        <v>100</v>
      </c>
      <c r="V21" s="773" t="s">
        <v>17</v>
      </c>
      <c r="W21" s="774">
        <f>J21</f>
        <v>100</v>
      </c>
      <c r="X21" s="1815"/>
      <c r="Y21" s="3228"/>
      <c r="Z21" s="1816" t="str">
        <f>Q21</f>
        <v>环境状况</v>
      </c>
      <c r="AA21" s="1813">
        <f t="shared" si="3"/>
        <v>1</v>
      </c>
      <c r="AB21" s="1813">
        <f t="shared" si="4"/>
        <v>1</v>
      </c>
      <c r="AC21" s="1813">
        <f t="shared" si="5"/>
        <v>1</v>
      </c>
    </row>
    <row r="22" spans="1:29" ht="15">
      <c r="A22" s="404"/>
      <c r="B22" s="631"/>
      <c r="C22" s="447"/>
      <c r="D22" s="448"/>
      <c r="E22" s="2615"/>
      <c r="F22" s="448"/>
      <c r="G22" s="2615"/>
      <c r="H22" s="448"/>
      <c r="I22" s="447"/>
      <c r="J22" s="448"/>
      <c r="K22" s="671"/>
      <c r="L22" s="1142"/>
      <c r="M22" s="1133"/>
      <c r="N22" s="1133"/>
      <c r="O22" s="1141"/>
      <c r="P22" s="3228"/>
      <c r="Q22" s="1812"/>
      <c r="R22" s="773"/>
      <c r="S22" s="774"/>
      <c r="T22" s="773"/>
      <c r="U22" s="774"/>
      <c r="V22" s="773"/>
      <c r="W22" s="774"/>
      <c r="X22" s="1815"/>
      <c r="Y22" s="3228"/>
      <c r="Z22" s="1816"/>
      <c r="AA22" s="1813">
        <v>1</v>
      </c>
      <c r="AB22" s="1813">
        <v>1</v>
      </c>
      <c r="AC22" s="1813">
        <v>1</v>
      </c>
    </row>
    <row r="23" spans="1:29" s="117" customFormat="1" ht="42.75">
      <c r="A23" s="648"/>
      <c r="B23" s="632" t="s">
        <v>2659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28"/>
      <c r="Q23" s="1797" t="str">
        <f t="shared" si="8"/>
        <v>公共配套设施</v>
      </c>
      <c r="R23" s="769" t="s">
        <v>17</v>
      </c>
      <c r="S23" s="770">
        <f>F23</f>
        <v>100</v>
      </c>
      <c r="T23" s="769" t="s">
        <v>17</v>
      </c>
      <c r="U23" s="770">
        <f>H23</f>
        <v>100</v>
      </c>
      <c r="V23" s="769" t="s">
        <v>17</v>
      </c>
      <c r="W23" s="770">
        <f>J23</f>
        <v>100</v>
      </c>
      <c r="X23" s="771"/>
      <c r="Y23" s="3228"/>
      <c r="Z23" s="55" t="str">
        <f>Q23</f>
        <v>公共配套设施</v>
      </c>
      <c r="AA23" s="1813">
        <f>D23/F23</f>
        <v>1</v>
      </c>
      <c r="AB23" s="1813">
        <f>D23/H23</f>
        <v>1</v>
      </c>
      <c r="AC23" s="1813">
        <f>D23/J23</f>
        <v>1</v>
      </c>
    </row>
    <row r="24" spans="1:29" s="117" customFormat="1" ht="15">
      <c r="A24" s="648"/>
      <c r="B24" s="631"/>
      <c r="C24" s="2704"/>
      <c r="D24" s="448"/>
      <c r="E24" s="2615"/>
      <c r="F24" s="448"/>
      <c r="G24" s="2615"/>
      <c r="H24" s="448"/>
      <c r="I24" s="447"/>
      <c r="J24" s="448"/>
      <c r="K24" s="671"/>
      <c r="L24" s="1134"/>
      <c r="M24" s="1135"/>
      <c r="N24" s="1135"/>
      <c r="O24" s="1136"/>
      <c r="P24" s="3228"/>
      <c r="Q24" s="1797"/>
      <c r="R24" s="769"/>
      <c r="S24" s="770"/>
      <c r="T24" s="769"/>
      <c r="U24" s="770"/>
      <c r="V24" s="769"/>
      <c r="W24" s="770"/>
      <c r="X24" s="771"/>
      <c r="Y24" s="3228"/>
      <c r="Z24" s="55"/>
      <c r="AA24" s="772">
        <v>1</v>
      </c>
      <c r="AB24" s="772">
        <v>1</v>
      </c>
      <c r="AC24" s="772">
        <v>1</v>
      </c>
    </row>
    <row r="25" spans="1:29" s="117" customFormat="1" ht="28.5">
      <c r="A25" s="648"/>
      <c r="B25" s="632" t="s">
        <v>2660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28"/>
      <c r="Q25" s="1797" t="str">
        <f t="shared" ref="Q25" si="9">B25</f>
        <v>基础设施水平</v>
      </c>
      <c r="R25" s="769" t="s">
        <v>17</v>
      </c>
      <c r="S25" s="770">
        <f>F25</f>
        <v>100</v>
      </c>
      <c r="T25" s="769" t="s">
        <v>17</v>
      </c>
      <c r="U25" s="770">
        <f>H25</f>
        <v>100</v>
      </c>
      <c r="V25" s="769" t="s">
        <v>17</v>
      </c>
      <c r="W25" s="770">
        <f>J25</f>
        <v>100</v>
      </c>
      <c r="X25" s="771"/>
      <c r="Y25" s="3228"/>
      <c r="Z25" s="55" t="str">
        <f>Q25</f>
        <v>基础设施水平</v>
      </c>
      <c r="AA25" s="1813">
        <f>D25/F25</f>
        <v>1</v>
      </c>
      <c r="AB25" s="1813">
        <f>D25/H25</f>
        <v>1</v>
      </c>
      <c r="AC25" s="1813">
        <f>D25/J25</f>
        <v>1</v>
      </c>
    </row>
    <row r="26" spans="1:29" s="117" customFormat="1" ht="15">
      <c r="A26" s="648"/>
      <c r="B26" s="631"/>
      <c r="C26" s="2704"/>
      <c r="D26" s="448"/>
      <c r="E26" s="2705"/>
      <c r="F26" s="448"/>
      <c r="G26" s="2705"/>
      <c r="H26" s="448"/>
      <c r="I26" s="2705"/>
      <c r="J26" s="448"/>
      <c r="K26" s="671"/>
      <c r="L26" s="1134"/>
      <c r="M26" s="1135"/>
      <c r="N26" s="1135"/>
      <c r="O26" s="1136"/>
      <c r="P26" s="3228"/>
      <c r="Q26" s="1797"/>
      <c r="R26" s="769"/>
      <c r="S26" s="770"/>
      <c r="T26" s="769"/>
      <c r="U26" s="770"/>
      <c r="V26" s="769"/>
      <c r="W26" s="770"/>
      <c r="X26" s="771"/>
      <c r="Y26" s="3228"/>
      <c r="Z26" s="55"/>
      <c r="AA26" s="772">
        <v>1</v>
      </c>
      <c r="AB26" s="772">
        <v>1</v>
      </c>
      <c r="AC26" s="772">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2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8"/>
      <c r="Z27" s="1816" t="str">
        <f t="shared" ref="Z27:Z40" si="13">Q27</f>
        <v>临街状况</v>
      </c>
      <c r="AA27" s="1813">
        <f t="shared" si="3"/>
        <v>1</v>
      </c>
      <c r="AB27" s="1813">
        <f t="shared" si="4"/>
        <v>1</v>
      </c>
      <c r="AC27" s="1813">
        <f t="shared" si="5"/>
        <v>1</v>
      </c>
    </row>
    <row r="28" spans="1:29" ht="27">
      <c r="A28" s="428"/>
      <c r="B28" s="632" t="s">
        <v>2696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28"/>
      <c r="Q28" s="1812" t="str">
        <f t="shared" si="8"/>
        <v>毗邻道路的类型与等级</v>
      </c>
      <c r="R28" s="773" t="s">
        <v>17</v>
      </c>
      <c r="S28" s="774">
        <f t="shared" si="10"/>
        <v>100</v>
      </c>
      <c r="T28" s="773" t="s">
        <v>17</v>
      </c>
      <c r="U28" s="774">
        <f t="shared" si="11"/>
        <v>100</v>
      </c>
      <c r="V28" s="773" t="s">
        <v>17</v>
      </c>
      <c r="W28" s="774">
        <f t="shared" si="12"/>
        <v>100</v>
      </c>
      <c r="X28" s="1815"/>
      <c r="Y28" s="3228"/>
      <c r="Z28" s="1816" t="str">
        <f t="shared" si="13"/>
        <v>毗邻道路的类型与等级</v>
      </c>
      <c r="AA28" s="1813">
        <f t="shared" si="3"/>
        <v>1</v>
      </c>
      <c r="AB28" s="1813">
        <f t="shared" si="4"/>
        <v>1</v>
      </c>
      <c r="AC28" s="1813">
        <f t="shared" si="5"/>
        <v>1</v>
      </c>
    </row>
    <row r="29" spans="1:29" ht="15">
      <c r="A29" s="428"/>
      <c r="B29" s="631"/>
      <c r="C29" s="447"/>
      <c r="D29" s="448"/>
      <c r="E29" s="2615"/>
      <c r="F29" s="448"/>
      <c r="G29" s="2615"/>
      <c r="H29" s="448"/>
      <c r="I29" s="2615"/>
      <c r="J29" s="448"/>
      <c r="K29" s="613"/>
      <c r="L29" s="1142"/>
      <c r="M29" s="1133"/>
      <c r="N29" s="1133"/>
      <c r="O29" s="1141"/>
      <c r="P29" s="3228"/>
      <c r="Q29" s="1812"/>
      <c r="R29" s="773"/>
      <c r="S29" s="774"/>
      <c r="T29" s="773"/>
      <c r="U29" s="774"/>
      <c r="V29" s="773"/>
      <c r="W29" s="774"/>
      <c r="X29" s="1815"/>
      <c r="Y29" s="3228"/>
      <c r="Z29" s="1816"/>
      <c r="AA29" s="1813">
        <v>1</v>
      </c>
      <c r="AB29" s="1813">
        <v>1</v>
      </c>
      <c r="AC29" s="1813">
        <v>1</v>
      </c>
    </row>
    <row r="30" spans="1:29" ht="15">
      <c r="A30" s="428"/>
      <c r="B30" s="653" t="s">
        <v>2755</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28"/>
      <c r="Q30" s="1812" t="str">
        <f t="shared" si="8"/>
        <v>土地级别</v>
      </c>
      <c r="R30" s="773" t="s">
        <v>17</v>
      </c>
      <c r="S30" s="774">
        <f t="shared" si="10"/>
        <v>100</v>
      </c>
      <c r="T30" s="773" t="s">
        <v>17</v>
      </c>
      <c r="U30" s="774">
        <f t="shared" si="11"/>
        <v>100</v>
      </c>
      <c r="V30" s="773" t="s">
        <v>17</v>
      </c>
      <c r="W30" s="774">
        <f t="shared" si="12"/>
        <v>100</v>
      </c>
      <c r="X30" s="1815"/>
      <c r="Y30" s="3228"/>
      <c r="Z30" s="1816" t="str">
        <f t="shared" si="13"/>
        <v>土地级别</v>
      </c>
      <c r="AA30" s="1813">
        <f t="shared" si="3"/>
        <v>1</v>
      </c>
      <c r="AB30" s="1813">
        <f t="shared" si="4"/>
        <v>1</v>
      </c>
      <c r="AC30" s="1813">
        <f t="shared" si="5"/>
        <v>1</v>
      </c>
    </row>
    <row r="31" spans="1:29" ht="15">
      <c r="A31" s="404"/>
      <c r="B31" s="2682">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8"/>
      <c r="Q31" s="1812">
        <f t="shared" si="8"/>
        <v>111</v>
      </c>
      <c r="R31" s="773" t="s">
        <v>17</v>
      </c>
      <c r="S31" s="774">
        <f t="shared" si="10"/>
        <v>100</v>
      </c>
      <c r="T31" s="773" t="s">
        <v>17</v>
      </c>
      <c r="U31" s="774">
        <f t="shared" si="11"/>
        <v>100</v>
      </c>
      <c r="V31" s="773" t="s">
        <v>17</v>
      </c>
      <c r="W31" s="774">
        <f t="shared" si="12"/>
        <v>100</v>
      </c>
      <c r="X31" s="1815"/>
      <c r="Y31" s="3228"/>
      <c r="Z31" s="1816">
        <f t="shared" si="13"/>
        <v>111</v>
      </c>
      <c r="AA31" s="1813">
        <f t="shared" si="3"/>
        <v>1</v>
      </c>
      <c r="AB31" s="1813">
        <f t="shared" si="4"/>
        <v>1</v>
      </c>
      <c r="AC31" s="1813">
        <f t="shared" si="5"/>
        <v>1</v>
      </c>
    </row>
    <row r="32" spans="1:29" ht="15">
      <c r="A32" s="674"/>
      <c r="B32" s="2718">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85" t="s">
        <v>2570</v>
      </c>
      <c r="Q32" s="1812">
        <f t="shared" si="8"/>
        <v>111</v>
      </c>
      <c r="R32" s="773" t="s">
        <v>17</v>
      </c>
      <c r="S32" s="774">
        <f t="shared" si="10"/>
        <v>100</v>
      </c>
      <c r="T32" s="773" t="s">
        <v>17</v>
      </c>
      <c r="U32" s="774">
        <f t="shared" si="11"/>
        <v>100</v>
      </c>
      <c r="V32" s="773" t="s">
        <v>17</v>
      </c>
      <c r="W32" s="774">
        <f t="shared" si="12"/>
        <v>100</v>
      </c>
      <c r="X32" s="1815"/>
      <c r="Y32" s="3232" t="s">
        <v>2570</v>
      </c>
      <c r="Z32" s="1816">
        <f t="shared" si="13"/>
        <v>111</v>
      </c>
      <c r="AA32" s="1813">
        <f t="shared" si="3"/>
        <v>1</v>
      </c>
      <c r="AB32" s="1813">
        <f t="shared" si="4"/>
        <v>1</v>
      </c>
      <c r="AC32" s="1813">
        <f t="shared" si="5"/>
        <v>1</v>
      </c>
    </row>
    <row r="33" spans="1:29" s="471" customFormat="1" ht="15.75" thickBot="1">
      <c r="A33" s="675"/>
      <c r="B33" s="2719">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32"/>
      <c r="Q33" s="1812">
        <f t="shared" si="8"/>
        <v>111</v>
      </c>
      <c r="R33" s="776" t="s">
        <v>17</v>
      </c>
      <c r="S33" s="777">
        <f t="shared" si="10"/>
        <v>100</v>
      </c>
      <c r="T33" s="776" t="s">
        <v>17</v>
      </c>
      <c r="U33" s="777">
        <f t="shared" si="11"/>
        <v>100</v>
      </c>
      <c r="V33" s="776" t="s">
        <v>17</v>
      </c>
      <c r="W33" s="777">
        <f t="shared" si="12"/>
        <v>100</v>
      </c>
      <c r="X33" s="778"/>
      <c r="Y33" s="3232"/>
      <c r="Z33" s="779">
        <f t="shared" si="13"/>
        <v>111</v>
      </c>
      <c r="AA33" s="1813">
        <f t="shared" si="3"/>
        <v>1</v>
      </c>
      <c r="AB33" s="1813">
        <f t="shared" si="4"/>
        <v>1</v>
      </c>
      <c r="AC33" s="1813">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32"/>
      <c r="Q34" s="1812" t="str">
        <f>B34</f>
        <v>宗地面积</v>
      </c>
      <c r="R34" s="773" t="s">
        <v>17</v>
      </c>
      <c r="S34" s="774" t="e">
        <f t="shared" si="10"/>
        <v>#N/A</v>
      </c>
      <c r="T34" s="773" t="s">
        <v>17</v>
      </c>
      <c r="U34" s="774" t="e">
        <f t="shared" si="11"/>
        <v>#N/A</v>
      </c>
      <c r="V34" s="773" t="s">
        <v>17</v>
      </c>
      <c r="W34" s="774" t="e">
        <f t="shared" si="12"/>
        <v>#N/A</v>
      </c>
      <c r="X34" s="1815"/>
      <c r="Y34" s="3232"/>
      <c r="Z34" s="1816" t="str">
        <f t="shared" si="13"/>
        <v>宗地面积</v>
      </c>
      <c r="AA34" s="1813" t="e">
        <f t="shared" si="3"/>
        <v>#N/A</v>
      </c>
      <c r="AB34" s="1813" t="e">
        <f t="shared" si="4"/>
        <v>#N/A</v>
      </c>
      <c r="AC34" s="1813" t="e">
        <f t="shared" si="5"/>
        <v>#N/A</v>
      </c>
    </row>
    <row r="35" spans="1:29" ht="15">
      <c r="A35" s="472"/>
      <c r="B35" s="422" t="s">
        <v>2757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232"/>
      <c r="Q35" s="1812" t="str">
        <f t="shared" ref="Q35:Q40" si="14">B35</f>
        <v>宗地形状</v>
      </c>
      <c r="R35" s="773" t="s">
        <v>17</v>
      </c>
      <c r="S35" s="774">
        <f t="shared" si="10"/>
        <v>100</v>
      </c>
      <c r="T35" s="773" t="s">
        <v>17</v>
      </c>
      <c r="U35" s="774">
        <f t="shared" si="11"/>
        <v>100</v>
      </c>
      <c r="V35" s="773" t="s">
        <v>17</v>
      </c>
      <c r="W35" s="774">
        <f t="shared" si="12"/>
        <v>100</v>
      </c>
      <c r="X35" s="1815"/>
      <c r="Y35" s="3232"/>
      <c r="Z35" s="1816" t="str">
        <f t="shared" si="13"/>
        <v>宗地形状</v>
      </c>
      <c r="AA35" s="1813">
        <f t="shared" si="3"/>
        <v>1</v>
      </c>
      <c r="AB35" s="1813">
        <f t="shared" si="4"/>
        <v>1</v>
      </c>
      <c r="AC35" s="1813">
        <f t="shared" si="5"/>
        <v>1</v>
      </c>
    </row>
    <row r="36" spans="1:29" s="117" customFormat="1" ht="15">
      <c r="A36" s="473"/>
      <c r="B36" s="422" t="s">
        <v>2759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232"/>
      <c r="Q36" s="1812" t="str">
        <f t="shared" si="14"/>
        <v>宗地开发程度</v>
      </c>
      <c r="R36" s="769" t="s">
        <v>17</v>
      </c>
      <c r="S36" s="770">
        <f t="shared" si="10"/>
        <v>100</v>
      </c>
      <c r="T36" s="769" t="s">
        <v>17</v>
      </c>
      <c r="U36" s="770">
        <f t="shared" si="11"/>
        <v>100</v>
      </c>
      <c r="V36" s="769" t="s">
        <v>17</v>
      </c>
      <c r="W36" s="770">
        <f t="shared" si="12"/>
        <v>100</v>
      </c>
      <c r="X36" s="771"/>
      <c r="Y36" s="3232"/>
      <c r="Z36" s="55" t="str">
        <f t="shared" si="13"/>
        <v>宗地开发程度</v>
      </c>
      <c r="AA36" s="772">
        <f t="shared" si="3"/>
        <v>1</v>
      </c>
      <c r="AB36" s="772">
        <f t="shared" si="4"/>
        <v>1</v>
      </c>
      <c r="AC36" s="772">
        <f t="shared" si="5"/>
        <v>1</v>
      </c>
    </row>
    <row r="37" spans="1:29" ht="15">
      <c r="A37" s="472"/>
      <c r="B37" s="422" t="s">
        <v>2760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232" t="s">
        <v>2570</v>
      </c>
      <c r="Q37" s="1812" t="str">
        <f t="shared" si="14"/>
        <v>工程地质条件</v>
      </c>
      <c r="R37" s="773" t="s">
        <v>17</v>
      </c>
      <c r="S37" s="774">
        <f t="shared" si="10"/>
        <v>100</v>
      </c>
      <c r="T37" s="773" t="s">
        <v>17</v>
      </c>
      <c r="U37" s="774">
        <f t="shared" si="11"/>
        <v>100</v>
      </c>
      <c r="V37" s="773" t="s">
        <v>17</v>
      </c>
      <c r="W37" s="774">
        <f t="shared" si="12"/>
        <v>100</v>
      </c>
      <c r="X37" s="1815"/>
      <c r="Y37" s="3232" t="s">
        <v>2570</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32"/>
      <c r="Q38" s="1812">
        <f t="shared" si="14"/>
        <v>111</v>
      </c>
      <c r="R38" s="773" t="s">
        <v>17</v>
      </c>
      <c r="S38" s="774">
        <f t="shared" si="10"/>
        <v>100</v>
      </c>
      <c r="T38" s="773" t="s">
        <v>17</v>
      </c>
      <c r="U38" s="774">
        <f t="shared" si="11"/>
        <v>100</v>
      </c>
      <c r="V38" s="773" t="s">
        <v>17</v>
      </c>
      <c r="W38" s="774">
        <f t="shared" si="12"/>
        <v>100</v>
      </c>
      <c r="X38" s="1815"/>
      <c r="Y38" s="3232"/>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32"/>
      <c r="Q39" s="1812">
        <f t="shared" si="14"/>
        <v>111</v>
      </c>
      <c r="R39" s="773" t="s">
        <v>17</v>
      </c>
      <c r="S39" s="774">
        <f t="shared" si="10"/>
        <v>100</v>
      </c>
      <c r="T39" s="773" t="s">
        <v>17</v>
      </c>
      <c r="U39" s="774">
        <f t="shared" si="11"/>
        <v>100</v>
      </c>
      <c r="V39" s="773" t="s">
        <v>17</v>
      </c>
      <c r="W39" s="774">
        <f t="shared" si="12"/>
        <v>100</v>
      </c>
      <c r="X39" s="1815"/>
      <c r="Y39" s="3232"/>
      <c r="Z39" s="1816">
        <f t="shared" si="13"/>
        <v>111</v>
      </c>
      <c r="AA39" s="1813">
        <f t="shared" si="3"/>
        <v>1</v>
      </c>
      <c r="AB39" s="1813">
        <f t="shared" si="4"/>
        <v>1</v>
      </c>
      <c r="AC39" s="1813">
        <f t="shared" si="5"/>
        <v>1</v>
      </c>
    </row>
    <row r="40" spans="1:29" s="471" customFormat="1" ht="15.75" thickBot="1">
      <c r="A40" s="468"/>
      <c r="B40" s="1389">
        <v>111</v>
      </c>
      <c r="C40" s="2707"/>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32"/>
      <c r="Q40" s="1812">
        <f t="shared" si="14"/>
        <v>111</v>
      </c>
      <c r="R40" s="776" t="s">
        <v>17</v>
      </c>
      <c r="S40" s="777">
        <f t="shared" si="10"/>
        <v>100</v>
      </c>
      <c r="T40" s="776" t="s">
        <v>17</v>
      </c>
      <c r="U40" s="777">
        <f t="shared" si="11"/>
        <v>100</v>
      </c>
      <c r="V40" s="776" t="s">
        <v>17</v>
      </c>
      <c r="W40" s="777">
        <f t="shared" si="12"/>
        <v>100</v>
      </c>
      <c r="X40" s="778"/>
      <c r="Y40" s="3232"/>
      <c r="Z40" s="779">
        <f t="shared" si="13"/>
        <v>111</v>
      </c>
      <c r="AA40" s="1813">
        <f t="shared" si="3"/>
        <v>1</v>
      </c>
      <c r="AB40" s="1813">
        <f t="shared" si="4"/>
        <v>1</v>
      </c>
      <c r="AC40" s="1813">
        <f t="shared" si="5"/>
        <v>1</v>
      </c>
    </row>
    <row r="41" spans="1:29" ht="15">
      <c r="A41" s="479" t="s">
        <v>2725</v>
      </c>
      <c r="B41" s="2708" t="s">
        <v>2805</v>
      </c>
      <c r="C41" s="681" t="s">
        <v>1</v>
      </c>
      <c r="D41" s="481"/>
      <c r="E41" s="482"/>
      <c r="F41" s="483"/>
      <c r="G41" s="484"/>
      <c r="H41" s="485"/>
      <c r="I41" s="482"/>
      <c r="J41" s="485"/>
      <c r="K41" s="782"/>
      <c r="L41" s="1145"/>
      <c r="M41" s="1133"/>
      <c r="N41" s="1133"/>
      <c r="O41" s="1146"/>
      <c r="P41" s="3225" t="str">
        <f>A41</f>
        <v>成交单价</v>
      </c>
      <c r="Q41" s="3225"/>
      <c r="R41" s="3256">
        <f>E41</f>
        <v>0</v>
      </c>
      <c r="S41" s="3256"/>
      <c r="T41" s="3256">
        <f>G41</f>
        <v>0</v>
      </c>
      <c r="U41" s="3256"/>
      <c r="V41" s="3256">
        <f>I41</f>
        <v>0</v>
      </c>
      <c r="W41" s="3256"/>
      <c r="X41" s="758"/>
      <c r="Y41" s="780"/>
      <c r="Z41" s="758"/>
      <c r="AA41" s="758"/>
      <c r="AB41" s="758"/>
      <c r="AC41" s="758"/>
    </row>
    <row r="42" spans="1:29" ht="15.75" thickBot="1">
      <c r="A42" s="486" t="s">
        <v>2674</v>
      </c>
      <c r="B42" s="682"/>
      <c r="C42" s="490" t="e">
        <f>R43</f>
        <v>#DIV/0!</v>
      </c>
      <c r="D42" s="489"/>
      <c r="E42" s="490" t="e">
        <f>R42</f>
        <v>#DIV/0!</v>
      </c>
      <c r="F42" s="491"/>
      <c r="G42" s="488" t="e">
        <f>T42</f>
        <v>#DIV/0!</v>
      </c>
      <c r="H42" s="489"/>
      <c r="I42" s="490" t="e">
        <f>V42</f>
        <v>#DIV/0!</v>
      </c>
      <c r="J42" s="489"/>
      <c r="K42" s="783"/>
      <c r="L42" s="1145"/>
      <c r="M42" s="1133"/>
      <c r="N42" s="1133"/>
      <c r="O42" s="1146"/>
      <c r="P42" s="3225" t="str">
        <f>A42</f>
        <v>比较价值（元/平方米）</v>
      </c>
      <c r="Q42" s="3225"/>
      <c r="R42" s="3286" t="e">
        <f>ROUND(PRODUCT(R41,AA7:AA40),0)</f>
        <v>#DIV/0!</v>
      </c>
      <c r="S42" s="3286"/>
      <c r="T42" s="3286" t="e">
        <f>ROUND(PRODUCT(T41,AB7:AB40),0)</f>
        <v>#DIV/0!</v>
      </c>
      <c r="U42" s="3286"/>
      <c r="V42" s="3286" t="e">
        <f>ROUND(PRODUCT(V41,AC7:AC40),0)</f>
        <v>#DIV/0!</v>
      </c>
      <c r="W42" s="3286"/>
      <c r="X42" s="758"/>
      <c r="Y42" s="758"/>
      <c r="Z42" s="758"/>
      <c r="AA42" s="758"/>
      <c r="AB42" s="758"/>
      <c r="AC42" s="758"/>
    </row>
    <row r="43" spans="1:29" ht="15.75" thickBot="1">
      <c r="A43" s="492" t="s">
        <v>2675</v>
      </c>
      <c r="B43" s="493"/>
      <c r="C43" s="494" t="e">
        <f>R43</f>
        <v>#DIV/0!</v>
      </c>
      <c r="D43" s="494"/>
      <c r="E43" s="494"/>
      <c r="F43" s="494"/>
      <c r="G43" s="494"/>
      <c r="H43" s="494"/>
      <c r="I43" s="494"/>
      <c r="J43" s="494"/>
      <c r="K43" s="784"/>
      <c r="L43" s="1145"/>
      <c r="M43" s="1133"/>
      <c r="N43" s="1133"/>
      <c r="O43" s="1146"/>
      <c r="P43" s="3222" t="str">
        <f>A43</f>
        <v>估价对象XX用房的比较价值（楼面单价，元/平方米）</v>
      </c>
      <c r="Q43" s="3223"/>
      <c r="R43" s="3287" t="e">
        <f>ROUND(AVERAGE(R42:V42),0)</f>
        <v>#DIV/0!</v>
      </c>
      <c r="S43" s="3287"/>
      <c r="T43" s="3287"/>
      <c r="U43" s="3287"/>
      <c r="V43" s="3287"/>
      <c r="W43" s="328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2763</v>
      </c>
      <c r="B50" s="684" t="s">
        <v>2764</v>
      </c>
      <c r="C50" s="2709" t="s">
        <v>2765</v>
      </c>
      <c r="D50" s="2710" t="s">
        <v>2766</v>
      </c>
      <c r="E50" s="685" t="s">
        <v>2767</v>
      </c>
      <c r="F50" s="686" t="s">
        <v>2768</v>
      </c>
      <c r="G50" s="3240" t="s">
        <v>2769</v>
      </c>
      <c r="H50" s="3288"/>
      <c r="I50" s="1816" t="s">
        <v>2806</v>
      </c>
      <c r="J50" s="1816">
        <f>项目基本情况!F35</f>
        <v>0</v>
      </c>
      <c r="K50" s="2712" t="s">
        <v>2771</v>
      </c>
      <c r="L50" s="1108"/>
      <c r="M50" s="1146"/>
      <c r="N50" s="1146"/>
      <c r="O50" s="1146"/>
    </row>
    <row r="51" spans="1:17" s="691" customFormat="1">
      <c r="A51" s="687" t="s">
        <v>2772</v>
      </c>
      <c r="B51" s="688" t="e">
        <f>C43</f>
        <v>#DIV/0!</v>
      </c>
      <c r="C51" s="689">
        <v>1</v>
      </c>
      <c r="D51" s="1165">
        <v>1</v>
      </c>
      <c r="E51" s="689">
        <f>'数据-汇总表'!E8+'数据-汇总表'!E9</f>
        <v>5590.66</v>
      </c>
      <c r="F51" s="690" t="e">
        <f t="shared" ref="F51:F60" si="15">ROUND(B51*E51/10000,0)</f>
        <v>#DIV/0!</v>
      </c>
      <c r="G51" s="3236"/>
      <c r="H51" s="3225"/>
      <c r="I51" s="944">
        <v>1</v>
      </c>
      <c r="J51" s="944">
        <v>1</v>
      </c>
      <c r="K51" s="1147"/>
      <c r="L51" s="943"/>
      <c r="M51" s="943"/>
      <c r="N51" s="943"/>
      <c r="O51" s="943"/>
    </row>
    <row r="52" spans="1:17" s="691" customFormat="1">
      <c r="A52" s="692" t="s">
        <v>2773</v>
      </c>
      <c r="B52" s="262" t="e">
        <f>ROUND($C$43*C52*D52,0)</f>
        <v>#DIV/0!</v>
      </c>
      <c r="C52" s="200">
        <f t="shared" ref="C52:C60" si="16">IF($C$50="北京市系数",I52,J52)</f>
        <v>0</v>
      </c>
      <c r="D52" s="1166">
        <v>0.25</v>
      </c>
      <c r="E52" s="693"/>
      <c r="F52" s="690" t="e">
        <f t="shared" si="15"/>
        <v>#DIV/0!</v>
      </c>
      <c r="G52" s="3289" t="s">
        <v>2774</v>
      </c>
      <c r="H52" s="1106">
        <f>项目基本情况!B37</f>
        <v>0</v>
      </c>
      <c r="I52" s="944">
        <f>SUMIF(修正!A45:A56,H52,修正!B45:B56)</f>
        <v>0</v>
      </c>
      <c r="J52" s="945"/>
      <c r="K52" s="1146"/>
      <c r="L52" s="943"/>
      <c r="M52" s="943"/>
      <c r="N52" s="943"/>
      <c r="O52" s="943"/>
    </row>
    <row r="53" spans="1:17" s="691" customFormat="1">
      <c r="A53" s="692" t="s">
        <v>2775</v>
      </c>
      <c r="B53" s="262" t="e">
        <f t="shared" ref="B53:B60" si="17">ROUND($C$43*C53*D53,0)</f>
        <v>#DIV/0!</v>
      </c>
      <c r="C53" s="200">
        <f t="shared" si="16"/>
        <v>0</v>
      </c>
      <c r="D53" s="1166">
        <v>0.25</v>
      </c>
      <c r="E53" s="693"/>
      <c r="F53" s="690" t="e">
        <f t="shared" si="15"/>
        <v>#DIV/0!</v>
      </c>
      <c r="G53" s="3289"/>
      <c r="H53" s="1106">
        <f>项目基本情况!B37</f>
        <v>0</v>
      </c>
      <c r="I53" s="944">
        <f>SUMIF(修正!A45:A56,H53,修正!C45:C56)</f>
        <v>0</v>
      </c>
      <c r="J53" s="945"/>
      <c r="K53" s="1147"/>
      <c r="L53" s="943"/>
      <c r="M53" s="943"/>
      <c r="N53" s="943"/>
      <c r="O53" s="943"/>
    </row>
    <row r="54" spans="1:17" s="691" customFormat="1">
      <c r="A54" s="692" t="s">
        <v>2776</v>
      </c>
      <c r="B54" s="262" t="e">
        <f t="shared" si="17"/>
        <v>#DIV/0!</v>
      </c>
      <c r="C54" s="200">
        <f t="shared" si="16"/>
        <v>0</v>
      </c>
      <c r="D54" s="1166">
        <v>0.25</v>
      </c>
      <c r="E54" s="693"/>
      <c r="F54" s="690" t="e">
        <f t="shared" si="15"/>
        <v>#DIV/0!</v>
      </c>
      <c r="G54" s="3289"/>
      <c r="H54" s="1106">
        <f>项目基本情况!B37</f>
        <v>0</v>
      </c>
      <c r="I54" s="944">
        <f>SUMIF(修正!A45:A56,H54,修正!D45:D56)</f>
        <v>0</v>
      </c>
      <c r="J54" s="945"/>
      <c r="K54" s="1146"/>
      <c r="L54" s="943"/>
      <c r="M54" s="943"/>
      <c r="N54" s="943"/>
      <c r="O54" s="943"/>
    </row>
    <row r="55" spans="1:17" s="691" customFormat="1">
      <c r="A55" s="692" t="s">
        <v>2777</v>
      </c>
      <c r="B55" s="262" t="e">
        <f t="shared" si="17"/>
        <v>#DIV/0!</v>
      </c>
      <c r="C55" s="200">
        <f t="shared" si="16"/>
        <v>0</v>
      </c>
      <c r="D55" s="1166">
        <v>0.25</v>
      </c>
      <c r="E55" s="693"/>
      <c r="F55" s="690" t="e">
        <f t="shared" si="15"/>
        <v>#DIV/0!</v>
      </c>
      <c r="G55" s="3289"/>
      <c r="H55" s="1106">
        <f>项目基本情况!B37</f>
        <v>0</v>
      </c>
      <c r="I55" s="944">
        <f>SUMIF(修正!A45:A56,H55,修正!E45:E56)</f>
        <v>0</v>
      </c>
      <c r="J55" s="945"/>
      <c r="K55" s="1147"/>
      <c r="L55" s="943"/>
      <c r="M55" s="943"/>
      <c r="N55" s="943"/>
      <c r="O55" s="943"/>
    </row>
    <row r="56" spans="1:17" s="691" customFormat="1">
      <c r="A56" s="692" t="s">
        <v>2778</v>
      </c>
      <c r="B56" s="262" t="e">
        <f t="shared" si="17"/>
        <v>#DIV/0!</v>
      </c>
      <c r="C56" s="200">
        <f t="shared" si="16"/>
        <v>0</v>
      </c>
      <c r="D56" s="1166">
        <v>0.25</v>
      </c>
      <c r="E56" s="261">
        <f>'数据-汇总表'!E11</f>
        <v>0</v>
      </c>
      <c r="F56" s="690" t="e">
        <f t="shared" si="15"/>
        <v>#DIV/0!</v>
      </c>
      <c r="G56" s="2713" t="s">
        <v>2779</v>
      </c>
      <c r="H56" s="1106">
        <f>项目基本情况!C37</f>
        <v>0</v>
      </c>
      <c r="I56" s="944">
        <f>SUMIF(修正!A45:A56,H56,修正!F45:F56)</f>
        <v>0</v>
      </c>
      <c r="J56" s="945"/>
      <c r="K56" s="1146"/>
      <c r="L56" s="943"/>
      <c r="M56" s="943"/>
      <c r="N56" s="943"/>
      <c r="O56" s="943"/>
    </row>
    <row r="57" spans="1:17" s="691" customFormat="1">
      <c r="A57" s="692" t="s">
        <v>2780</v>
      </c>
      <c r="B57" s="262" t="e">
        <f t="shared" si="17"/>
        <v>#DIV/0!</v>
      </c>
      <c r="C57" s="200">
        <f t="shared" si="16"/>
        <v>0</v>
      </c>
      <c r="D57" s="1166">
        <v>0.25</v>
      </c>
      <c r="E57" s="261">
        <f>'数据-汇总表'!E12</f>
        <v>0</v>
      </c>
      <c r="F57" s="690" t="e">
        <f t="shared" si="15"/>
        <v>#DIV/0!</v>
      </c>
      <c r="G57" s="1111" t="s">
        <v>2781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2782</v>
      </c>
      <c r="B58" s="262" t="e">
        <f t="shared" si="17"/>
        <v>#DIV/0!</v>
      </c>
      <c r="C58" s="200">
        <f t="shared" si="16"/>
        <v>0</v>
      </c>
      <c r="D58" s="1166">
        <v>0.25</v>
      </c>
      <c r="E58" s="261">
        <f>'数据-汇总表'!E13</f>
        <v>0</v>
      </c>
      <c r="F58" s="690"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2784</v>
      </c>
      <c r="B59" s="262" t="e">
        <f t="shared" si="17"/>
        <v>#DIV/0!</v>
      </c>
      <c r="C59" s="200">
        <f t="shared" si="16"/>
        <v>0</v>
      </c>
      <c r="D59" s="1166">
        <v>0.25</v>
      </c>
      <c r="E59" s="261">
        <f>'数据-汇总表'!E14</f>
        <v>0</v>
      </c>
      <c r="F59" s="690" t="e">
        <f t="shared" si="15"/>
        <v>#DIV/0!</v>
      </c>
      <c r="G59" s="2713" t="s">
        <v>2774</v>
      </c>
      <c r="H59" s="1106">
        <f>项目基本情况!B37</f>
        <v>0</v>
      </c>
      <c r="I59" s="944">
        <f>SUMIF(修正!A45:A56,H59,修正!H45:H56)</f>
        <v>0</v>
      </c>
      <c r="J59" s="945"/>
      <c r="K59" s="1147"/>
      <c r="L59" s="943"/>
      <c r="M59" s="943"/>
      <c r="N59" s="943"/>
      <c r="O59" s="943"/>
    </row>
    <row r="60" spans="1:17" s="691" customFormat="1" ht="15" thickBot="1">
      <c r="A60" s="692" t="s">
        <v>2785</v>
      </c>
      <c r="B60" s="262" t="e">
        <f t="shared" si="17"/>
        <v>#DIV/0!</v>
      </c>
      <c r="C60" s="200">
        <f t="shared" si="16"/>
        <v>0</v>
      </c>
      <c r="D60" s="1166">
        <v>0.25</v>
      </c>
      <c r="E60" s="261">
        <f>'数据-汇总表'!E15</f>
        <v>0</v>
      </c>
      <c r="F60" s="690" t="e">
        <f t="shared" si="15"/>
        <v>#DIV/0!</v>
      </c>
      <c r="G60" s="2714" t="s">
        <v>2779</v>
      </c>
      <c r="H60" s="1116">
        <f>项目基本情况!C37</f>
        <v>0</v>
      </c>
      <c r="I60" s="944">
        <f>SUMIF(修正!A45:A56,H60,修正!H45:H56)</f>
        <v>0</v>
      </c>
      <c r="J60" s="945"/>
      <c r="K60" s="1146"/>
      <c r="L60" s="943"/>
      <c r="M60" s="943"/>
      <c r="N60" s="943"/>
      <c r="O60" s="943"/>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2679</v>
      </c>
      <c r="B64" s="758"/>
      <c r="C64" s="763"/>
      <c r="D64" s="763"/>
      <c r="E64" s="763"/>
      <c r="F64" s="764"/>
      <c r="G64" s="764"/>
      <c r="H64" s="763"/>
      <c r="I64" s="763"/>
      <c r="J64" s="763"/>
      <c r="K64" s="765"/>
      <c r="L64" s="766"/>
      <c r="M64" s="763"/>
      <c r="N64" s="763"/>
      <c r="O64" s="1161"/>
      <c r="P64" s="503"/>
      <c r="Q64" s="504"/>
    </row>
    <row r="65" spans="1:17" s="508" customFormat="1" ht="15">
      <c r="A65" s="2715" t="s">
        <v>2787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20" t="s">
        <v>2807</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2593</v>
      </c>
      <c r="B70" s="528" t="s">
        <v>2559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2808</v>
      </c>
      <c r="C93" s="659" t="s">
        <v>2680</v>
      </c>
      <c r="D93" s="659" t="s">
        <v>2681</v>
      </c>
      <c r="E93" s="659" t="s">
        <v>2682</v>
      </c>
      <c r="F93" s="659" t="s">
        <v>2683</v>
      </c>
      <c r="G93" s="659" t="s">
        <v>2684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2797</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2799</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2800</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60" priority="14" stopIfTrue="1" operator="containsText" text="超过">
      <formula>NOT(ISERROR(SEARCH("超过",F46)))</formula>
    </cfRule>
  </conditionalFormatting>
  <conditionalFormatting sqref="J48">
    <cfRule type="containsText" dxfId="59" priority="13" stopIfTrue="1" operator="containsText" text="超过">
      <formula>NOT(ISERROR(SEARCH("超过",J48)))</formula>
    </cfRule>
  </conditionalFormatting>
  <conditionalFormatting sqref="H48">
    <cfRule type="containsText" dxfId="58" priority="12" stopIfTrue="1" operator="containsText" text="超过">
      <formula>NOT(ISERROR(SEARCH("超过",H48)))</formula>
    </cfRule>
  </conditionalFormatting>
  <conditionalFormatting sqref="F48">
    <cfRule type="containsText" dxfId="57" priority="11" stopIfTrue="1" operator="containsText" text="超过">
      <formula>NOT(ISERROR(SEARCH("超过",F48)))</formula>
    </cfRule>
  </conditionalFormatting>
  <conditionalFormatting sqref="F47 H47 J47">
    <cfRule type="containsText" dxfId="56" priority="10" stopIfTrue="1" operator="containsText" text="超过">
      <formula>NOT(ISERROR(SEARCH("超过",F47)))</formula>
    </cfRule>
  </conditionalFormatting>
  <conditionalFormatting sqref="E46">
    <cfRule type="expression" dxfId="55" priority="9" stopIfTrue="1">
      <formula>$F$46="超过30%"</formula>
    </cfRule>
  </conditionalFormatting>
  <conditionalFormatting sqref="G48">
    <cfRule type="expression" dxfId="54" priority="8" stopIfTrue="1">
      <formula>$H$48="超过30%"</formula>
    </cfRule>
  </conditionalFormatting>
  <conditionalFormatting sqref="E48">
    <cfRule type="expression" dxfId="53" priority="6" stopIfTrue="1">
      <formula>$F$48="超过30%"</formula>
    </cfRule>
  </conditionalFormatting>
  <conditionalFormatting sqref="G46">
    <cfRule type="expression" dxfId="52" priority="5" stopIfTrue="1">
      <formula>$H$46="超过30%"</formula>
    </cfRule>
  </conditionalFormatting>
  <conditionalFormatting sqref="G47">
    <cfRule type="expression" dxfId="51" priority="4" stopIfTrue="1">
      <formula>$H$47="超过20%"</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conditionalFormatting sqref="E47">
    <cfRule type="expression" dxfId="4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2809</v>
      </c>
      <c r="B1" s="241"/>
      <c r="C1" s="245" t="s">
        <v>2810</v>
      </c>
      <c r="D1" s="388">
        <f>SUM(D29:D30,D33:D39)</f>
        <v>0</v>
      </c>
      <c r="E1" s="2721"/>
      <c r="F1" s="2721"/>
      <c r="G1" s="2721"/>
      <c r="H1" s="2721"/>
      <c r="I1" s="2721"/>
      <c r="J1" s="2721"/>
      <c r="K1" s="1372"/>
      <c r="L1" s="2722" t="s">
        <v>2811</v>
      </c>
      <c r="M1" s="1082">
        <f>SUMPRODUCT((区片价!B5:B9=I2)*(区片价!C3:F3=E2)*(区片价!C5:F9))</f>
        <v>0</v>
      </c>
      <c r="N1" s="1085">
        <f>SUMPRODUCT((因素修正幅度!B5:B9=I2)*(因素修正幅度!C3:F3=E2)*(因素修正幅度!C5:F9))</f>
        <v>0</v>
      </c>
      <c r="O1" s="2723"/>
      <c r="P1" s="2723"/>
      <c r="Q1" s="1372"/>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5" t="s">
        <v>2817</v>
      </c>
      <c r="B2" s="248" t="e">
        <f>C26</f>
        <v>#DIV/0!</v>
      </c>
      <c r="C2" s="2725" t="s">
        <v>2818</v>
      </c>
      <c r="D2" s="2726" t="s">
        <v>2819</v>
      </c>
      <c r="E2" s="2727"/>
      <c r="F2" s="2726" t="s">
        <v>2820</v>
      </c>
      <c r="G2" s="2728">
        <f>IF(E2="商业",项目基本情况!B37,IF(E2="办公",项目基本情况!C37,IF(E2="住宅",项目基本情况!D37,项目基本情况!E37)))</f>
        <v>0</v>
      </c>
      <c r="H2" s="2726" t="s">
        <v>2821</v>
      </c>
      <c r="I2" s="2728">
        <f>IF(E2="商业",项目基本情况!B38,IF(E2="办公",项目基本情况!C38,IF(E2="住宅",项目基本情况!D38,项目基本情况!E38)))</f>
        <v>0</v>
      </c>
      <c r="J2" s="2729"/>
      <c r="K2" s="1372"/>
      <c r="L2" s="2730" t="s">
        <v>2822</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2823</v>
      </c>
      <c r="B3" s="248" t="e">
        <f>ROUND(B2*10000/D1,0)</f>
        <v>#DIV/0!</v>
      </c>
      <c r="C3" s="2725" t="s">
        <v>2824</v>
      </c>
      <c r="D3" s="2726" t="s">
        <v>2825</v>
      </c>
      <c r="E3" s="2731"/>
      <c r="F3" s="2732" t="s">
        <v>2826</v>
      </c>
      <c r="G3" s="915" t="e">
        <f>IF(F3="宗地容积率",'数据-汇总表'!I4,IF(F3="估价对象容积率",'数据-汇总表'!I6,'数据-汇总表'!I7))</f>
        <v>#DIV/0!</v>
      </c>
      <c r="H3" s="198" t="s">
        <v>2827</v>
      </c>
      <c r="I3" s="946"/>
      <c r="J3" s="2729" t="s">
        <v>2828</v>
      </c>
      <c r="K3" s="1372"/>
      <c r="L3" s="2730" t="s">
        <v>2829</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7"/>
      <c r="B4" s="3298"/>
      <c r="C4" s="3298"/>
      <c r="D4" s="3299"/>
      <c r="E4" s="3299"/>
      <c r="F4" s="3299"/>
      <c r="G4" s="3299"/>
      <c r="H4" s="3299"/>
      <c r="I4" s="3299"/>
      <c r="J4" s="3300"/>
      <c r="K4" s="1372"/>
      <c r="L4" s="2730" t="s">
        <v>2830</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2831</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2832</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2833</v>
      </c>
      <c r="B6" s="2744" t="s">
        <v>2834</v>
      </c>
      <c r="C6" s="917">
        <f>SUMIF(L1:L12,G2,M1:M12)</f>
        <v>0</v>
      </c>
      <c r="D6" s="2745" t="s">
        <v>2835</v>
      </c>
      <c r="E6" s="2746"/>
      <c r="F6" s="2746"/>
      <c r="G6" s="2747"/>
      <c r="H6" s="2747"/>
      <c r="I6" s="2747"/>
      <c r="J6" s="2748"/>
      <c r="K6" s="1844"/>
      <c r="L6" s="2730" t="s">
        <v>2836</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301" t="str">
        <f>IF(E2="商业",IF(C8="不临58条商业街","",2),"")</f>
        <v/>
      </c>
      <c r="B7" s="2749" t="s">
        <v>2837</v>
      </c>
      <c r="C7" s="918" t="e">
        <f>IF(C8="不临58条商业街",1,ROUND(1+(1.6*E8+1.2*E9+0.8*E10+0.4*E11)*C9,4))</f>
        <v>#DIV/0!</v>
      </c>
      <c r="D7" s="2750" t="s">
        <v>2838</v>
      </c>
      <c r="E7" s="947"/>
      <c r="F7" s="2751"/>
      <c r="G7" s="2752"/>
      <c r="H7" s="2752"/>
      <c r="I7" s="2752"/>
      <c r="J7" s="2753"/>
      <c r="K7" s="1844"/>
      <c r="L7" s="2730" t="s">
        <v>2839</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2840</v>
      </c>
      <c r="X7" s="1606">
        <f>G2</f>
        <v>0</v>
      </c>
      <c r="Y7" s="1606" t="s">
        <v>2841</v>
      </c>
      <c r="Z7" s="1607" t="e">
        <f>G3</f>
        <v>#DIV/0!</v>
      </c>
      <c r="AA7" s="1608"/>
      <c r="AB7" s="1608"/>
      <c r="AC7" s="1609"/>
      <c r="AD7" s="1610"/>
      <c r="AE7" s="1610"/>
      <c r="AF7" s="1610"/>
      <c r="AG7" s="1610"/>
      <c r="AH7" s="1610"/>
      <c r="AI7" s="1610"/>
      <c r="AJ7" s="1611"/>
    </row>
    <row r="8" spans="1:36" ht="15">
      <c r="A8" s="3302"/>
      <c r="B8" s="198" t="s">
        <v>2842</v>
      </c>
      <c r="C8" s="2754"/>
      <c r="D8" s="919" t="s">
        <v>139</v>
      </c>
      <c r="E8" s="920" t="e">
        <f>ROUND(C11/E7,4)</f>
        <v>#DIV/0!</v>
      </c>
      <c r="F8" s="2755" t="s">
        <v>2843</v>
      </c>
      <c r="G8" s="2756"/>
      <c r="H8" s="2756"/>
      <c r="I8" s="2756"/>
      <c r="J8" s="2757"/>
      <c r="K8" s="1372"/>
      <c r="L8" s="2730" t="s">
        <v>2844</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94" t="s">
        <v>2845</v>
      </c>
      <c r="X8" s="3295"/>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302"/>
      <c r="B9" s="198" t="s">
        <v>2858</v>
      </c>
      <c r="C9" s="921">
        <f>SUMIF(修正!C59:C119,C8,修正!E59:E119)</f>
        <v>0</v>
      </c>
      <c r="D9" s="200" t="s">
        <v>140</v>
      </c>
      <c r="E9" s="200" t="e">
        <f>ROUND(C11/E7,4)</f>
        <v>#DIV/0!</v>
      </c>
      <c r="F9" s="2755" t="s">
        <v>2859</v>
      </c>
      <c r="G9" s="2756"/>
      <c r="H9" s="2756"/>
      <c r="I9" s="2756"/>
      <c r="J9" s="2757"/>
      <c r="K9" s="1372"/>
      <c r="L9" s="2730" t="s">
        <v>2860</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6"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02"/>
      <c r="B10" s="198" t="s">
        <v>2863</v>
      </c>
      <c r="C10" s="200">
        <f>SUMIF(修正!C59:C119,C8,修正!F59:F119)</f>
        <v>0</v>
      </c>
      <c r="D10" s="200" t="s">
        <v>141</v>
      </c>
      <c r="E10" s="200" t="e">
        <f>ROUND(C11/E7,4)</f>
        <v>#DIV/0!</v>
      </c>
      <c r="F10" s="2755" t="s">
        <v>2864</v>
      </c>
      <c r="G10" s="2756"/>
      <c r="H10" s="2756"/>
      <c r="I10" s="2756"/>
      <c r="J10" s="2757"/>
      <c r="K10" s="1372"/>
      <c r="L10" s="2730" t="s">
        <v>2865</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02"/>
      <c r="B11" s="2758" t="s">
        <v>2866</v>
      </c>
      <c r="C11" s="922">
        <f>C10/4</f>
        <v>0</v>
      </c>
      <c r="D11" s="922" t="s">
        <v>142</v>
      </c>
      <c r="E11" s="922" t="e">
        <f>ROUND(C11/E7,4)</f>
        <v>#DIV/0!</v>
      </c>
      <c r="F11" s="2759" t="s">
        <v>2867</v>
      </c>
      <c r="G11" s="2760"/>
      <c r="H11" s="2760"/>
      <c r="I11" s="2760"/>
      <c r="J11" s="2761"/>
      <c r="K11" s="1372"/>
      <c r="L11" s="2730" t="s">
        <v>2868</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6" t="s">
        <v>2869</v>
      </c>
      <c r="X11" s="1616" t="s">
        <v>2870</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301" t="s">
        <v>2871</v>
      </c>
      <c r="B12" s="2762" t="s">
        <v>2872</v>
      </c>
      <c r="C12" s="918">
        <f>ROUND(C15*D15*E15*F15*G15*H15*I15*J15,4)</f>
        <v>1</v>
      </c>
      <c r="D12" s="2763" t="s">
        <v>2873</v>
      </c>
      <c r="E12" s="2764"/>
      <c r="F12" s="2764"/>
      <c r="G12" s="2765"/>
      <c r="H12" s="2765"/>
      <c r="I12" s="2765"/>
      <c r="J12" s="2766"/>
      <c r="K12" s="1372"/>
      <c r="L12" s="2767" t="s">
        <v>2874</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6"/>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3"/>
      <c r="B13" s="2768" t="s">
        <v>2876</v>
      </c>
      <c r="C13" s="2769" t="s">
        <v>2877</v>
      </c>
      <c r="D13" s="1810" t="s">
        <v>2878</v>
      </c>
      <c r="E13" s="1810" t="s">
        <v>2879</v>
      </c>
      <c r="F13" s="30" t="s">
        <v>2880</v>
      </c>
      <c r="G13" s="2770" t="s">
        <v>2881</v>
      </c>
      <c r="H13" s="2770" t="s">
        <v>2881</v>
      </c>
      <c r="I13" s="2770" t="s">
        <v>2881</v>
      </c>
      <c r="J13" s="2771" t="s">
        <v>2881</v>
      </c>
      <c r="K13" s="1372"/>
      <c r="L13" s="1372"/>
      <c r="M13" s="1372"/>
      <c r="N13" s="1372"/>
      <c r="O13" s="1372"/>
      <c r="P13" s="1372"/>
      <c r="Q13" s="1372"/>
      <c r="R13" s="1604">
        <v>12</v>
      </c>
      <c r="S13" s="1605"/>
      <c r="T13" s="1604" t="e">
        <f t="shared" si="0"/>
        <v>#DIV/0!</v>
      </c>
      <c r="U13" s="1605"/>
      <c r="V13" s="1604" t="e">
        <f t="shared" si="1"/>
        <v>#DIV/0!</v>
      </c>
      <c r="W13" s="3296"/>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303"/>
      <c r="B14" s="2772"/>
      <c r="C14" s="2773"/>
      <c r="D14" s="2774"/>
      <c r="E14" s="2774"/>
      <c r="F14" s="2775"/>
      <c r="G14" s="2776" t="s">
        <v>2882</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4"/>
      <c r="B15" s="2780" t="s">
        <v>2883</v>
      </c>
      <c r="C15" s="229">
        <f>IF(C14="有",1.1,1)</f>
        <v>1</v>
      </c>
      <c r="D15" s="229">
        <f>IF(D14="有",1.1,1)</f>
        <v>1</v>
      </c>
      <c r="E15" s="229">
        <f>IF(E14="有",1.1,1)</f>
        <v>1</v>
      </c>
      <c r="F15" s="229">
        <f>IF(F14="500米范围内",1.2,IF(F14="500-1000米",1.1,1))</f>
        <v>1</v>
      </c>
      <c r="G15" s="948">
        <v>1</v>
      </c>
      <c r="H15" s="948">
        <v>1</v>
      </c>
      <c r="I15" s="948">
        <v>1</v>
      </c>
      <c r="J15" s="949">
        <v>1</v>
      </c>
      <c r="K15" s="1372"/>
      <c r="L15" s="2781" t="s">
        <v>2819</v>
      </c>
      <c r="M15" s="919" t="s">
        <v>2884</v>
      </c>
      <c r="N15" s="919" t="s">
        <v>2885</v>
      </c>
      <c r="O15" s="919" t="s">
        <v>2886</v>
      </c>
      <c r="P15" s="2782" t="s">
        <v>2887</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01" t="s">
        <v>2888</v>
      </c>
      <c r="B16" s="2749" t="s">
        <v>2889</v>
      </c>
      <c r="C16" s="1803" t="e">
        <f>ROUND(SUM(G17:J17)/C17,0)</f>
        <v>#DIV/0!</v>
      </c>
      <c r="D16" s="2783" t="s">
        <v>2890</v>
      </c>
      <c r="E16" s="2784"/>
      <c r="F16" s="2785"/>
      <c r="G16" s="2786"/>
      <c r="H16" s="2786"/>
      <c r="I16" s="2786"/>
      <c r="J16" s="2787"/>
      <c r="K16" s="1372"/>
      <c r="L16" s="2788" t="s">
        <v>2891</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02"/>
      <c r="B17" s="2789" t="s">
        <v>2892</v>
      </c>
      <c r="C17" s="923">
        <f>SUMPRODUCT((修正!A2:A5=E2)*(修正!B1:M1=G2)*(修正!B2:M5))</f>
        <v>0</v>
      </c>
      <c r="D17" s="2790"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2896</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2897</v>
      </c>
      <c r="C19" s="926" t="e">
        <f>ROUND(IF(H19="按公示增长率计算",SUMPRODUCT((地价!A3:A21=YEAR(G19)&amp;"-"&amp;ROUNDUP(MONTH(G19)/3,0))*(地价!X2:AB2=E2)*(地价!X3:AB21)),IF(H19="地价指数",M20/M19,(1+I19)^O19)),4)</f>
        <v>#DIV/0!</v>
      </c>
      <c r="D19" s="2801" t="s">
        <v>2898</v>
      </c>
      <c r="E19" s="927">
        <v>41640</v>
      </c>
      <c r="F19" s="2801" t="s">
        <v>2899</v>
      </c>
      <c r="G19" s="928">
        <f>'数据-取费表'!B2</f>
        <v>43172</v>
      </c>
      <c r="H19" s="2802" t="s">
        <v>2900</v>
      </c>
      <c r="I19" s="929" t="str">
        <f>IF(H19="季度增幅（自定义）",SUMIF(N21:N24,E2,O21:O24),"")</f>
        <v/>
      </c>
      <c r="J19" s="2799"/>
      <c r="K19" s="1379"/>
      <c r="L19" s="2803" t="s">
        <v>2901</v>
      </c>
      <c r="M19" s="1736">
        <f>ROUND(SUMIF(地价!B2:F2,E2,地价!B21:F21),0)</f>
        <v>0</v>
      </c>
      <c r="N19" s="2804" t="s">
        <v>2902</v>
      </c>
      <c r="O19" s="930">
        <f>ROUNDDOWN(DATEDIF(E19,G19,"M")/3,0)</f>
        <v>16</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2903</v>
      </c>
      <c r="C20" s="931" t="e">
        <f>ROUND(POWER(1+G20,J20-I20)*(POWER(1+G20,I20)-1)/(POWER(1+G20,J20)-1),4)</f>
        <v>#DIV/0!</v>
      </c>
      <c r="D20" s="2810" t="s">
        <v>2904</v>
      </c>
      <c r="E20" s="1770">
        <f ca="1">存贷款利率!D4/100</f>
        <v>4.3499999999999997E-2</v>
      </c>
      <c r="F20" s="2810" t="s">
        <v>2895</v>
      </c>
      <c r="G20" s="936">
        <f>SUMIF(M15:P15,E2,M17:P17)</f>
        <v>0</v>
      </c>
      <c r="H20" s="2810" t="s">
        <v>2905</v>
      </c>
      <c r="I20" s="937" t="e">
        <f>SUMIF('数据-取费表'!C6:C15,E2,'数据-取费表'!F6:F15)/COUNTIF('数据-取费表'!C6:C15,E2)</f>
        <v>#DIV/0!</v>
      </c>
      <c r="J20" s="938">
        <f>IF(E2="住宅",70,IF(E2="商业",40,50))</f>
        <v>50</v>
      </c>
      <c r="K20" s="1379"/>
      <c r="L20" s="2811" t="s">
        <v>2906</v>
      </c>
      <c r="M20" s="1737">
        <f>ROUND(SUMPRODUCT((地价!A4:A21=YEAR(G19)&amp;"-"&amp;ROUNDUP(MONTH(G19)/3,0))*(地价!B2:F2=E2)*(地价!B4:F21)),0)</f>
        <v>0</v>
      </c>
      <c r="N20" s="2812" t="s">
        <v>2907</v>
      </c>
      <c r="O20" s="2813" t="s">
        <v>2908</v>
      </c>
      <c r="P20" s="2814" t="s">
        <v>2909</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2910</v>
      </c>
      <c r="C21" s="939" t="e">
        <f>IF(B21="容积率修正",IF(G3&lt;=10,D22,J22),C23)</f>
        <v>#DIV/0!</v>
      </c>
      <c r="D21" s="2817"/>
      <c r="E21" s="2817"/>
      <c r="F21" s="2817"/>
      <c r="G21" s="2817"/>
      <c r="H21" s="2817"/>
      <c r="I21" s="2817"/>
      <c r="J21" s="2818"/>
      <c r="K21" s="1379"/>
      <c r="N21" s="2819" t="s">
        <v>2911</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2" customFormat="1" ht="14.25">
      <c r="A22" s="2668" t="s">
        <v>2912</v>
      </c>
      <c r="B22" s="2820" t="s">
        <v>2913</v>
      </c>
      <c r="C22" s="1812" t="s">
        <v>2914</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19" t="s">
        <v>2915</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8" t="s">
        <v>2916</v>
      </c>
      <c r="B23" s="2821" t="s">
        <v>2917</v>
      </c>
      <c r="C23" s="1015" t="e">
        <f>ROUND(IF(G3&gt;1,IF(I3&lt;7,SUMPRODUCT((B93:B98=I3)*(C92:N92=G2)*(C93:N98)),SUMIF(C92:N92,G2,C100:N100)),IF(I3&lt;7,SUMPRODUCT((B102:B107=I3)*(C92:N92=G2)*(C102:N107)),SUMIF(C92:N92,G2,C109:N109))),4)</f>
        <v>#DIV/0!</v>
      </c>
      <c r="D23" s="2777"/>
      <c r="E23" s="2777"/>
      <c r="F23" s="2822"/>
      <c r="G23" s="2823"/>
      <c r="H23" s="2824"/>
      <c r="I23" s="2825"/>
      <c r="J23" s="2826"/>
      <c r="K23" s="1372"/>
      <c r="N23" s="2819" t="s">
        <v>2918</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2919</v>
      </c>
      <c r="C24" s="926">
        <f>SUMIF(A45:A88,E2,B45:B88)</f>
        <v>0</v>
      </c>
      <c r="D24" s="2797"/>
      <c r="E24" s="2827"/>
      <c r="F24" s="2827"/>
      <c r="G24" s="2827"/>
      <c r="H24" s="2827"/>
      <c r="I24" s="2827"/>
      <c r="J24" s="2828"/>
      <c r="K24" s="1379"/>
      <c r="N24" s="2829" t="s">
        <v>2920</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2921</v>
      </c>
      <c r="C25" s="932"/>
      <c r="D25" s="2752"/>
      <c r="E25" s="2752"/>
      <c r="F25" s="2831"/>
      <c r="G25" s="2752"/>
      <c r="H25" s="2752"/>
      <c r="I25" s="2752"/>
      <c r="J25" s="2753"/>
      <c r="K25" s="1372"/>
      <c r="N25" s="2832" t="s">
        <v>2922</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3"/>
      <c r="B26" s="2820" t="s">
        <v>2923</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2924</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2925</v>
      </c>
      <c r="C28" s="2844" t="s">
        <v>2926</v>
      </c>
      <c r="D28" s="2844" t="s">
        <v>2927</v>
      </c>
      <c r="E28" s="2845" t="s">
        <v>2928</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2929</v>
      </c>
      <c r="C29" s="206" t="e">
        <f>ROUND(C5*C18*C19*C20*C21*C24,0)</f>
        <v>#DIV/0!</v>
      </c>
      <c r="D29" s="2849"/>
      <c r="E29" s="944" t="e">
        <f>ROUND(C29*D29/10000,0)</f>
        <v>#DIV/0!</v>
      </c>
      <c r="F29" s="2850" t="s">
        <v>2930</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2931</v>
      </c>
      <c r="C30" s="229" t="e">
        <f>ROUND(IF(E2="工业",C29*M39,C29*M38),0)</f>
        <v>#DIV/0!</v>
      </c>
      <c r="D30" s="2855"/>
      <c r="E30" s="944" t="e">
        <f>ROUND(C30*D30/10000,0)</f>
        <v>#DIV/0!</v>
      </c>
      <c r="F30" s="2856" t="s">
        <v>2932</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2933</v>
      </c>
      <c r="C31" s="2861" t="s">
        <v>2934</v>
      </c>
      <c r="D31" s="2765"/>
      <c r="E31" s="2861"/>
      <c r="F31" s="2861"/>
      <c r="G31" s="2763" t="s">
        <v>2935</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2926</v>
      </c>
      <c r="D32" s="498" t="s">
        <v>2927</v>
      </c>
      <c r="E32" s="498" t="s">
        <v>2928</v>
      </c>
      <c r="F32" s="388" t="s">
        <v>2936</v>
      </c>
      <c r="G32" s="2864" t="s">
        <v>2926</v>
      </c>
      <c r="H32" s="2864" t="s">
        <v>2927</v>
      </c>
      <c r="I32" s="2864" t="s">
        <v>2928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311" t="s">
        <v>2937</v>
      </c>
      <c r="B33" s="2865" t="s">
        <v>2938</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2"/>
      <c r="B34" s="2769" t="s">
        <v>2939</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2"/>
      <c r="B35" s="2769" t="s">
        <v>2940</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313"/>
      <c r="B36" s="2769" t="s">
        <v>2941</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2942</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2"/>
      <c r="L37" s="2868" t="s">
        <v>2943</v>
      </c>
      <c r="M37" s="2869"/>
      <c r="N37" s="1372"/>
      <c r="O37" s="1372"/>
      <c r="P37" s="1372"/>
      <c r="Q37" s="1372"/>
      <c r="R37" s="1372"/>
      <c r="S37" s="1372"/>
      <c r="T37" s="1372"/>
      <c r="U37" s="1372"/>
      <c r="V37" s="1372"/>
      <c r="W37" s="1372"/>
      <c r="X37" s="1372"/>
      <c r="Y37" s="1372"/>
      <c r="Z37" s="1373"/>
    </row>
    <row r="38" spans="1:37">
      <c r="A38" s="2867"/>
      <c r="B38" s="2769" t="s">
        <v>2944</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2"/>
      <c r="L38" s="1889" t="s">
        <v>2945</v>
      </c>
      <c r="M38" s="2870">
        <v>0.25</v>
      </c>
      <c r="N38" s="1372"/>
      <c r="O38" s="1372"/>
      <c r="P38" s="1372"/>
      <c r="Q38" s="1372"/>
      <c r="R38" s="1372"/>
      <c r="S38" s="1372"/>
      <c r="T38" s="1372"/>
      <c r="U38" s="1372"/>
      <c r="V38" s="1372"/>
      <c r="W38" s="1372"/>
      <c r="X38" s="1372"/>
      <c r="Y38" s="1372"/>
      <c r="Z38" s="1373"/>
    </row>
    <row r="39" spans="1:37" ht="13.5" thickBot="1">
      <c r="A39" s="2853"/>
      <c r="B39" s="2871" t="s">
        <v>2946</v>
      </c>
      <c r="C39" s="229" t="e">
        <f>ROUND(C5*C19*C20*C24*F39,0)</f>
        <v>#DIV/0!</v>
      </c>
      <c r="D39" s="2855"/>
      <c r="E39" s="229" t="e">
        <f t="shared" si="7"/>
        <v>#DIV/0!</v>
      </c>
      <c r="F39" s="934">
        <f>SUMIF(修正!A45:A56,G2,修正!H45:H56)</f>
        <v>0</v>
      </c>
      <c r="G39" s="229" t="e">
        <f t="shared" si="6"/>
        <v>#DIV/0!</v>
      </c>
      <c r="H39" s="229">
        <f t="shared" si="8"/>
        <v>0</v>
      </c>
      <c r="I39" s="229" t="e">
        <f t="shared" si="9"/>
        <v>#DIV/0!</v>
      </c>
      <c r="J39" s="2872"/>
      <c r="K39" s="1372"/>
      <c r="L39" s="2873" t="s">
        <v>2887</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2947</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2948</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2949</v>
      </c>
      <c r="B47" s="1811" t="s">
        <v>2950</v>
      </c>
      <c r="C47" s="1811" t="s">
        <v>2951</v>
      </c>
      <c r="D47" s="1811" t="s">
        <v>2952</v>
      </c>
      <c r="E47" s="818" t="s">
        <v>2953</v>
      </c>
      <c r="F47" s="2883" t="s">
        <v>2954</v>
      </c>
      <c r="G47" s="1811" t="s">
        <v>754</v>
      </c>
      <c r="H47" s="2884" t="s">
        <v>2955</v>
      </c>
      <c r="I47" s="1811" t="s">
        <v>2956</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2" t="s">
        <v>2957</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2958</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2959</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2960</v>
      </c>
      <c r="B51" s="2887" t="s">
        <v>2961</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2962</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2963</v>
      </c>
      <c r="B53" s="2888" t="s">
        <v>2964</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2965</v>
      </c>
      <c r="B54" s="1727"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2966</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2967</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2968</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2949</v>
      </c>
      <c r="B58" s="1811"/>
      <c r="C58" s="1811" t="s">
        <v>2951</v>
      </c>
      <c r="D58" s="1811" t="s">
        <v>2952</v>
      </c>
      <c r="E58" s="818" t="s">
        <v>2953</v>
      </c>
      <c r="F58" s="2883" t="s">
        <v>2969</v>
      </c>
      <c r="G58" s="1811" t="s">
        <v>754</v>
      </c>
      <c r="H58" s="2884" t="s">
        <v>2955</v>
      </c>
      <c r="I58" s="1811" t="s">
        <v>2956</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2" t="s">
        <v>2970</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2958</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2959</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2960</v>
      </c>
      <c r="B62" s="2887" t="s">
        <v>2961</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2962</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2963</v>
      </c>
      <c r="B64" s="2888" t="s">
        <v>2964</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2965</v>
      </c>
      <c r="B65" s="1727"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2966</v>
      </c>
      <c r="B66" s="1727"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2967</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2971</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2949</v>
      </c>
      <c r="B69" s="1811"/>
      <c r="C69" s="1811" t="s">
        <v>2951</v>
      </c>
      <c r="D69" s="1811" t="s">
        <v>2952</v>
      </c>
      <c r="E69" s="818" t="s">
        <v>2953</v>
      </c>
      <c r="F69" s="2883" t="s">
        <v>2969</v>
      </c>
      <c r="G69" s="1811" t="s">
        <v>754</v>
      </c>
      <c r="H69" s="2884" t="s">
        <v>2955</v>
      </c>
      <c r="I69" s="1811" t="s">
        <v>2956</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2" t="s">
        <v>2972</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2958</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2959</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2973</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2965</v>
      </c>
      <c r="B74" s="1727"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2966</v>
      </c>
      <c r="B75" s="1727"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2963</v>
      </c>
      <c r="B76" s="2888" t="s">
        <v>2964</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2967</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2974</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2975</v>
      </c>
      <c r="B79" s="2879">
        <f>1+E81</f>
        <v>1</v>
      </c>
      <c r="C79" s="813"/>
      <c r="D79" s="813"/>
      <c r="E79" s="814"/>
      <c r="F79" s="2881"/>
      <c r="G79" s="6"/>
      <c r="H79" s="6"/>
      <c r="I79" s="6"/>
      <c r="J79" s="7"/>
      <c r="K79" s="7"/>
      <c r="L79" s="7"/>
      <c r="M79" s="7"/>
      <c r="N79" s="7"/>
      <c r="Z79" s="2724"/>
      <c r="AA79" s="2800"/>
      <c r="AG79" s="1374"/>
      <c r="AK79" s="2800"/>
    </row>
    <row r="80" spans="1:37" ht="24.75">
      <c r="A80" s="2882" t="s">
        <v>2949</v>
      </c>
      <c r="B80" s="1811"/>
      <c r="C80" s="1811" t="s">
        <v>2951</v>
      </c>
      <c r="D80" s="1811" t="s">
        <v>2952</v>
      </c>
      <c r="E80" s="818" t="s">
        <v>2953</v>
      </c>
      <c r="F80" s="2883" t="s">
        <v>2969</v>
      </c>
      <c r="G80" s="1811" t="s">
        <v>754</v>
      </c>
      <c r="H80" s="2884" t="s">
        <v>2955</v>
      </c>
      <c r="I80" s="1811" t="s">
        <v>2956</v>
      </c>
      <c r="J80" s="603" t="s">
        <v>2602</v>
      </c>
      <c r="K80" s="603" t="s">
        <v>2603</v>
      </c>
      <c r="L80" s="603" t="s">
        <v>2604</v>
      </c>
      <c r="M80" s="603" t="s">
        <v>2605</v>
      </c>
      <c r="N80" s="603" t="s">
        <v>2606</v>
      </c>
      <c r="Z80" s="2724"/>
      <c r="AA80" s="2800"/>
      <c r="AG80" s="1374"/>
      <c r="AK80" s="2800"/>
    </row>
    <row r="81" spans="1:37" ht="38.25">
      <c r="A81" s="2882" t="s">
        <v>2976</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2958</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2959</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2973</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2965</v>
      </c>
      <c r="B85" s="1727"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2966</v>
      </c>
      <c r="B86" s="1727"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2963</v>
      </c>
      <c r="B87" s="2888" t="s">
        <v>2977</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2978</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305" t="s">
        <v>2979</v>
      </c>
      <c r="B90" s="3305"/>
      <c r="C90" s="3305"/>
      <c r="D90" s="3305"/>
      <c r="E90" s="3305"/>
      <c r="F90" s="3305"/>
      <c r="G90" s="3305"/>
      <c r="H90" s="3305"/>
      <c r="I90" s="3305"/>
      <c r="J90" s="3305"/>
      <c r="K90" s="2896"/>
      <c r="L90" s="2896"/>
      <c r="M90" s="2896"/>
      <c r="N90" s="2896"/>
    </row>
    <row r="91" spans="1:37">
      <c r="A91" s="3307" t="s">
        <v>2980</v>
      </c>
      <c r="B91" s="3307" t="s">
        <v>2981</v>
      </c>
      <c r="C91" s="2850" t="s">
        <v>2982</v>
      </c>
      <c r="D91" s="2851"/>
      <c r="E91" s="2851"/>
      <c r="F91" s="2851"/>
      <c r="G91" s="2851"/>
      <c r="H91" s="2851"/>
      <c r="I91" s="2851"/>
      <c r="J91" s="2897"/>
      <c r="K91" s="2898"/>
      <c r="L91" s="2898"/>
      <c r="M91" s="2898"/>
      <c r="N91" s="2898"/>
    </row>
    <row r="92" spans="1:37">
      <c r="A92" s="3307"/>
      <c r="B92" s="3307"/>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308" t="s">
        <v>2983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9"/>
      <c r="B99" s="2899" t="s">
        <v>2862</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8" t="s">
        <v>2984</v>
      </c>
      <c r="B101" s="2903" t="s">
        <v>2985</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09"/>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09"/>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09"/>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09"/>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09"/>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09"/>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09"/>
      <c r="B108" s="3165" t="s">
        <v>2986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0"/>
      <c r="B109" s="3166"/>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06" t="s">
        <v>2987</v>
      </c>
      <c r="B110" s="3306"/>
      <c r="C110" s="3306"/>
      <c r="D110" s="3306"/>
      <c r="E110" s="3306"/>
      <c r="F110" s="3306"/>
      <c r="G110" s="3306"/>
      <c r="H110" s="3306"/>
      <c r="I110" s="3306"/>
      <c r="J110" s="3306"/>
      <c r="K110" s="2905"/>
      <c r="L110" s="2905"/>
      <c r="M110" s="2905"/>
      <c r="N110" s="2905"/>
    </row>
    <row r="112" spans="1:14" ht="13.5" thickBot="1"/>
    <row r="113" spans="1:13" ht="25.5" thickBot="1">
      <c r="A113" s="902" t="s">
        <v>2988</v>
      </c>
      <c r="B113" s="1289" t="e">
        <f>G3</f>
        <v>#DIV/0!</v>
      </c>
      <c r="C113" s="903" t="s">
        <v>2989</v>
      </c>
      <c r="D113" s="904" t="e">
        <f>SUMPRODUCT((A115:A118=F113)*(B114:M114=H113)*B115:M118)</f>
        <v>#DIV/0!</v>
      </c>
      <c r="E113" s="2728" t="s">
        <v>2819</v>
      </c>
      <c r="F113" s="2907">
        <f>E2</f>
        <v>0</v>
      </c>
      <c r="G113" s="2728" t="s">
        <v>2820</v>
      </c>
      <c r="H113" s="2907">
        <f>G2</f>
        <v>0</v>
      </c>
      <c r="I113" s="2728"/>
      <c r="J113" s="2908"/>
      <c r="K113" s="2908"/>
      <c r="L113" s="2908"/>
      <c r="M113" s="2908"/>
    </row>
    <row r="114" spans="1:13">
      <c r="A114" s="907"/>
      <c r="B114" s="2909" t="s">
        <v>2990</v>
      </c>
      <c r="C114" s="2909" t="s">
        <v>2991</v>
      </c>
      <c r="D114" s="2909" t="s">
        <v>2992</v>
      </c>
      <c r="E114" s="2910" t="s">
        <v>2993</v>
      </c>
      <c r="F114" s="2910" t="s">
        <v>2994</v>
      </c>
      <c r="G114" s="2910" t="s">
        <v>2995</v>
      </c>
      <c r="H114" s="2911" t="s">
        <v>2996</v>
      </c>
      <c r="I114" s="2911" t="s">
        <v>2997</v>
      </c>
      <c r="J114" s="2912" t="s">
        <v>2998</v>
      </c>
      <c r="K114" s="2912" t="s">
        <v>2999</v>
      </c>
      <c r="L114" s="2912" t="s">
        <v>3000</v>
      </c>
      <c r="M114" s="2913"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6" priority="5" stopIfTrue="1" operator="notEqual">
      <formula>"——"</formula>
    </cfRule>
  </conditionalFormatting>
  <conditionalFormatting sqref="F59">
    <cfRule type="cellIs" dxfId="45" priority="4" stopIfTrue="1" operator="notEqual">
      <formula>"——"</formula>
    </cfRule>
  </conditionalFormatting>
  <conditionalFormatting sqref="F70">
    <cfRule type="cellIs" dxfId="44" priority="3" stopIfTrue="1" operator="notEqual">
      <formula>"——"</formula>
    </cfRule>
  </conditionalFormatting>
  <conditionalFormatting sqref="F81">
    <cfRule type="cellIs" dxfId="43" priority="2" stopIfTrue="1" operator="notEqual">
      <formula>"——"</formula>
    </cfRule>
  </conditionalFormatting>
  <conditionalFormatting sqref="H48:H56 H59:H67 H70:H78 H81:H88">
    <cfRule type="cellIs" dxfId="4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3010</v>
      </c>
    </row>
    <row r="2" spans="1:5" ht="15.75">
      <c r="A2" s="2914" t="s">
        <v>3002</v>
      </c>
      <c r="B2" s="2915" t="e">
        <f ca="1">SUMIF(B6:B13,"&lt;&gt;#ref!",B6:B13)</f>
        <v>#DIV/0!</v>
      </c>
      <c r="C2" s="2914" t="s">
        <v>3003</v>
      </c>
      <c r="D2" s="2914" t="s">
        <v>3004</v>
      </c>
      <c r="E2" s="2915" t="e">
        <f ca="1">SUM(E6:E13)</f>
        <v>#REF!</v>
      </c>
    </row>
    <row r="3" spans="1:5" ht="15.75">
      <c r="A3" s="2914" t="s">
        <v>3005</v>
      </c>
      <c r="B3" s="2915" t="e">
        <f ca="1">ROUND(B2*10000/E2,0)</f>
        <v>#DIV/0!</v>
      </c>
      <c r="C3" s="2914" t="s">
        <v>3011</v>
      </c>
      <c r="D3" s="2916"/>
      <c r="E3" s="2916"/>
    </row>
    <row r="4" spans="1:5" ht="15.75">
      <c r="A4" s="2917"/>
      <c r="B4" s="2916"/>
      <c r="C4" s="2916"/>
      <c r="D4" s="2916"/>
      <c r="E4" s="2916"/>
    </row>
    <row r="5" spans="1:5" ht="28.5">
      <c r="A5" s="2918" t="s">
        <v>3006</v>
      </c>
      <c r="B5" s="2914" t="s">
        <v>3007</v>
      </c>
      <c r="C5" s="2915"/>
      <c r="D5" s="2916"/>
      <c r="E5" s="2914" t="s">
        <v>3008</v>
      </c>
    </row>
    <row r="6" spans="1:5" ht="15.75">
      <c r="A6" s="2919" t="s">
        <v>3009</v>
      </c>
      <c r="B6" s="2915" t="e">
        <f ca="1">SUMIF(INDIRECT("'"&amp;A6&amp;"'"&amp;"!A:A"),"总价",INDIRECT("'"&amp;A6&amp;"'"&amp;"!B:B"))</f>
        <v>#DIV/0!</v>
      </c>
      <c r="C6" s="2914" t="s">
        <v>3003</v>
      </c>
      <c r="D6" s="2916"/>
      <c r="E6" s="2579">
        <f ca="1">SUMIF(INDIRECT("'"&amp;A6&amp;"'"&amp;"!C:C"),"建筑面积",INDIRECT("'"&amp;A6&amp;"'"&amp;"!D:D"))</f>
        <v>0</v>
      </c>
    </row>
    <row r="7" spans="1:5" ht="15.75">
      <c r="A7" s="2919"/>
      <c r="B7" s="2915" t="e">
        <f ca="1">SUMIF(INDIRECT("'"&amp;A7&amp;"'"&amp;"!A:A"),"总价",INDIRECT("'"&amp;A7&amp;"'"&amp;"!B:B"))</f>
        <v>#REF!</v>
      </c>
      <c r="C7" s="2914" t="s">
        <v>3003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3003</v>
      </c>
      <c r="D8" s="2916"/>
      <c r="E8" s="2579" t="e">
        <f t="shared" ca="1" si="0"/>
        <v>#REF!</v>
      </c>
    </row>
    <row r="9" spans="1:5" ht="15.75">
      <c r="A9" s="2919"/>
      <c r="B9" s="2915" t="e">
        <f t="shared" ca="1" si="1"/>
        <v>#REF!</v>
      </c>
      <c r="C9" s="2914" t="s">
        <v>3003</v>
      </c>
      <c r="D9" s="2916"/>
      <c r="E9" s="2579" t="e">
        <f t="shared" ca="1" si="0"/>
        <v>#REF!</v>
      </c>
    </row>
    <row r="10" spans="1:5" ht="15.75">
      <c r="A10" s="2919"/>
      <c r="B10" s="2915" t="e">
        <f t="shared" ca="1" si="1"/>
        <v>#REF!</v>
      </c>
      <c r="C10" s="2914" t="s">
        <v>3003</v>
      </c>
      <c r="D10" s="2916"/>
      <c r="E10" s="2579" t="e">
        <f t="shared" ca="1" si="0"/>
        <v>#REF!</v>
      </c>
    </row>
    <row r="11" spans="1:5" ht="15.75">
      <c r="A11" s="2919"/>
      <c r="B11" s="2915" t="e">
        <f t="shared" ca="1" si="1"/>
        <v>#REF!</v>
      </c>
      <c r="C11" s="2914" t="s">
        <v>3003</v>
      </c>
      <c r="D11" s="2916"/>
      <c r="E11" s="2579" t="e">
        <f t="shared" ca="1" si="0"/>
        <v>#REF!</v>
      </c>
    </row>
    <row r="12" spans="1:5" ht="15.75">
      <c r="A12" s="2919"/>
      <c r="B12" s="2915" t="e">
        <f t="shared" ca="1" si="1"/>
        <v>#REF!</v>
      </c>
      <c r="C12" s="2914" t="s">
        <v>3003</v>
      </c>
      <c r="D12" s="2916"/>
      <c r="E12" s="2579" t="e">
        <f t="shared" ca="1" si="0"/>
        <v>#REF!</v>
      </c>
    </row>
    <row r="13" spans="1:5" ht="15.75">
      <c r="A13" s="2919"/>
      <c r="B13" s="2915" t="e">
        <f t="shared" ca="1" si="1"/>
        <v>#REF!</v>
      </c>
      <c r="C13" s="2914" t="s">
        <v>3003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9" t="s">
        <v>1151</v>
      </c>
      <c r="H1" s="3319"/>
      <c r="I1" s="3319"/>
      <c r="J1" s="3319"/>
      <c r="K1" s="3319"/>
      <c r="L1" s="3319"/>
      <c r="N1" s="3319" t="s">
        <v>1152</v>
      </c>
      <c r="O1" s="3319"/>
      <c r="P1" s="3319"/>
      <c r="Q1" s="3319"/>
      <c r="R1" s="1448"/>
      <c r="S1" s="3319" t="s">
        <v>1153</v>
      </c>
      <c r="T1" s="3319"/>
      <c r="U1" s="3319"/>
      <c r="V1" s="3319"/>
      <c r="X1" s="3318" t="s">
        <v>1154</v>
      </c>
      <c r="Y1" s="3319"/>
      <c r="Z1" s="3319"/>
      <c r="AA1" s="3319"/>
      <c r="AB1" s="3319"/>
      <c r="AD1" s="3318" t="s">
        <v>1155</v>
      </c>
      <c r="AE1" s="3319"/>
      <c r="AF1" s="3319"/>
      <c r="AG1" s="3319"/>
      <c r="AH1" s="331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3046</v>
      </c>
      <c r="B3" s="2934"/>
      <c r="C3" s="2934"/>
      <c r="D3" s="2935"/>
      <c r="E3" s="2935"/>
      <c r="F3" s="2934"/>
      <c r="G3" s="2936"/>
      <c r="H3" s="2937"/>
      <c r="I3" s="2938">
        <f>ROUND(AVERAGE($I6:$I21),2)</f>
        <v>2.4500000000000002</v>
      </c>
      <c r="J3" s="2938">
        <f>ROUND(AVERAGE($J6:$J21),2)</f>
        <v>1.65</v>
      </c>
      <c r="K3" s="2938">
        <f>ROUND(AVERAGE($K6:$K21),2)</f>
        <v>2.71</v>
      </c>
      <c r="L3" s="2938">
        <f>ROUND(AVERAGE($L6:$L21),2)</f>
        <v>1.39</v>
      </c>
      <c r="N3" s="2936"/>
      <c r="O3" s="2939"/>
      <c r="P3" s="2939"/>
      <c r="Q3" s="2939"/>
      <c r="R3" s="2939"/>
      <c r="S3" s="2936"/>
      <c r="T3" s="2939"/>
      <c r="U3" s="2939"/>
      <c r="V3" s="2939"/>
      <c r="W3" s="2931"/>
      <c r="X3" s="2940">
        <f>ROUND(SUMPRODUCT(PRODUCT(1+N3:N$20)),4)</f>
        <v>1.4274</v>
      </c>
      <c r="Y3" s="2940">
        <f>ROUND(SUMPRODUCT(PRODUCT(1+O3:O$20)),4)</f>
        <v>1.2685</v>
      </c>
      <c r="Z3" s="2940">
        <f t="shared" ref="Z3:Z18" si="0">Y3</f>
        <v>1.2685</v>
      </c>
      <c r="AA3" s="2940">
        <f>ROUND(SUMPRODUCT(PRODUCT(1+P3:P$20)),4)</f>
        <v>1.4825999999999999</v>
      </c>
      <c r="AB3" s="2940">
        <f>ROUND(SUMPRODUCT(PRODUCT(1+Q3:Q$20)),4)</f>
        <v>1.2309000000000001</v>
      </c>
      <c r="AD3" s="2941">
        <f>ROUND(AVERAGE(I3:I$21)/100,4)</f>
        <v>2.3099999999999999E-2</v>
      </c>
      <c r="AE3" s="2941">
        <f>ROUND(AVERAGE(J3:J$21)/100,4)</f>
        <v>1.5599999999999999E-2</v>
      </c>
      <c r="AF3" s="2941">
        <f t="shared" ref="AF3:AF19" si="1">AE3</f>
        <v>1.5599999999999999E-2</v>
      </c>
      <c r="AG3" s="2941">
        <f>ROUND(AVERAGE(K3:K$21)/100,4)</f>
        <v>2.5600000000000001E-2</v>
      </c>
      <c r="AH3" s="2941">
        <f>ROUND(AVERAGE(L3:L$21)/100,4)</f>
        <v>1.32E-2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0">
        <v>2018</v>
      </c>
      <c r="H5" s="1732">
        <v>1</v>
      </c>
      <c r="I5" s="2928">
        <v>0</v>
      </c>
      <c r="J5" s="2928">
        <v>0</v>
      </c>
      <c r="K5" s="2928">
        <v>0</v>
      </c>
      <c r="L5" s="2928">
        <v>0</v>
      </c>
      <c r="N5" s="1469">
        <f t="shared" ref="N5:N10" si="7">I5/100</f>
        <v>0</v>
      </c>
      <c r="O5" s="1469">
        <f t="shared" ref="O5" si="8">J5/100</f>
        <v>0</v>
      </c>
      <c r="P5" s="1469">
        <f t="shared" ref="P5" si="9">K5/100</f>
        <v>0</v>
      </c>
      <c r="Q5" s="1469">
        <f t="shared" ref="Q5" si="10">L5/100</f>
        <v>0</v>
      </c>
      <c r="R5" s="1734"/>
      <c r="S5" s="1735"/>
      <c r="T5" s="1734"/>
      <c r="U5" s="1734"/>
      <c r="V5" s="1734"/>
      <c r="W5" s="2932" t="s">
        <v>3047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30">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6"/>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5"/>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6"/>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2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16"/>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16"/>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17"/>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15">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16"/>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16"/>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17"/>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15">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16"/>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16"/>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17"/>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2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2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2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2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15">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16"/>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16"/>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17"/>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15">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16">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16">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17">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15">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16">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16">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17">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15">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16">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16">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17">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15">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16">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16">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17">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15">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16">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16">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17">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15">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16">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16">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17">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15">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16">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16">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17">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15">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16">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16">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17">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15">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16">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16">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17">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15">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16">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16">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17">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3"/>
      <c r="B4" s="3006" t="s">
        <v>1631</v>
      </c>
      <c r="C4" s="3006"/>
      <c r="D4" s="3006"/>
      <c r="E4" s="1963"/>
    </row>
    <row r="5" spans="1:5" ht="16.5" thickTop="1">
      <c r="A5" s="1961"/>
      <c r="B5" s="3004" t="s">
        <v>1623</v>
      </c>
      <c r="C5" s="1964" t="s">
        <v>1624</v>
      </c>
      <c r="D5" s="1042">
        <f ca="1">结果表!H101</f>
        <v>24718</v>
      </c>
      <c r="E5" s="1961"/>
    </row>
    <row r="6" spans="1:5" ht="15.75">
      <c r="A6" s="1961"/>
      <c r="B6" s="3004"/>
      <c r="C6" s="1964" t="s">
        <v>1625</v>
      </c>
      <c r="D6" s="1042" t="str">
        <f ca="1">NUMBERSTRING(INT(D5*10000),2)&amp;"元整"</f>
        <v>贰亿肆仟柒佰壹拾捌万元整</v>
      </c>
      <c r="E6" s="1961"/>
    </row>
    <row r="7" spans="1:5" ht="15.75">
      <c r="A7" s="1961"/>
      <c r="B7" s="3009"/>
      <c r="C7" s="1965" t="s">
        <v>1626</v>
      </c>
      <c r="D7" s="1043">
        <f ca="1">结果表!H102</f>
        <v>44213</v>
      </c>
      <c r="E7" s="1961"/>
    </row>
    <row r="8" spans="1:5" ht="15.75">
      <c r="A8" s="1961"/>
      <c r="B8" s="3010" t="str">
        <f>结果表!E103</f>
        <v>2.估价师知悉的法定优先受偿款</v>
      </c>
      <c r="C8" s="1966" t="s">
        <v>1627</v>
      </c>
      <c r="D8" s="1043">
        <f>结果表!H103</f>
        <v>0</v>
      </c>
      <c r="E8" s="1961"/>
    </row>
    <row r="9" spans="1:5" ht="15.75">
      <c r="A9" s="1961"/>
      <c r="B9" s="3012"/>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3003" t="str">
        <f>结果表!E107</f>
        <v>3.房地产抵押价值</v>
      </c>
      <c r="C13" s="1969" t="s">
        <v>1624</v>
      </c>
      <c r="D13" s="1045">
        <f ca="1">结果表!H107</f>
        <v>24718</v>
      </c>
      <c r="E13" s="1961"/>
    </row>
    <row r="14" spans="1:5" ht="15.75">
      <c r="A14" s="1961"/>
      <c r="B14" s="3004"/>
      <c r="C14" s="1964" t="s">
        <v>1625</v>
      </c>
      <c r="D14" s="1042" t="str">
        <f ca="1">NUMBERSTRING(INT(D13*10000),2)&amp;"元整"</f>
        <v>贰亿肆仟柒佰壹拾捌万元整</v>
      </c>
      <c r="E14" s="1961"/>
    </row>
    <row r="15" spans="1:5" ht="15">
      <c r="A15" s="1961"/>
      <c r="B15" s="3009"/>
      <c r="C15" s="1965" t="s">
        <v>1635</v>
      </c>
      <c r="D15" s="1054">
        <f ca="1">结果表!H108</f>
        <v>36458</v>
      </c>
      <c r="E15" s="1961"/>
    </row>
    <row r="16" spans="1:5" ht="15">
      <c r="A16" s="1961"/>
      <c r="B16" s="3010" t="str">
        <f>结果表!E109</f>
        <v>——</v>
      </c>
      <c r="C16" s="1969" t="s">
        <v>1636</v>
      </c>
      <c r="D16" s="1970" t="str">
        <f>结果表!H109</f>
        <v>——</v>
      </c>
      <c r="E16" s="1961"/>
    </row>
    <row r="17" spans="1:5" ht="15.75">
      <c r="A17" s="1961"/>
      <c r="B17" s="3011"/>
      <c r="C17" s="1964" t="s">
        <v>1637</v>
      </c>
      <c r="D17" s="1042" t="e">
        <f>NUMBERSTRING(INT(D16*10000),2)&amp;"元整"</f>
        <v>#VALUE!</v>
      </c>
      <c r="E17" s="1961"/>
    </row>
    <row r="18" spans="1:5" ht="15">
      <c r="A18" s="1961"/>
      <c r="B18" s="3012"/>
      <c r="C18" s="1965" t="s">
        <v>1626</v>
      </c>
      <c r="D18" s="1054" t="str">
        <f>结果表!H110</f>
        <v>——</v>
      </c>
      <c r="E18" s="1961"/>
    </row>
    <row r="19" spans="1:5" ht="15.75">
      <c r="A19" s="1961"/>
      <c r="B19" s="3003" t="str">
        <f>结果表!E111</f>
        <v>——</v>
      </c>
      <c r="C19" s="1969" t="s">
        <v>1624</v>
      </c>
      <c r="D19" s="1043" t="str">
        <f>结果表!H111</f>
        <v>——</v>
      </c>
      <c r="E19" s="1961"/>
    </row>
    <row r="20" spans="1:5" ht="15.75">
      <c r="A20" s="1961"/>
      <c r="B20" s="3004"/>
      <c r="C20" s="1964" t="s">
        <v>1637</v>
      </c>
      <c r="D20" s="1042" t="e">
        <f>NUMBERSTRING(INT(D19*10000),2)&amp;"元整"</f>
        <v>#VALUE!</v>
      </c>
      <c r="E20" s="1961"/>
    </row>
    <row r="21" spans="1:5" ht="15.75" thickBot="1">
      <c r="A21" s="1961"/>
      <c r="B21" s="3005"/>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K49" sqref="K49"/>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1"/>
      <c r="C1" s="1839" t="s">
        <v>3113</v>
      </c>
      <c r="D1" s="1822" t="s">
        <v>70</v>
      </c>
      <c r="E1" s="1823" t="s">
        <v>1387</v>
      </c>
      <c r="F1" s="1285">
        <f ca="1">J53</f>
        <v>26.82</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1516</v>
      </c>
      <c r="B2" s="1846">
        <f ca="1">C40+J29+L46</f>
        <v>21606</v>
      </c>
      <c r="C2" s="1847" t="s">
        <v>1517</v>
      </c>
      <c r="D2" s="1847"/>
      <c r="E2" s="1848"/>
      <c r="F2" s="1849"/>
      <c r="G2" s="1850"/>
      <c r="H2" s="1842"/>
      <c r="I2" s="1842"/>
      <c r="J2" s="1842"/>
      <c r="K2" s="1843"/>
      <c r="L2" s="1842"/>
      <c r="M2" s="1842"/>
    </row>
    <row r="3" spans="1:37" ht="18" customHeight="1" thickBot="1">
      <c r="A3" s="1851" t="s">
        <v>1518</v>
      </c>
      <c r="B3" s="1852">
        <f ca="1">IF(ISERROR(B2*10000/F43),0,ROUND(B2*10000/F43,0))</f>
        <v>38647</v>
      </c>
      <c r="C3" s="1847" t="s">
        <v>1519</v>
      </c>
      <c r="D3" s="1847"/>
      <c r="E3" s="1848"/>
      <c r="F3" s="1849"/>
      <c r="G3" s="1850"/>
      <c r="H3" s="743"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438</v>
      </c>
      <c r="D5" s="1824" t="s">
        <v>1402</v>
      </c>
      <c r="E5" s="1295"/>
      <c r="F5" s="1296"/>
      <c r="G5" s="1853"/>
      <c r="H5" s="344">
        <v>1</v>
      </c>
      <c r="I5" s="345" t="s">
        <v>1401</v>
      </c>
      <c r="J5" s="1294">
        <f ca="1">J6+J10+J12</f>
        <v>1882</v>
      </c>
      <c r="K5" s="1824" t="s">
        <v>1402</v>
      </c>
      <c r="L5" s="1295"/>
      <c r="M5" s="1296"/>
    </row>
    <row r="6" spans="1:37" ht="18" customHeight="1">
      <c r="A6" s="1293" t="s">
        <v>1035</v>
      </c>
      <c r="B6" s="3195" t="s">
        <v>1403</v>
      </c>
      <c r="C6" s="1298">
        <f ca="1">ROUND(F6*F8*F7*(1-F9)/10000,0)</f>
        <v>437</v>
      </c>
      <c r="D6" s="164" t="s">
        <v>3038</v>
      </c>
      <c r="E6" s="347" t="s">
        <v>1405</v>
      </c>
      <c r="F6" s="348">
        <f ca="1">INDIRECT("'数据-取费表'!u"&amp;$G$1)</f>
        <v>2.38</v>
      </c>
      <c r="G6" s="1853"/>
      <c r="H6" s="1293" t="s">
        <v>1035</v>
      </c>
      <c r="I6" s="3195" t="s">
        <v>1403</v>
      </c>
      <c r="J6" s="346">
        <f ca="1">ROUND(M6*M8*M7*(1-M9)/10000,0)</f>
        <v>1877</v>
      </c>
      <c r="K6" s="164" t="s">
        <v>3037</v>
      </c>
      <c r="L6" s="347" t="s">
        <v>1405</v>
      </c>
      <c r="M6" s="348">
        <f ca="1">INDIRECT("'数据-取费表'!z"&amp;$G$1)</f>
        <v>10.220000000000001</v>
      </c>
    </row>
    <row r="7" spans="1:37" ht="18" customHeight="1">
      <c r="A7" s="1297"/>
      <c r="B7" s="3196"/>
      <c r="C7" s="1299"/>
      <c r="D7" s="352"/>
      <c r="E7" s="1300" t="s">
        <v>1406</v>
      </c>
      <c r="F7" s="348">
        <f ca="1">IF(INDIRECT("'数据-取费表'!ah"&amp;$G$1)="",INDIRECT("'数据-取费表'!k"&amp;$G$1),INDIRECT("'数据-取费表'!ah"&amp;$G$1))</f>
        <v>5590.66</v>
      </c>
      <c r="G7" s="1853"/>
      <c r="H7" s="349"/>
      <c r="I7" s="3196"/>
      <c r="J7" s="351"/>
      <c r="K7" s="352"/>
      <c r="L7" s="347" t="s">
        <v>1406</v>
      </c>
      <c r="M7" s="348">
        <f ca="1">F7</f>
        <v>5590.66</v>
      </c>
    </row>
    <row r="8" spans="1:37" ht="18" customHeight="1">
      <c r="A8" s="349"/>
      <c r="B8" s="3196"/>
      <c r="C8" s="351"/>
      <c r="D8" s="352"/>
      <c r="E8" s="347" t="s">
        <v>1407</v>
      </c>
      <c r="F8" s="348">
        <f ca="1">INDIRECT("'数据-取费表'!ai"&amp;$G$1)</f>
        <v>365</v>
      </c>
      <c r="G8" s="1853"/>
      <c r="H8" s="349"/>
      <c r="I8" s="3196"/>
      <c r="J8" s="351"/>
      <c r="K8" s="352"/>
      <c r="L8" s="347" t="s">
        <v>1407</v>
      </c>
      <c r="M8" s="348">
        <f ca="1">INDIRECT("'数据-取费表'!ai"&amp;$G$1)</f>
        <v>365</v>
      </c>
    </row>
    <row r="9" spans="1:37" ht="18" customHeight="1">
      <c r="A9" s="349"/>
      <c r="B9" s="3197"/>
      <c r="C9" s="351"/>
      <c r="D9" s="352"/>
      <c r="E9" s="347" t="s">
        <v>1408</v>
      </c>
      <c r="F9" s="357">
        <f ca="1">INDIRECT("'数据-取费表'!w"&amp;$G$1)</f>
        <v>0.1</v>
      </c>
      <c r="G9" s="1853"/>
      <c r="H9" s="349"/>
      <c r="I9" s="3197"/>
      <c r="J9" s="351"/>
      <c r="K9" s="352"/>
      <c r="L9" s="358" t="s">
        <v>1408</v>
      </c>
      <c r="M9" s="359">
        <f ca="1">INDIRECT("'数据-取费表'!ab"&amp;$G$1)</f>
        <v>0.1</v>
      </c>
    </row>
    <row r="10" spans="1:37" ht="18" customHeight="1">
      <c r="A10" s="1293" t="s">
        <v>1039</v>
      </c>
      <c r="B10" s="1825" t="s">
        <v>1409</v>
      </c>
      <c r="C10" s="361">
        <f ca="1">ROUND(IF(F10="押一",F6*F8*F7/12*F11,IF(F10="押二",F6*F8*F7/12*2*F11,IF(F10="押三",F6*F8*F7/12*3*F11,C11*F11)))/10000,0)</f>
        <v>1</v>
      </c>
      <c r="D10" s="1826" t="s">
        <v>3039</v>
      </c>
      <c r="E10" s="358" t="s">
        <v>1411</v>
      </c>
      <c r="F10" s="1368" t="s">
        <v>3080</v>
      </c>
      <c r="G10" s="1853"/>
      <c r="H10" s="1293" t="s">
        <v>1039</v>
      </c>
      <c r="I10" s="1825" t="s">
        <v>1409</v>
      </c>
      <c r="J10" s="346">
        <f ca="1">ROUND(IF(M10="押一",M6*M8*M7/12*M11,IF(M10="押二",M6*M8*M7/12*2*M11,IF(M10="押三",M6*M8*M7/12*3*M11,J11*M11)))/10000,0)</f>
        <v>5</v>
      </c>
      <c r="K10" s="1826" t="s">
        <v>3040</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7"/>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1900</v>
      </c>
      <c r="D13" s="1333" t="s">
        <v>1416</v>
      </c>
      <c r="E13" s="1333" t="s">
        <v>1417</v>
      </c>
      <c r="F13" s="1334">
        <f ca="1">INDIRECT("'数据-取费表'!y"&amp;$G$1)</f>
        <v>0.83</v>
      </c>
      <c r="G13" s="1853"/>
      <c r="H13" s="1331">
        <v>2</v>
      </c>
      <c r="I13" s="1332" t="s">
        <v>1415</v>
      </c>
      <c r="J13" s="1292">
        <f ca="1">ROUND(J14*J15,0)</f>
        <v>1648</v>
      </c>
      <c r="K13" s="1339" t="s">
        <v>1416</v>
      </c>
      <c r="L13" s="1854"/>
      <c r="M13" s="1855"/>
    </row>
    <row r="14" spans="1:37" ht="18" customHeight="1">
      <c r="A14" s="1203" t="s">
        <v>1034</v>
      </c>
      <c r="B14" s="347" t="s">
        <v>1418</v>
      </c>
      <c r="C14" s="363">
        <f ca="1">INDIRECT("'数据-取费表'!m"&amp;$G$1)+INDIRECT("'数据-取费表'!t"&amp;$G$1)</f>
        <v>1454</v>
      </c>
      <c r="D14" s="1802" t="s">
        <v>1419</v>
      </c>
      <c r="E14" s="1796"/>
      <c r="F14" s="364"/>
      <c r="G14" s="1853"/>
      <c r="H14" s="1203" t="s">
        <v>1035</v>
      </c>
      <c r="I14" s="347" t="s">
        <v>1420</v>
      </c>
      <c r="J14" s="24">
        <f ca="1">C29</f>
        <v>2289</v>
      </c>
      <c r="K14" s="15"/>
      <c r="L14" s="981"/>
      <c r="M14" s="982"/>
    </row>
    <row r="15" spans="1:37" s="1860" customFormat="1" ht="18" customHeight="1" thickBot="1">
      <c r="A15" s="1203" t="s">
        <v>1036</v>
      </c>
      <c r="B15" s="347" t="s">
        <v>1421</v>
      </c>
      <c r="C15" s="24">
        <f ca="1">ROUND(C14*F15,0)</f>
        <v>44</v>
      </c>
      <c r="D15" s="365" t="s">
        <v>1422</v>
      </c>
      <c r="E15" s="365" t="s">
        <v>1423</v>
      </c>
      <c r="F15" s="366">
        <f>'数据-取费表'!B33</f>
        <v>0.03</v>
      </c>
      <c r="G15" s="1856"/>
      <c r="H15" s="1341" t="s">
        <v>1039</v>
      </c>
      <c r="I15" s="1342" t="s">
        <v>1417</v>
      </c>
      <c r="J15" s="1351">
        <f ca="1">INDIRECT("'数据-取费表'!ad"&amp;$G$1)</f>
        <v>0.72</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173</v>
      </c>
      <c r="K16" s="1339" t="s">
        <v>1426</v>
      </c>
      <c r="L16" s="1340"/>
      <c r="M16" s="1296"/>
    </row>
    <row r="17" spans="1:37" s="1860" customFormat="1" ht="18" customHeight="1">
      <c r="A17" s="1203" t="s">
        <v>1390</v>
      </c>
      <c r="B17" s="347" t="s">
        <v>1427</v>
      </c>
      <c r="C17" s="24">
        <f ca="1">ROUND(F17*(F43+INDIRECT("'数据-取费表'!S"&amp;$G$1))/10000,0)</f>
        <v>112</v>
      </c>
      <c r="D17" s="347" t="s">
        <v>1428</v>
      </c>
      <c r="E17" s="347" t="s">
        <v>1429</v>
      </c>
      <c r="F17" s="26">
        <f>'数据-取费表'!B35</f>
        <v>200</v>
      </c>
      <c r="G17" s="1856"/>
      <c r="H17" s="1203" t="s">
        <v>1035</v>
      </c>
      <c r="I17" s="347" t="s">
        <v>1430</v>
      </c>
      <c r="J17" s="24">
        <f ca="1">ROUND(IF(项目基本情况!B11="自然人",J5*M17,J18+J19+J20),1)</f>
        <v>117.8</v>
      </c>
      <c r="K17" s="1802" t="s">
        <v>1431</v>
      </c>
      <c r="L17" s="1800" t="s">
        <v>1432</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22</v>
      </c>
      <c r="D18" s="347" t="s">
        <v>1422</v>
      </c>
      <c r="E18" s="347" t="s">
        <v>1423</v>
      </c>
      <c r="F18" s="367">
        <f>'数据-取费表'!B36</f>
        <v>1.4999999999999999E-2</v>
      </c>
      <c r="G18" s="1856"/>
      <c r="H18" s="1203" t="s">
        <v>1034</v>
      </c>
      <c r="I18" s="347" t="s">
        <v>1434</v>
      </c>
      <c r="J18" s="24">
        <f ca="1">ROUND(J5*M18/(1+'数据-取费表'!C42),2)</f>
        <v>98.58</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1632</v>
      </c>
      <c r="D19" s="140" t="s">
        <v>1437</v>
      </c>
      <c r="E19" s="1820"/>
      <c r="F19" s="26"/>
      <c r="G19" s="1853"/>
      <c r="H19" s="1203" t="s">
        <v>1036</v>
      </c>
      <c r="I19" s="347" t="s">
        <v>1438</v>
      </c>
      <c r="J19" s="24">
        <f ca="1">IF(K19="按租金收入计税",ROUND(J5*M19,2),ROUND(C29*M19*0.7,2))</f>
        <v>19.23</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16</v>
      </c>
      <c r="D20" s="369" t="s">
        <v>1441</v>
      </c>
      <c r="E20" s="347" t="s">
        <v>1423</v>
      </c>
      <c r="F20" s="367">
        <f>'数据-取费表'!B37</f>
        <v>0.01</v>
      </c>
      <c r="G20" s="1856"/>
      <c r="H20" s="1203" t="s">
        <v>1389</v>
      </c>
      <c r="I20" s="164" t="s">
        <v>1442</v>
      </c>
      <c r="J20" s="25">
        <f ca="1">ROUND(M20*M21/10000,2)</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0"/>
      <c r="F22" s="26"/>
      <c r="G22" s="1853"/>
      <c r="H22" s="1203" t="s">
        <v>1039</v>
      </c>
      <c r="I22" s="347" t="s">
        <v>1450</v>
      </c>
      <c r="J22" s="24">
        <f ca="1">ROUND(J14*M22,1)</f>
        <v>34.299999999999997</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79</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2.5</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18.8</v>
      </c>
      <c r="K24" s="1344" t="s">
        <v>1460</v>
      </c>
      <c r="L24" s="1342" t="s">
        <v>1456</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1709</v>
      </c>
      <c r="K25" s="1347" t="s">
        <v>1465</v>
      </c>
      <c r="L25" s="1348"/>
      <c r="M25" s="1349"/>
    </row>
    <row r="26" spans="1:37">
      <c r="A26" s="1203" t="s">
        <v>1034</v>
      </c>
      <c r="B26" s="347" t="s">
        <v>1466</v>
      </c>
      <c r="C26" s="24">
        <f ca="1">ROUND((C19+C20)*F26,0)</f>
        <v>412</v>
      </c>
      <c r="D26" s="369" t="s">
        <v>1467</v>
      </c>
      <c r="E26" s="358" t="s">
        <v>1468</v>
      </c>
      <c r="F26" s="357">
        <f ca="1">INDIRECT("'数据-取费表'!q"&amp;$G$1)</f>
        <v>0.25</v>
      </c>
      <c r="G26" s="1853"/>
      <c r="H26" s="344" t="s">
        <v>1032</v>
      </c>
      <c r="I26" s="345" t="s">
        <v>1469</v>
      </c>
      <c r="J26" s="346">
        <f ca="1">IF(J5&lt;&gt;0,ROUND(J25*(1-((1+M28)/(1+M26))^M27)/(M26-M28),0),0)</f>
        <v>27273</v>
      </c>
      <c r="K26" s="370" t="s">
        <v>1470</v>
      </c>
      <c r="L26" s="347" t="s">
        <v>1471</v>
      </c>
      <c r="M26" s="357">
        <f ca="1">INDIRECT("'数据-取费表'!I"&amp;$G$1)</f>
        <v>0.05</v>
      </c>
    </row>
    <row r="27" spans="1:37" ht="18" customHeight="1">
      <c r="A27" s="1203" t="s">
        <v>1036</v>
      </c>
      <c r="B27" s="347" t="s">
        <v>1472</v>
      </c>
      <c r="C27" s="24">
        <f ca="1">ROUND(F21*F26,4)</f>
        <v>2.5000000000000001E-3</v>
      </c>
      <c r="D27" s="369" t="s">
        <v>1473</v>
      </c>
      <c r="E27" s="365"/>
      <c r="F27" s="366"/>
      <c r="G27" s="1853"/>
      <c r="H27" s="349"/>
      <c r="I27" s="350"/>
      <c r="J27" s="351"/>
      <c r="K27" s="378" t="s">
        <v>1474</v>
      </c>
      <c r="L27" s="347" t="s">
        <v>1475</v>
      </c>
      <c r="M27" s="379">
        <f ca="1">INDIRECT("'数据-取费表'!ag"&amp;$G$1)</f>
        <v>19.990000000000002</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2289</v>
      </c>
      <c r="D29" s="1344"/>
      <c r="E29" s="1342"/>
      <c r="F29" s="1345"/>
      <c r="G29" s="1856"/>
      <c r="H29" s="380" t="s">
        <v>1033</v>
      </c>
      <c r="I29" s="381" t="s">
        <v>1480</v>
      </c>
      <c r="J29" s="382">
        <f ca="1">ROUND(J26/(1+F40)^F41,0)</f>
        <v>19544</v>
      </c>
      <c r="K29" s="383" t="s">
        <v>1481</v>
      </c>
      <c r="L29" s="384"/>
      <c r="M29" s="385">
        <f ca="1">INDIRECT("'数据-取费表'!k"&amp;$G$1)</f>
        <v>5590.66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84</v>
      </c>
      <c r="D30" s="1339" t="s">
        <v>1426</v>
      </c>
      <c r="E30" s="1340"/>
      <c r="F30" s="1296"/>
      <c r="G30" s="1853"/>
      <c r="H30" s="744"/>
      <c r="I30" s="745"/>
      <c r="J30" s="746"/>
      <c r="K30" s="747"/>
      <c r="L30" s="748"/>
      <c r="M30" s="749"/>
    </row>
    <row r="31" spans="1:37" ht="18" customHeight="1">
      <c r="A31" s="1203" t="s">
        <v>1035</v>
      </c>
      <c r="B31" s="347" t="s">
        <v>1430</v>
      </c>
      <c r="C31" s="24">
        <f ca="1">ROUND(IF(项目基本情况!B11="自然人",C5*F31,C32+C33+C34),1)</f>
        <v>42.2</v>
      </c>
      <c r="D31" s="1802" t="s">
        <v>1431</v>
      </c>
      <c r="E31" s="1800" t="s">
        <v>1482</v>
      </c>
      <c r="F31" s="368">
        <f ca="1">IF(项目基本情况!B11="企业","",IF(INDIRECT("'数据-取费表'!c"&amp;$G$1)="住宅",5%,IF(F6*F7*F8/12/(1+'数据-取费表'!C42)&gt;20000,12%,7%)))</f>
        <v>0.12</v>
      </c>
      <c r="G31" s="1853"/>
      <c r="H31" s="744"/>
      <c r="I31" s="745"/>
      <c r="J31" s="746"/>
      <c r="K31" s="747"/>
      <c r="L31" s="748"/>
      <c r="M31" s="749"/>
    </row>
    <row r="32" spans="1:37" ht="18" customHeight="1">
      <c r="A32" s="1203" t="s">
        <v>1034</v>
      </c>
      <c r="B32" s="347" t="s">
        <v>1434</v>
      </c>
      <c r="C32" s="24">
        <f ca="1">IF(项目基本情况!B11="自然人","——",ROUND(C5*F32/(1+'数据-取费表'!C42),2))</f>
        <v>22.94</v>
      </c>
      <c r="D32" s="1800" t="s">
        <v>1435</v>
      </c>
      <c r="E32" s="347" t="s">
        <v>1423</v>
      </c>
      <c r="F32" s="377">
        <f>'数据-取费表'!B41</f>
        <v>5.5000000000000007E-2</v>
      </c>
      <c r="G32" s="1853"/>
      <c r="H32" s="744"/>
      <c r="I32" s="745"/>
      <c r="J32" s="746"/>
      <c r="K32" s="747"/>
      <c r="L32" s="748"/>
      <c r="M32" s="749"/>
    </row>
    <row r="33" spans="1:18" ht="18" customHeight="1">
      <c r="A33" s="1203" t="s">
        <v>1036</v>
      </c>
      <c r="B33" s="347" t="s">
        <v>1438</v>
      </c>
      <c r="C33" s="24">
        <f ca="1">IF(项目基本情况!B11="自然人","——",IF(D33="按租金收入计税",ROUND(C5*F33,2),IF(D33="按房产原值计税",ROUND(C29*F33*0.7,2),INDIRECT("'数据-取费表'!Aj"&amp;$G$1))))</f>
        <v>19.23</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1.5</v>
      </c>
      <c r="G34" s="1853"/>
      <c r="H34" s="744"/>
      <c r="I34" s="1862"/>
      <c r="J34" s="1863"/>
      <c r="K34" s="1865"/>
      <c r="L34" s="1866"/>
      <c r="M34" s="1866"/>
    </row>
    <row r="35" spans="1:18" ht="18" customHeight="1">
      <c r="A35" s="1355"/>
      <c r="B35" s="1353"/>
      <c r="C35" s="29"/>
      <c r="D35" s="373"/>
      <c r="E35" s="347" t="s">
        <v>1448</v>
      </c>
      <c r="F35" s="348">
        <f ca="1">INDIRECT("'数据-取费表'!r"&amp;$G$1)</f>
        <v>0</v>
      </c>
      <c r="G35" s="1853"/>
      <c r="H35" s="744"/>
      <c r="I35" s="1862"/>
      <c r="J35" s="1863"/>
      <c r="K35" s="1864"/>
      <c r="L35" s="1861"/>
      <c r="M35" s="1861"/>
    </row>
    <row r="36" spans="1:18" ht="18" customHeight="1">
      <c r="A36" s="1354" t="s">
        <v>1039</v>
      </c>
      <c r="B36" s="347" t="s">
        <v>1450</v>
      </c>
      <c r="C36" s="24">
        <f ca="1">ROUND(C29*F36,1)</f>
        <v>34.299999999999997</v>
      </c>
      <c r="D36" s="1800" t="s">
        <v>1483</v>
      </c>
      <c r="E36" s="347" t="s">
        <v>1423</v>
      </c>
      <c r="F36" s="374">
        <f ca="1">INDIRECT("'数据-取费表'!Ak"&amp;$G$1)</f>
        <v>1.4999999999999999E-2</v>
      </c>
      <c r="G36" s="1853"/>
      <c r="H36" s="1861"/>
      <c r="I36" s="1862"/>
      <c r="J36" s="1863"/>
      <c r="K36" s="750"/>
      <c r="L36" s="1861"/>
      <c r="M36" s="1861"/>
    </row>
    <row r="37" spans="1:18" ht="18" customHeight="1">
      <c r="A37" s="1203" t="s">
        <v>1075</v>
      </c>
      <c r="B37" s="347" t="s">
        <v>1454</v>
      </c>
      <c r="C37" s="24">
        <f ca="1">ROUND(C13*F37,1)</f>
        <v>2.9</v>
      </c>
      <c r="D37" s="1800" t="s">
        <v>1455</v>
      </c>
      <c r="E37" s="347" t="s">
        <v>1456</v>
      </c>
      <c r="F37" s="376">
        <f ca="1">INDIRECT("'数据-取费表'!Al"&amp;$G$1)</f>
        <v>1.5E-3</v>
      </c>
      <c r="G37" s="1853"/>
      <c r="H37" s="1861"/>
      <c r="I37" s="1862"/>
      <c r="J37" s="1863"/>
      <c r="K37" s="750"/>
      <c r="L37" s="1861"/>
      <c r="M37" s="1861"/>
    </row>
    <row r="38" spans="1:18" ht="18" customHeight="1" thickBot="1">
      <c r="A38" s="1341" t="s">
        <v>1393</v>
      </c>
      <c r="B38" s="1342" t="s">
        <v>1440</v>
      </c>
      <c r="C38" s="1343">
        <f ca="1">ROUND(C5*F38,1)</f>
        <v>4.4000000000000004</v>
      </c>
      <c r="D38" s="1344" t="s">
        <v>1460</v>
      </c>
      <c r="E38" s="1342" t="s">
        <v>1456</v>
      </c>
      <c r="F38" s="1338">
        <f ca="1">INDIRECT("'数据-取费表'!Am"&amp;$G$1)</f>
        <v>0.01</v>
      </c>
      <c r="G38" s="1853"/>
      <c r="H38" s="1861"/>
      <c r="I38" s="1862"/>
      <c r="J38" s="1863"/>
      <c r="K38" s="1867"/>
      <c r="L38" s="1861"/>
      <c r="M38" s="1861"/>
    </row>
    <row r="39" spans="1:18" ht="24.6" customHeight="1" thickTop="1">
      <c r="A39" s="1331" t="s">
        <v>1031</v>
      </c>
      <c r="B39" s="1346" t="s">
        <v>1484</v>
      </c>
      <c r="C39" s="355">
        <f ca="1">C5-C30</f>
        <v>354</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2062</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6.83</v>
      </c>
      <c r="G41" s="1853"/>
      <c r="H41" s="731"/>
      <c r="I41" s="1862"/>
      <c r="J41" s="1863"/>
      <c r="K41" s="750"/>
      <c r="L41" s="731"/>
      <c r="M41" s="731"/>
    </row>
    <row r="42" spans="1:18" ht="18" customHeight="1">
      <c r="A42" s="353"/>
      <c r="B42" s="354"/>
      <c r="C42" s="355"/>
      <c r="D42" s="373"/>
      <c r="E42" s="347" t="s">
        <v>1478</v>
      </c>
      <c r="F42" s="357">
        <f ca="1">INDIRECT("'数据-取费表'!v"&amp;$G$1)</f>
        <v>0.01</v>
      </c>
      <c r="G42" s="1853"/>
      <c r="H42" s="731"/>
      <c r="I42" s="1862"/>
      <c r="J42" s="1863"/>
      <c r="K42" s="750"/>
      <c r="L42" s="731"/>
      <c r="M42" s="731"/>
    </row>
    <row r="43" spans="1:18" ht="18" customHeight="1" thickBot="1">
      <c r="A43" s="380" t="s">
        <v>1033</v>
      </c>
      <c r="B43" s="381" t="s">
        <v>1488</v>
      </c>
      <c r="C43" s="382">
        <f ca="1">ROUND(C40*10000/F43,0)</f>
        <v>3688</v>
      </c>
      <c r="D43" s="383" t="s">
        <v>1489</v>
      </c>
      <c r="E43" s="384" t="s">
        <v>1490</v>
      </c>
      <c r="F43" s="385">
        <f ca="1">INDIRECT("'数据-取费表'!k"&amp;$G$1)</f>
        <v>5590.66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1520</v>
      </c>
      <c r="P45" s="1841"/>
      <c r="Q45" s="1841"/>
      <c r="R45" s="1841"/>
    </row>
    <row r="46" spans="1:18" s="1844" customFormat="1" ht="13.5" thickBot="1">
      <c r="A46" s="1872" t="s">
        <v>1521</v>
      </c>
      <c r="C46" s="1873">
        <f ca="1">C68-C40</f>
        <v>6456</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1"/>
      <c r="I47" s="1882" t="s">
        <v>1527</v>
      </c>
      <c r="J47" s="1883" t="s">
        <v>3077</v>
      </c>
      <c r="K47" s="1884" t="s">
        <v>1528</v>
      </c>
      <c r="L47" s="1885">
        <f ca="1">INDIRECT("'数据-取费表'!d"&amp;$G$1)</f>
        <v>40</v>
      </c>
      <c r="M47" s="1840" t="str">
        <f>IF(ISNUMBER(FIND("住宅",C1)),"住宅","非住宅")</f>
        <v>非住宅</v>
      </c>
      <c r="O47" s="1886" t="s">
        <v>1040</v>
      </c>
      <c r="P47" s="1887" t="s">
        <v>1529</v>
      </c>
      <c r="Q47" s="1888">
        <f ca="1">C40+J29</f>
        <v>21606</v>
      </c>
      <c r="R47" s="1888" t="s">
        <v>1530</v>
      </c>
    </row>
    <row r="48" spans="1:18" s="1844" customFormat="1" ht="28.5" thickBot="1">
      <c r="A48" s="1362" t="s">
        <v>1135</v>
      </c>
      <c r="B48" s="345" t="s">
        <v>1401</v>
      </c>
      <c r="C48" s="1819">
        <f ca="1">C49+C53+C55</f>
        <v>1536</v>
      </c>
      <c r="D48" s="1364"/>
      <c r="E48" s="1365"/>
      <c r="F48" s="1183"/>
      <c r="G48" s="791"/>
      <c r="H48" s="792"/>
      <c r="I48" s="1889" t="s">
        <v>1531</v>
      </c>
      <c r="J48" s="1890" t="s">
        <v>3078</v>
      </c>
      <c r="K48" s="1891" t="s">
        <v>1532</v>
      </c>
      <c r="L48" s="1892">
        <f ca="1">INDIRECT("'数据-取费表'!f"&amp;$G$1)</f>
        <v>26.82</v>
      </c>
      <c r="O48" s="1886" t="s">
        <v>1041</v>
      </c>
      <c r="P48" s="1887" t="s">
        <v>1533</v>
      </c>
      <c r="Q48" s="1888" t="str">
        <f ca="1">J60</f>
        <v>0</v>
      </c>
      <c r="R48" s="1888" t="s">
        <v>1534</v>
      </c>
    </row>
    <row r="49" spans="1:18" s="1844" customFormat="1" ht="13.5" thickBot="1">
      <c r="A49" s="1196" t="s">
        <v>1136</v>
      </c>
      <c r="B49" s="1831" t="s">
        <v>1491</v>
      </c>
      <c r="C49" s="1366">
        <f ca="1">ROUND(F49*F51*F50*(1-F52)/10000,0)</f>
        <v>1534</v>
      </c>
      <c r="D49" s="1278" t="s">
        <v>3041</v>
      </c>
      <c r="E49" s="1832" t="s">
        <v>1492</v>
      </c>
      <c r="F49" s="1283">
        <f>'数据-取费表'!Z21</f>
        <v>8.3500000000000014</v>
      </c>
      <c r="G49" s="1893"/>
      <c r="H49" s="792"/>
      <c r="I49" s="1889" t="s">
        <v>1535</v>
      </c>
      <c r="J49" s="1894">
        <v>2008</v>
      </c>
      <c r="K49" s="1891" t="s">
        <v>1536</v>
      </c>
      <c r="L49" s="1895"/>
      <c r="O49" s="1896" t="s">
        <v>1042</v>
      </c>
      <c r="P49" s="1887" t="s">
        <v>1537</v>
      </c>
      <c r="Q49" s="1888">
        <f ca="1">C29</f>
        <v>2289</v>
      </c>
      <c r="R49" s="1888" t="s">
        <v>1530</v>
      </c>
    </row>
    <row r="50" spans="1:18" s="1844" customFormat="1" ht="13.5" thickBot="1">
      <c r="A50" s="1197"/>
      <c r="B50" s="1200"/>
      <c r="C50" s="1370"/>
      <c r="D50" s="1174"/>
      <c r="E50" s="1279" t="s">
        <v>1406</v>
      </c>
      <c r="F50" s="1280">
        <f ca="1">F7</f>
        <v>5590.66</v>
      </c>
      <c r="H50" s="792"/>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50</v>
      </c>
      <c r="K51" s="1902" t="s">
        <v>1542</v>
      </c>
      <c r="L51" s="1903">
        <f ca="1">ROUND(-PV(INDIRECT("'数据-取费表'!h"&amp;$G$1),L48,(C39-C13*C76),0),0)</f>
        <v>3110</v>
      </c>
      <c r="M51" s="1904"/>
      <c r="O51" s="1896" t="s">
        <v>1044</v>
      </c>
      <c r="P51" s="1887" t="s">
        <v>1543</v>
      </c>
      <c r="Q51" s="1899">
        <f>J52</f>
        <v>8.5000000000000006E-2</v>
      </c>
      <c r="R51" s="1888"/>
    </row>
    <row r="52" spans="1:18" s="1844" customFormat="1" ht="13.5" thickBot="1">
      <c r="A52" s="1198"/>
      <c r="B52" s="1200"/>
      <c r="C52" s="1201"/>
      <c r="D52" s="1174"/>
      <c r="E52" s="1202" t="s">
        <v>1408</v>
      </c>
      <c r="F52" s="1277">
        <v>0.1</v>
      </c>
      <c r="I52" s="1905" t="s">
        <v>1544</v>
      </c>
      <c r="J52" s="1906">
        <v>8.5000000000000006E-2</v>
      </c>
      <c r="K52" s="1905" t="s">
        <v>1545</v>
      </c>
      <c r="L52" s="1906"/>
      <c r="O52" s="1896" t="s">
        <v>1045</v>
      </c>
      <c r="P52" s="1887" t="s">
        <v>1546</v>
      </c>
      <c r="Q52" s="1888">
        <f ca="1">J53</f>
        <v>26.82</v>
      </c>
      <c r="R52" s="1888" t="s">
        <v>1547</v>
      </c>
    </row>
    <row r="53" spans="1:18" s="1844" customFormat="1" ht="24.75" thickBot="1">
      <c r="A53" s="1407" t="s">
        <v>1137</v>
      </c>
      <c r="B53" s="1833" t="s">
        <v>1409</v>
      </c>
      <c r="C53" s="361">
        <f ca="1">ROUND(IF(F53="押一",F49*F51*F50/12*F11,IF(F53="押二",F49*F51*F50/12*2*F11,IF(F53="押三",F49*F51*F50/12*3*F11,C54*F11)))/10000,0)</f>
        <v>2</v>
      </c>
      <c r="D53" s="1826" t="s">
        <v>3039</v>
      </c>
      <c r="E53" s="358" t="s">
        <v>1411</v>
      </c>
      <c r="F53" s="1368" t="s">
        <v>3080</v>
      </c>
      <c r="I53" s="1907" t="s">
        <v>1548</v>
      </c>
      <c r="J53" s="1908">
        <f ca="1">IF(M47="住宅",J51,IF(D1="——",MIN(J51,L48),IF(D1="在建（套用方法）",MIN(J51,L48-'数据-取费表'!B24),IF(D1="土地（套用方法）",MIN(J51,L48-'数据-取费表'!B20)))))</f>
        <v>26.82</v>
      </c>
      <c r="K53" s="3198" t="s">
        <v>1549</v>
      </c>
      <c r="L53" s="3199"/>
      <c r="O53" s="1886" t="s">
        <v>1046</v>
      </c>
      <c r="P53" s="1887" t="s">
        <v>1550</v>
      </c>
      <c r="Q53" s="1888">
        <f ca="1">Q47+Q48</f>
        <v>21606</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1900</v>
      </c>
      <c r="D56" s="1916"/>
      <c r="E56" s="1917"/>
      <c r="F56" s="1909"/>
      <c r="I56" s="1918" t="s">
        <v>1555</v>
      </c>
      <c r="J56" s="1919" t="s">
        <v>3069</v>
      </c>
      <c r="K56" s="1889" t="s">
        <v>1556</v>
      </c>
      <c r="L56" s="1892" t="str">
        <f ca="1">IF(L48&lt;J51,"——",L48-J53)</f>
        <v>——</v>
      </c>
      <c r="O56" s="1886" t="s">
        <v>1040</v>
      </c>
      <c r="P56" s="1887" t="s">
        <v>1529</v>
      </c>
      <c r="Q56" s="1888">
        <f ca="1">C40+J29</f>
        <v>21606</v>
      </c>
      <c r="R56" s="1888" t="s">
        <v>1530</v>
      </c>
    </row>
    <row r="57" spans="1:18" s="1844" customFormat="1" ht="24.75" thickBot="1">
      <c r="A57" s="1920"/>
      <c r="B57" s="1171" t="s">
        <v>1479</v>
      </c>
      <c r="C57" s="282">
        <f ca="1">C29</f>
        <v>2289</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152</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99.7</v>
      </c>
      <c r="D59" s="1184" t="s">
        <v>1431</v>
      </c>
      <c r="E59" s="1185" t="s">
        <v>1432</v>
      </c>
      <c r="F59" s="368">
        <f ca="1">IF(项目基本情况!B11="企业","",IF(INDIRECT("'数据-取费表'!c"&amp;$G$1)="住宅",5%,IF(F49*F50*F51/12/(1+'数据-取费表'!C42)&gt;20000,12%,7%)))</f>
        <v>0.12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80.459999999999994</v>
      </c>
      <c r="D60" s="1185" t="s">
        <v>1435</v>
      </c>
      <c r="E60" s="1171"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19.23</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1.5</v>
      </c>
      <c r="I62" s="1931" t="s">
        <v>1571</v>
      </c>
      <c r="J62" s="1932" t="s">
        <v>1572</v>
      </c>
      <c r="K62" s="1932" t="s">
        <v>1573</v>
      </c>
      <c r="L62" s="1932" t="s">
        <v>1574</v>
      </c>
      <c r="M62" s="1933" t="s">
        <v>1575</v>
      </c>
      <c r="O62" s="1886" t="s">
        <v>1046</v>
      </c>
      <c r="P62" s="1887" t="s">
        <v>1576</v>
      </c>
      <c r="Q62" s="1888">
        <f ca="1">Q56+Q57</f>
        <v>21606</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34.299999999999997</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2.9</v>
      </c>
      <c r="D65" s="1185" t="s">
        <v>1455</v>
      </c>
      <c r="E65" s="1171" t="s">
        <v>1456</v>
      </c>
      <c r="F65" s="376">
        <f t="shared" ca="1" si="0"/>
        <v>1.5E-3</v>
      </c>
      <c r="I65" s="1931" t="s">
        <v>1580</v>
      </c>
      <c r="J65" s="1932">
        <v>40</v>
      </c>
      <c r="K65" s="1932">
        <v>30</v>
      </c>
      <c r="L65" s="1932">
        <v>50</v>
      </c>
      <c r="M65" s="1934">
        <v>0.02</v>
      </c>
      <c r="O65" s="1886" t="s">
        <v>1040</v>
      </c>
      <c r="P65" s="1887" t="s">
        <v>1581</v>
      </c>
      <c r="Q65" s="1888">
        <f ca="1">C40+J29</f>
        <v>21606</v>
      </c>
      <c r="R65" s="1888" t="s">
        <v>1530</v>
      </c>
    </row>
    <row r="66" spans="1:18" s="1844" customFormat="1" ht="16.5" thickBot="1">
      <c r="A66" s="1203" t="s">
        <v>1505</v>
      </c>
      <c r="B66" s="1171" t="s">
        <v>1440</v>
      </c>
      <c r="C66" s="24">
        <f ca="1">ROUND(C48*F66,1)</f>
        <v>15.4</v>
      </c>
      <c r="D66" s="1185" t="s">
        <v>1506</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1384</v>
      </c>
      <c r="D67" s="1184" t="s">
        <v>1465</v>
      </c>
      <c r="E67" s="1189"/>
      <c r="F67" s="1190"/>
      <c r="O67" s="1896" t="s">
        <v>1042</v>
      </c>
      <c r="P67" s="1887" t="s">
        <v>1563</v>
      </c>
      <c r="Q67" s="1935">
        <f ca="1">L51</f>
        <v>3110</v>
      </c>
      <c r="R67" s="1888" t="s">
        <v>1583</v>
      </c>
    </row>
    <row r="68" spans="1:18" s="1844" customFormat="1" ht="16.5" thickBot="1">
      <c r="A68" s="1168" t="s">
        <v>1032</v>
      </c>
      <c r="B68" s="1169" t="s">
        <v>1486</v>
      </c>
      <c r="C68" s="346">
        <f ca="1">ROUND(C67*(1-((1+F70)/(1+F68))^F69)/(F68-F70),0)</f>
        <v>8518</v>
      </c>
      <c r="D68" s="1186" t="s">
        <v>1470</v>
      </c>
      <c r="E68" s="1171" t="s">
        <v>1471</v>
      </c>
      <c r="F68" s="357">
        <f ca="1">F40</f>
        <v>0.05</v>
      </c>
      <c r="O68" s="1896" t="s">
        <v>1043</v>
      </c>
      <c r="P68" s="1936" t="s">
        <v>1584</v>
      </c>
      <c r="Q68" s="1888">
        <f ca="1">ROUND(Q69-Q70*Q71,0)</f>
        <v>202</v>
      </c>
      <c r="R68" s="1888" t="s">
        <v>1051</v>
      </c>
    </row>
    <row r="69" spans="1:18" s="1844" customFormat="1" ht="13.5" thickBot="1">
      <c r="A69" s="1172"/>
      <c r="B69" s="1173"/>
      <c r="C69" s="351"/>
      <c r="D69" s="1191" t="s">
        <v>1474</v>
      </c>
      <c r="E69" s="1171" t="s">
        <v>1475</v>
      </c>
      <c r="F69" s="379">
        <f ca="1">F41</f>
        <v>6.83</v>
      </c>
      <c r="O69" s="1896" t="s">
        <v>1048</v>
      </c>
      <c r="P69" s="1936" t="s">
        <v>1585</v>
      </c>
      <c r="Q69" s="1888">
        <f ca="1">C39</f>
        <v>354</v>
      </c>
      <c r="R69" s="1888" t="s">
        <v>1530</v>
      </c>
    </row>
    <row r="70" spans="1:18" s="1844" customFormat="1" ht="13.5" thickBot="1">
      <c r="A70" s="1175"/>
      <c r="B70" s="1176"/>
      <c r="C70" s="355"/>
      <c r="D70" s="1187"/>
      <c r="E70" s="1171" t="s">
        <v>1478</v>
      </c>
      <c r="F70" s="1277">
        <v>0.03</v>
      </c>
      <c r="O70" s="1896" t="s">
        <v>1049</v>
      </c>
      <c r="P70" s="1936" t="s">
        <v>1586</v>
      </c>
      <c r="Q70" s="1888">
        <f ca="1">C13</f>
        <v>1900</v>
      </c>
      <c r="R70" s="1888" t="s">
        <v>1530</v>
      </c>
    </row>
    <row r="71" spans="1:18" s="1844" customFormat="1" ht="13.5" thickBot="1">
      <c r="A71" s="1192" t="s">
        <v>1033</v>
      </c>
      <c r="B71" s="1193" t="s">
        <v>1488</v>
      </c>
      <c r="C71" s="382">
        <f ca="1">ROUND(C68*10000/F71,0)</f>
        <v>15236</v>
      </c>
      <c r="D71" s="1194" t="s">
        <v>1489</v>
      </c>
      <c r="E71" s="1195" t="s">
        <v>1490</v>
      </c>
      <c r="F71" s="385">
        <f ca="1">F43</f>
        <v>5590.66</v>
      </c>
      <c r="O71" s="1896" t="s">
        <v>1050</v>
      </c>
      <c r="P71" s="1936" t="s">
        <v>1587</v>
      </c>
      <c r="Q71" s="1899">
        <f ca="1">C76</f>
        <v>0.08</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152</v>
      </c>
      <c r="D75" s="1844"/>
      <c r="E75" s="1844"/>
      <c r="F75" s="1844"/>
      <c r="K75" s="1870"/>
      <c r="L75" s="1844"/>
      <c r="O75" s="1886" t="s">
        <v>1046</v>
      </c>
      <c r="P75" s="1887" t="s">
        <v>1550</v>
      </c>
      <c r="Q75" s="1888">
        <f ca="1">Q65+Q66</f>
        <v>21606</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0.57099999999999995</v>
      </c>
    </row>
    <row r="80" spans="1:18">
      <c r="B80" s="386" t="s">
        <v>1512</v>
      </c>
      <c r="C80" s="318">
        <f ca="1">ROUND(C75/C39,3)</f>
        <v>0.42899999999999999</v>
      </c>
    </row>
    <row r="81" spans="2:3">
      <c r="B81" s="314" t="s">
        <v>1513</v>
      </c>
      <c r="C81" s="282"/>
    </row>
    <row r="82" spans="2:3">
      <c r="B82" s="317" t="s">
        <v>1514</v>
      </c>
      <c r="C82" s="319">
        <f ca="1">1-C83</f>
        <v>7.8999999999999959E-2</v>
      </c>
    </row>
    <row r="83" spans="2:3">
      <c r="B83" s="317" t="s">
        <v>1515</v>
      </c>
      <c r="C83" s="318">
        <f ca="1">ROUND(C13/C40,3)</f>
        <v>0.92100000000000004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1" priority="56">
      <formula>$L$48&gt;$J$51</formula>
    </cfRule>
  </conditionalFormatting>
  <conditionalFormatting sqref="I55 I60">
    <cfRule type="expression" dxfId="40" priority="57">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4" sqref="H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3012</v>
      </c>
      <c r="C1" s="3326" t="s">
        <v>3013</v>
      </c>
      <c r="D1" s="3327"/>
      <c r="E1" s="3327"/>
      <c r="F1" s="3327"/>
      <c r="G1" s="3327"/>
      <c r="H1" s="3327"/>
      <c r="I1" s="3327"/>
      <c r="J1" s="3327"/>
      <c r="K1" s="3327"/>
      <c r="L1" s="3327"/>
      <c r="M1" s="3327"/>
      <c r="N1" s="3327"/>
      <c r="O1" s="3327"/>
      <c r="P1" s="3327"/>
      <c r="Q1" s="3327"/>
      <c r="R1" s="3327"/>
      <c r="S1" s="3328"/>
      <c r="T1" s="1206" t="s">
        <v>3014</v>
      </c>
    </row>
    <row r="2" spans="1:45" s="706" customFormat="1" ht="38.25">
      <c r="A2" s="1207"/>
      <c r="B2" s="702" t="s">
        <v>3015</v>
      </c>
      <c r="C2" s="703" t="str">
        <f t="shared" ref="C2:L2" si="0">C3&amp;"(含)"&amp;"-"&amp;D3</f>
        <v>0(含)-500</v>
      </c>
      <c r="D2" s="704" t="str">
        <f t="shared" si="0"/>
        <v>500(含)-1000</v>
      </c>
      <c r="E2" s="704" t="str">
        <f t="shared" si="0"/>
        <v>1000(含)-1500</v>
      </c>
      <c r="F2" s="704" t="str">
        <f t="shared" si="0"/>
        <v>1500(含)-2000</v>
      </c>
      <c r="G2" s="704" t="str">
        <f t="shared" si="0"/>
        <v>2000(含)-2500</v>
      </c>
      <c r="H2" s="704" t="str">
        <f t="shared" si="0"/>
        <v>2500(含)-3000</v>
      </c>
      <c r="I2" s="704" t="str">
        <f t="shared" si="0"/>
        <v>3000(含)-3500</v>
      </c>
      <c r="J2" s="704" t="str">
        <f t="shared" si="0"/>
        <v>3500(含)-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500</v>
      </c>
      <c r="E3" s="709">
        <v>1000</v>
      </c>
      <c r="F3" s="1706">
        <v>1500</v>
      </c>
      <c r="G3" s="1706">
        <v>2000</v>
      </c>
      <c r="H3" s="1706">
        <v>2500</v>
      </c>
      <c r="I3" s="1706">
        <v>3000</v>
      </c>
      <c r="J3" s="1706">
        <v>3500</v>
      </c>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103</v>
      </c>
      <c r="D4" s="1213">
        <v>102</v>
      </c>
      <c r="E4" s="1213">
        <v>101</v>
      </c>
      <c r="F4" s="1710">
        <v>100</v>
      </c>
      <c r="G4" s="1710">
        <v>99</v>
      </c>
      <c r="H4" s="1710">
        <v>98</v>
      </c>
      <c r="I4" s="1710">
        <v>97</v>
      </c>
      <c r="J4" s="1710">
        <v>96</v>
      </c>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48" t="s">
        <v>3085</v>
      </c>
      <c r="C5" s="2949">
        <v>0.85</v>
      </c>
      <c r="D5" s="2950">
        <v>0.73</v>
      </c>
      <c r="E5" s="1219"/>
      <c r="F5" s="1713"/>
      <c r="G5" s="1713"/>
      <c r="H5" s="1713"/>
      <c r="I5" s="1713"/>
      <c r="J5" s="1713"/>
      <c r="K5" s="1713"/>
      <c r="L5" s="1714"/>
      <c r="M5" s="1715"/>
      <c r="N5" s="1715"/>
      <c r="O5" s="1713"/>
      <c r="P5" s="1713"/>
      <c r="Q5" s="1713"/>
      <c r="R5" s="1713"/>
      <c r="S5" s="1716"/>
      <c r="T5" s="1221">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98</v>
      </c>
      <c r="E6" s="1121">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3016</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3017</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3018</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3019</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3020</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3021</v>
      </c>
      <c r="B17" s="2921" t="s">
        <v>3022</v>
      </c>
      <c r="C17" s="1233">
        <v>-1</v>
      </c>
      <c r="D17" s="1234">
        <v>1</v>
      </c>
      <c r="E17" s="1234">
        <v>2</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60</v>
      </c>
      <c r="D18" s="1246">
        <v>100</v>
      </c>
      <c r="E18" s="1246">
        <v>70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2" t="s">
        <v>3023</v>
      </c>
      <c r="E19" s="1794"/>
      <c r="F19" s="1794"/>
      <c r="G19" s="1794"/>
      <c r="H19" s="1282"/>
      <c r="I19" s="168"/>
      <c r="J19" s="168"/>
      <c r="K19" s="168"/>
      <c r="L19" s="168"/>
      <c r="M19" s="168"/>
      <c r="N19" s="168"/>
      <c r="O19" s="168"/>
      <c r="P19" s="168"/>
      <c r="Q19" s="168"/>
      <c r="R19" s="787"/>
      <c r="S19" s="138"/>
    </row>
    <row r="20" spans="1:45" ht="16.5" thickBot="1">
      <c r="A20" s="714" t="s">
        <v>3024</v>
      </c>
      <c r="B20" s="338">
        <f ca="1">IF(D20="——",S22,S22-F20)</f>
        <v>26793</v>
      </c>
      <c r="C20" s="168"/>
      <c r="D20" s="2923" t="s">
        <v>3132</v>
      </c>
      <c r="E20" s="1795"/>
      <c r="F20" s="1206">
        <f ca="1">SUMIF(INDIRECT("'"&amp;H20&amp;"'"&amp;"!A:A"),"承租人权益价值",INDIRECT("'"&amp;H20&amp;"'"&amp;"!c:c"))</f>
        <v>6456</v>
      </c>
      <c r="G20" s="1206" t="s">
        <v>3025</v>
      </c>
      <c r="H20" s="2924" t="s">
        <v>3076</v>
      </c>
      <c r="I20" s="168"/>
      <c r="J20" s="168"/>
      <c r="K20" s="168"/>
      <c r="L20" s="168"/>
      <c r="M20" s="168"/>
      <c r="N20" s="168"/>
      <c r="O20" s="168"/>
      <c r="P20" s="168"/>
      <c r="Q20" s="168"/>
      <c r="R20" s="787"/>
      <c r="S20" s="138"/>
    </row>
    <row r="21" spans="1:45" ht="15.75">
      <c r="A21" s="714" t="s">
        <v>3026</v>
      </c>
      <c r="B21" s="338">
        <f>R22</f>
        <v>59472</v>
      </c>
      <c r="C21" s="168"/>
      <c r="D21" s="168"/>
      <c r="E21" s="168"/>
      <c r="F21" s="168"/>
      <c r="G21" s="168"/>
      <c r="H21" s="168"/>
      <c r="I21" s="168"/>
      <c r="J21" s="168"/>
      <c r="K21" s="168"/>
      <c r="L21" s="168"/>
      <c r="M21" s="168"/>
      <c r="N21" s="168"/>
      <c r="O21" s="168"/>
      <c r="P21" s="168"/>
      <c r="Q21" s="168"/>
      <c r="R21" s="787"/>
      <c r="S21" s="138"/>
    </row>
    <row r="22" spans="1:45">
      <c r="A22" s="361" t="s">
        <v>3027</v>
      </c>
      <c r="B22" s="24">
        <f>SUM(B24:B10000)</f>
        <v>5590.66</v>
      </c>
      <c r="C22" s="3187" t="s">
        <v>33</v>
      </c>
      <c r="D22" s="3188"/>
      <c r="E22" s="3188"/>
      <c r="F22" s="3188"/>
      <c r="G22" s="3188"/>
      <c r="H22" s="3188"/>
      <c r="I22" s="3188"/>
      <c r="J22" s="3188"/>
      <c r="K22" s="3188"/>
      <c r="L22" s="3188"/>
      <c r="M22" s="3188"/>
      <c r="N22" s="3188"/>
      <c r="O22" s="3188"/>
      <c r="P22" s="3188"/>
      <c r="Q22" s="3325"/>
      <c r="R22" s="715">
        <f>ROUND(S22*10000/B22,0)</f>
        <v>59472</v>
      </c>
      <c r="S22" s="24">
        <f>SUM(S24:S10000)</f>
        <v>33249</v>
      </c>
    </row>
    <row r="23" spans="1:45" s="12" customFormat="1" ht="24">
      <c r="A23" s="11" t="s">
        <v>3028</v>
      </c>
      <c r="B23" s="11" t="s">
        <v>3029</v>
      </c>
      <c r="C23" s="11" t="s">
        <v>3030</v>
      </c>
      <c r="D23" s="11" t="str">
        <f>B5</f>
        <v>成新率</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48号楼商业</v>
      </c>
      <c r="B24" s="717">
        <f>面积清单!G2</f>
        <v>2542.7199999999998</v>
      </c>
      <c r="C24" s="718">
        <v>1</v>
      </c>
      <c r="D24" s="719">
        <v>0.85</v>
      </c>
      <c r="E24" s="718">
        <v>1</v>
      </c>
      <c r="F24" s="719"/>
      <c r="G24" s="718">
        <v>1</v>
      </c>
      <c r="H24" s="719"/>
      <c r="I24" s="718">
        <v>1</v>
      </c>
      <c r="J24" s="719"/>
      <c r="K24" s="718">
        <v>1</v>
      </c>
      <c r="L24" s="719"/>
      <c r="M24" s="718">
        <v>1</v>
      </c>
      <c r="N24" s="719"/>
      <c r="O24" s="718">
        <v>1</v>
      </c>
      <c r="P24" s="719">
        <v>1</v>
      </c>
      <c r="Q24" s="718">
        <v>1</v>
      </c>
      <c r="R24" s="720">
        <f>'比较法-商业'!C48</f>
        <v>71426</v>
      </c>
      <c r="S24" s="718">
        <f t="shared" ref="S24:S54" si="11">ROUND(R24*B24/10000,0)</f>
        <v>18162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tr">
        <f>'数据-基础表'!C14</f>
        <v>48号楼2层商业</v>
      </c>
      <c r="B25" s="59">
        <f>面积清单!G3</f>
        <v>3047.94</v>
      </c>
      <c r="C25" s="24">
        <f>IF(B25="",1,(LOOKUP(B25,$3:$3,$4:$4)-LOOKUP($B$24,$3:$3,$4:$4)+100)/100)</f>
        <v>0.99</v>
      </c>
      <c r="D25" s="719">
        <v>0.85</v>
      </c>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49498</v>
      </c>
      <c r="S25" s="361">
        <f t="shared" si="11"/>
        <v>15087</v>
      </c>
    </row>
    <row r="26" spans="1:45">
      <c r="A26" s="159"/>
      <c r="B26" s="59"/>
      <c r="C26" s="24">
        <f t="shared" ref="C26:C89" si="12">IF(B26="",1,(LOOKUP(B26,$3:$3,$4:$4)-LOOKUP($B$24,$3:$3,$4:$4)+100)/100)</f>
        <v>1</v>
      </c>
      <c r="D26" s="719"/>
      <c r="E26" s="24">
        <f t="shared" ref="E26:E89" si="13">(SUMIF($5:$5,D26,$6:$6)-SUMIF($5:$5,$D$24,$6:$6)+100)/100</f>
        <v>0</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c r="U26" s="794">
        <f>S25+S26</f>
        <v>15087</v>
      </c>
    </row>
    <row r="27" spans="1:45">
      <c r="A27" s="159"/>
      <c r="B27" s="59"/>
      <c r="C27" s="24">
        <f t="shared" si="12"/>
        <v>1</v>
      </c>
      <c r="D27" s="719"/>
      <c r="E27" s="24">
        <f t="shared" si="13"/>
        <v>0</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c r="U27" s="794">
        <f>B25+B26</f>
        <v>3047.94</v>
      </c>
    </row>
    <row r="28" spans="1:45">
      <c r="A28" s="159"/>
      <c r="B28" s="59"/>
      <c r="C28" s="24">
        <f t="shared" si="12"/>
        <v>1</v>
      </c>
      <c r="D28" s="719"/>
      <c r="E28" s="24">
        <f t="shared" si="13"/>
        <v>0</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c r="U28" s="794">
        <f>ROUND(U26*10000/U27,0)</f>
        <v>49499</v>
      </c>
    </row>
    <row r="29" spans="1:45">
      <c r="A29" s="159"/>
      <c r="B29" s="59"/>
      <c r="C29" s="24">
        <f t="shared" si="12"/>
        <v>1</v>
      </c>
      <c r="D29" s="719"/>
      <c r="E29" s="24">
        <f t="shared" si="13"/>
        <v>0</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0</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0</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0</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0</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0</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0</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0</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0</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0</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0</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0</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0</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0</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0</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0</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0</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0</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0</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0</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0</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0</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0</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0</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0</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0</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0</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0</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0</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0</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0</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0</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0</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0</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0</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0</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0</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0</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0</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0</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0</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0</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0</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0</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0</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0</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0</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0</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0</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0</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0</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0</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0</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0</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0</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0</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0</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0</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0</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0</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0</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0</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0</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0</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0</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0</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0</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0</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0</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0</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0</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0</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0</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0</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0</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0</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0</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0</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0</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0</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0</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0</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0</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0</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0</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0</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0</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0</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0</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0</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0</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0</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0</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0</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0</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0</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0</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0</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0</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0</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0</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0</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0</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0</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0</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0</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0</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0</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0</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0</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0</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0</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0</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0</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0</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0</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0</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0</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0</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0</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0</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0</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0</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0</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0</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0</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0</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0</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0</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0</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0</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0</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0</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0</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0</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0</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0</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0</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0</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0</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0</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0</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0</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0</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0</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0</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0</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0</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0</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0</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0</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0</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0</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0</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0</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0</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0</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0</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0</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0</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0</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0</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0</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0</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0</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0</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0</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0</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0</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0</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0</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0</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0</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0</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0</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0</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0</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0</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0</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0</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0</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0</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0</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0</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0</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0</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0</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0</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0</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0</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0</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0</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0</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0</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0</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0</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0</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0</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0</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0</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0</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0</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0</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0</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0</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0</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0</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0</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0</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0</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0</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0</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0</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0</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0</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0</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0</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0</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0</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0</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0</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0</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0</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0</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0</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0</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0</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0</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0</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0</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0</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0</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0</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0</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0</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0</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0</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0</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0</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0</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0</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0</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0</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0</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0</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0</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0</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0</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0</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0</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0</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0</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0</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0</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0</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0</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0</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0</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0</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0</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0</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0</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0</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0</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0</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0</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0</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0</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0</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0</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0</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0</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0</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0</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0</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0</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0</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0</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0</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0</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0</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0</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0</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0</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0</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0</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0</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0</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0</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0</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0</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0</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0</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0</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0</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0</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0</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0</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0</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0</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0</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0</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0</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0</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0</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0</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0</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0</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0</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0</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0</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0</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0</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0</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0</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0</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0</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0</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0</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0</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0</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0</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0</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0</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0</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0</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0</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0</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0</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0</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0</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0</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0</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0</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0</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0</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0</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0</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0</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0</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0</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0</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0</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0</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0</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0</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0</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0</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0</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0</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0</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0</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0</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0</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0</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0</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0</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0</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0</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0</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0</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0</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0</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0</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0</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0</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0</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0</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0</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0</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0</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0</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0</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0</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0</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0</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0</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0</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0</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0</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0</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0</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0</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0</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0</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0</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0</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0</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0</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0</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0</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0</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0</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0</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0</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0</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0</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0</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0</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0</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0</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0</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0</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0</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0</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0</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0</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0</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0</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0</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0</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0</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0</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0</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0</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0</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0</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0</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0</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0</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0</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0</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0</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0</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0</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0</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0</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0</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0</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0</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H49" sqref="H49"/>
    </sheetView>
  </sheetViews>
  <sheetFormatPr defaultRowHeight="14.25"/>
  <cols>
    <col min="1" max="1" width="10.5" style="403" customWidth="1"/>
    <col min="2" max="2" width="15.75" style="403" customWidth="1"/>
    <col min="3" max="3" width="12.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6" t="s">
        <v>2647</v>
      </c>
      <c r="C1" s="1636" t="s">
        <v>2535</v>
      </c>
      <c r="D1" s="1623" t="s">
        <v>3114</v>
      </c>
      <c r="E1" s="2661"/>
      <c r="F1" s="2588" t="s">
        <v>3081</v>
      </c>
      <c r="G1" s="1633" t="s">
        <v>2537</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3001" t="s">
        <v>1394</v>
      </c>
      <c r="B2" s="1420">
        <f ca="1">IF(C2="——",ROUND(C49*D3/10000,0),ROUND(C49*D3/10000,0)-D2)</f>
        <v>4593</v>
      </c>
      <c r="C2" s="2590" t="s">
        <v>3132</v>
      </c>
      <c r="D2" s="1367">
        <f ca="1">SUMIF(INDIRECT("'"&amp;F2&amp;"'"&amp;"!A:A"),"承租人权益价值",INDIRECT("'"&amp;F2&amp;"'"&amp;"!c:c"))</f>
        <v>113</v>
      </c>
      <c r="E2" s="2591" t="s">
        <v>2333</v>
      </c>
      <c r="F2" s="2592" t="s">
        <v>3115</v>
      </c>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3000" t="s">
        <v>1395</v>
      </c>
      <c r="B3" s="609">
        <f ca="1">IF(C2="——",C49,ROUND(B2*10000/D3,0))</f>
        <v>38623</v>
      </c>
      <c r="C3" s="400" t="s">
        <v>2539</v>
      </c>
      <c r="D3" s="399">
        <f>IF(D1="",'数据-汇总表'!E3,SUMIF('数据-汇总表'!$C19:$C33,D1,'数据-汇总表'!$E19:$E33))</f>
        <v>1189.19</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2540</v>
      </c>
      <c r="B4" s="402"/>
      <c r="C4" s="3240" t="s">
        <v>2541</v>
      </c>
      <c r="D4" s="3241"/>
      <c r="E4" s="3242" t="s">
        <v>2542</v>
      </c>
      <c r="F4" s="3243"/>
      <c r="G4" s="3240" t="s">
        <v>2543</v>
      </c>
      <c r="H4" s="3241"/>
      <c r="I4" s="3240" t="s">
        <v>2544</v>
      </c>
      <c r="J4" s="3241"/>
      <c r="K4" s="610" t="s">
        <v>2545</v>
      </c>
      <c r="L4" s="1132"/>
      <c r="M4" s="1133"/>
      <c r="N4" s="1133"/>
      <c r="O4" s="1133"/>
      <c r="P4" s="3244" t="s">
        <v>2546</v>
      </c>
      <c r="Q4" s="3245"/>
      <c r="R4" s="3250" t="s">
        <v>2542</v>
      </c>
      <c r="S4" s="3251"/>
      <c r="T4" s="3250" t="s">
        <v>2543</v>
      </c>
      <c r="U4" s="3251"/>
      <c r="V4" s="3256" t="s">
        <v>2544</v>
      </c>
      <c r="W4" s="3256"/>
      <c r="X4" s="2993"/>
      <c r="Y4" s="3250" t="s">
        <v>2546</v>
      </c>
      <c r="Z4" s="3251"/>
      <c r="AA4" s="3237" t="s">
        <v>2542</v>
      </c>
      <c r="AB4" s="3256" t="s">
        <v>2543</v>
      </c>
      <c r="AC4" s="3237" t="s">
        <v>2544</v>
      </c>
    </row>
    <row r="5" spans="1:29" ht="15">
      <c r="A5" s="404"/>
      <c r="B5" s="405"/>
      <c r="C5" s="3259" t="s">
        <v>2547</v>
      </c>
      <c r="D5" s="3260"/>
      <c r="E5" s="3269" t="s">
        <v>3139</v>
      </c>
      <c r="F5" s="3267"/>
      <c r="G5" s="3268" t="s">
        <v>3139</v>
      </c>
      <c r="H5" s="3260"/>
      <c r="I5" s="3268" t="s">
        <v>3140</v>
      </c>
      <c r="J5" s="3260"/>
      <c r="K5" s="610"/>
      <c r="L5" s="1132"/>
      <c r="M5" s="1133"/>
      <c r="N5" s="1133"/>
      <c r="O5" s="1133"/>
      <c r="P5" s="3246"/>
      <c r="Q5" s="3247"/>
      <c r="R5" s="3252"/>
      <c r="S5" s="3253"/>
      <c r="T5" s="3252"/>
      <c r="U5" s="3253"/>
      <c r="V5" s="3256"/>
      <c r="W5" s="3256"/>
      <c r="X5" s="2993"/>
      <c r="Y5" s="3252"/>
      <c r="Z5" s="3253"/>
      <c r="AA5" s="3238"/>
      <c r="AB5" s="3256"/>
      <c r="AC5" s="3238"/>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2993"/>
      <c r="Y6" s="3254"/>
      <c r="Z6" s="3255"/>
      <c r="AA6" s="3239"/>
      <c r="AB6" s="3256"/>
      <c r="AC6" s="3239"/>
    </row>
    <row r="7" spans="1:29" s="117" customFormat="1" ht="15.75" thickBot="1">
      <c r="A7" s="408" t="s">
        <v>2553</v>
      </c>
      <c r="B7" s="409"/>
      <c r="C7" s="410">
        <f>'数据-取费表'!B2</f>
        <v>43172</v>
      </c>
      <c r="D7" s="411">
        <v>100</v>
      </c>
      <c r="E7" s="412">
        <v>43160</v>
      </c>
      <c r="F7" s="413">
        <f>SUMIF(58:58,YEAR(E7)&amp;"-"&amp;MONTH(E7),59:59)</f>
        <v>100</v>
      </c>
      <c r="G7" s="412">
        <v>43160</v>
      </c>
      <c r="H7" s="411">
        <f>SUMIF(58:58,YEAR(G7)&amp;"-"&amp;MONTH(G7),59:59)</f>
        <v>100</v>
      </c>
      <c r="I7" s="412">
        <v>43160</v>
      </c>
      <c r="J7" s="411">
        <f>SUMIF(58:58,YEAR(I7)&amp;"-"&amp;MONTH(I7),59:59)</f>
        <v>100</v>
      </c>
      <c r="K7" s="611"/>
      <c r="L7" s="1134"/>
      <c r="M7" s="1135"/>
      <c r="N7" s="1135"/>
      <c r="O7" s="1135"/>
      <c r="P7" s="3261" t="s">
        <v>2554</v>
      </c>
      <c r="Q7" s="3263"/>
      <c r="R7" s="769" t="s">
        <v>17</v>
      </c>
      <c r="S7" s="770">
        <f t="shared" ref="S7:S15" si="0">F7</f>
        <v>100</v>
      </c>
      <c r="T7" s="769" t="s">
        <v>17</v>
      </c>
      <c r="U7" s="770">
        <f t="shared" ref="U7:U15" si="1">H7</f>
        <v>100</v>
      </c>
      <c r="V7" s="769" t="s">
        <v>17</v>
      </c>
      <c r="W7" s="770">
        <f t="shared" ref="W7:W15" si="2">J7</f>
        <v>100</v>
      </c>
      <c r="X7" s="771"/>
      <c r="Y7" s="3261" t="s">
        <v>2554</v>
      </c>
      <c r="Z7" s="3262"/>
      <c r="AA7" s="772">
        <f>D7/F7</f>
        <v>1</v>
      </c>
      <c r="AB7" s="772">
        <f>D7/H7</f>
        <v>1</v>
      </c>
      <c r="AC7" s="772">
        <f>D7/J7</f>
        <v>1</v>
      </c>
    </row>
    <row r="8" spans="1:29" s="117" customFormat="1" ht="15.75" thickBot="1">
      <c r="A8" s="408" t="s">
        <v>2555</v>
      </c>
      <c r="B8" s="409"/>
      <c r="C8" s="414" t="s">
        <v>2592</v>
      </c>
      <c r="D8" s="411">
        <v>100</v>
      </c>
      <c r="E8" s="2947" t="s">
        <v>3082</v>
      </c>
      <c r="F8" s="413">
        <f>SUMIF(61:61,E8,62:62)-SUMIF(61:61,C8,62:62)+100</f>
        <v>100</v>
      </c>
      <c r="G8" s="2947" t="s">
        <v>3082</v>
      </c>
      <c r="H8" s="411">
        <f>SUMIF(61:61,G8,62:62)-SUMIF(61:61,C8,62:62)+100</f>
        <v>100</v>
      </c>
      <c r="I8" s="2947" t="s">
        <v>3082</v>
      </c>
      <c r="J8" s="411">
        <f>SUMIF(61:61,I8,62:62)-SUMIF(61:61,C8,62:62)+100</f>
        <v>100</v>
      </c>
      <c r="K8" s="611"/>
      <c r="L8" s="1134"/>
      <c r="M8" s="1135"/>
      <c r="N8" s="1135"/>
      <c r="O8" s="1135"/>
      <c r="P8" s="3261" t="s">
        <v>2557</v>
      </c>
      <c r="Q8" s="3262"/>
      <c r="R8" s="769" t="s">
        <v>17</v>
      </c>
      <c r="S8" s="770">
        <f t="shared" si="0"/>
        <v>100</v>
      </c>
      <c r="T8" s="769" t="s">
        <v>17</v>
      </c>
      <c r="U8" s="770">
        <f t="shared" si="1"/>
        <v>100</v>
      </c>
      <c r="V8" s="769" t="s">
        <v>17</v>
      </c>
      <c r="W8" s="770">
        <f t="shared" si="2"/>
        <v>100</v>
      </c>
      <c r="X8" s="771"/>
      <c r="Y8" s="3261" t="s">
        <v>2557</v>
      </c>
      <c r="Z8" s="3262"/>
      <c r="AA8" s="772">
        <f t="shared" ref="AA8:AA46" si="3">D8/F8</f>
        <v>1</v>
      </c>
      <c r="AB8" s="772">
        <f t="shared" ref="AB8:AB46" si="4">D8/H8</f>
        <v>1</v>
      </c>
      <c r="AC8" s="772">
        <f t="shared" ref="AC8:AC46" si="5">D8/J8</f>
        <v>1</v>
      </c>
    </row>
    <row r="9" spans="1:29" s="117" customFormat="1">
      <c r="A9" s="415" t="s">
        <v>2558</v>
      </c>
      <c r="B9" s="71" t="s">
        <v>2559</v>
      </c>
      <c r="C9" s="2998" t="s">
        <v>3123</v>
      </c>
      <c r="D9" s="135">
        <v>100</v>
      </c>
      <c r="E9" s="2997" t="s">
        <v>3123</v>
      </c>
      <c r="F9" s="418">
        <f>SUMIF(63:63,E9,64:64)-SUMIF(63:63,C9,64:64)+100</f>
        <v>100</v>
      </c>
      <c r="G9" s="2997" t="s">
        <v>3123</v>
      </c>
      <c r="H9" s="135">
        <f>SUMIF(63:63,G9,64:64)-SUMIF(63:63,C9,64:64)+100</f>
        <v>100</v>
      </c>
      <c r="I9" s="2997" t="s">
        <v>3123</v>
      </c>
      <c r="J9" s="135">
        <f>SUMIF(63:63,I9,64:64)-SUMIF(63:63,C9,64:64)+100</f>
        <v>100</v>
      </c>
      <c r="K9" s="611"/>
      <c r="L9" s="1134"/>
      <c r="M9" s="1135"/>
      <c r="N9" s="1135"/>
      <c r="O9" s="1135"/>
      <c r="P9" s="3236" t="s">
        <v>2560</v>
      </c>
      <c r="Q9" s="2987" t="str">
        <f t="shared" ref="Q9:Q15" si="6">B9</f>
        <v>用途</v>
      </c>
      <c r="R9" s="769" t="s">
        <v>17</v>
      </c>
      <c r="S9" s="770">
        <f t="shared" si="0"/>
        <v>100</v>
      </c>
      <c r="T9" s="769" t="s">
        <v>17</v>
      </c>
      <c r="U9" s="770">
        <f t="shared" si="1"/>
        <v>100</v>
      </c>
      <c r="V9" s="769" t="s">
        <v>17</v>
      </c>
      <c r="W9" s="770">
        <f t="shared" si="2"/>
        <v>100</v>
      </c>
      <c r="X9" s="771"/>
      <c r="Y9" s="3046" t="s">
        <v>2561</v>
      </c>
      <c r="Z9" s="2988" t="str">
        <f t="shared" ref="Z9:Z15" si="7">Q9</f>
        <v>用途</v>
      </c>
      <c r="AA9" s="772">
        <f t="shared" si="3"/>
        <v>1</v>
      </c>
      <c r="AB9" s="772">
        <f t="shared" si="4"/>
        <v>1</v>
      </c>
      <c r="AC9" s="772">
        <f t="shared" si="5"/>
        <v>1</v>
      </c>
    </row>
    <row r="10" spans="1:29" s="427" customFormat="1" ht="27">
      <c r="A10" s="421"/>
      <c r="B10" s="2989" t="s">
        <v>2562</v>
      </c>
      <c r="C10" s="423" t="s">
        <v>3124</v>
      </c>
      <c r="D10" s="136">
        <v>100</v>
      </c>
      <c r="E10" s="424" t="s">
        <v>3125</v>
      </c>
      <c r="F10" s="425">
        <f>SUMIF(65:65,E10,66:66)-SUMIF(65:65,C10,66:66)+100</f>
        <v>102</v>
      </c>
      <c r="G10" s="423" t="s">
        <v>3125</v>
      </c>
      <c r="H10" s="136">
        <f>SUMIF(65:65,G10,66:66)-SUMIF(65:65,C10,66:66)+100</f>
        <v>102</v>
      </c>
      <c r="I10" s="423" t="s">
        <v>3125</v>
      </c>
      <c r="J10" s="136">
        <f>SUMIF(65:65,I10,66:66)-SUMIF(65:65,C10,66:66)+100</f>
        <v>102</v>
      </c>
      <c r="K10" s="612">
        <v>2</v>
      </c>
      <c r="L10" s="1137"/>
      <c r="M10" s="1138"/>
      <c r="N10" s="1138"/>
      <c r="O10" s="1138"/>
      <c r="P10" s="3236"/>
      <c r="Q10" s="2987" t="str">
        <f t="shared" si="6"/>
        <v>土地使用年限（年）</v>
      </c>
      <c r="R10" s="769" t="s">
        <v>17</v>
      </c>
      <c r="S10" s="770">
        <f t="shared" si="0"/>
        <v>102</v>
      </c>
      <c r="T10" s="769" t="s">
        <v>17</v>
      </c>
      <c r="U10" s="770">
        <f t="shared" si="1"/>
        <v>102</v>
      </c>
      <c r="V10" s="769" t="s">
        <v>17</v>
      </c>
      <c r="W10" s="770">
        <f t="shared" si="2"/>
        <v>102</v>
      </c>
      <c r="X10" s="771"/>
      <c r="Y10" s="3046"/>
      <c r="Z10" s="2988" t="str">
        <f t="shared" si="7"/>
        <v>土地使用年限（年）</v>
      </c>
      <c r="AA10" s="772">
        <f t="shared" si="3"/>
        <v>0.98039215686274506</v>
      </c>
      <c r="AB10" s="772">
        <f t="shared" si="4"/>
        <v>0.98039215686274506</v>
      </c>
      <c r="AC10" s="772">
        <f t="shared" si="5"/>
        <v>0.98039215686274506</v>
      </c>
    </row>
    <row r="11" spans="1:29" ht="15">
      <c r="A11" s="428"/>
      <c r="B11" s="2989" t="s">
        <v>2563</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36"/>
      <c r="Q11" s="2987" t="str">
        <f t="shared" si="6"/>
        <v>容积率</v>
      </c>
      <c r="R11" s="769" t="s">
        <v>17</v>
      </c>
      <c r="S11" s="770">
        <f t="shared" si="0"/>
        <v>100</v>
      </c>
      <c r="T11" s="769" t="s">
        <v>17</v>
      </c>
      <c r="U11" s="770">
        <f t="shared" si="1"/>
        <v>100</v>
      </c>
      <c r="V11" s="769" t="s">
        <v>17</v>
      </c>
      <c r="W11" s="770">
        <f t="shared" si="2"/>
        <v>100</v>
      </c>
      <c r="X11" s="771"/>
      <c r="Y11" s="3046"/>
      <c r="Z11" s="2988" t="str">
        <f t="shared" si="7"/>
        <v>容积率</v>
      </c>
      <c r="AA11" s="772">
        <f t="shared" si="3"/>
        <v>1</v>
      </c>
      <c r="AB11" s="772">
        <f t="shared" si="4"/>
        <v>1</v>
      </c>
      <c r="AC11" s="772">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6"/>
      <c r="Q12" s="2987">
        <f t="shared" si="6"/>
        <v>111</v>
      </c>
      <c r="R12" s="769" t="s">
        <v>17</v>
      </c>
      <c r="S12" s="770">
        <f t="shared" si="0"/>
        <v>100</v>
      </c>
      <c r="T12" s="769" t="s">
        <v>17</v>
      </c>
      <c r="U12" s="770">
        <f t="shared" si="1"/>
        <v>100</v>
      </c>
      <c r="V12" s="769" t="s">
        <v>17</v>
      </c>
      <c r="W12" s="770">
        <f t="shared" si="2"/>
        <v>100</v>
      </c>
      <c r="X12" s="771"/>
      <c r="Y12" s="3046"/>
      <c r="Z12" s="2988">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6"/>
      <c r="Q13" s="2987">
        <f t="shared" si="6"/>
        <v>111</v>
      </c>
      <c r="R13" s="769" t="s">
        <v>17</v>
      </c>
      <c r="S13" s="770">
        <f t="shared" si="0"/>
        <v>100</v>
      </c>
      <c r="T13" s="769" t="s">
        <v>17</v>
      </c>
      <c r="U13" s="770">
        <f t="shared" si="1"/>
        <v>100</v>
      </c>
      <c r="V13" s="769" t="s">
        <v>17</v>
      </c>
      <c r="W13" s="770">
        <f t="shared" si="2"/>
        <v>100</v>
      </c>
      <c r="X13" s="771"/>
      <c r="Y13" s="3046"/>
      <c r="Z13" s="2988">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6"/>
      <c r="Q14" s="2987">
        <f t="shared" si="6"/>
        <v>111</v>
      </c>
      <c r="R14" s="769" t="s">
        <v>17</v>
      </c>
      <c r="S14" s="770">
        <f t="shared" si="0"/>
        <v>100</v>
      </c>
      <c r="T14" s="769" t="s">
        <v>17</v>
      </c>
      <c r="U14" s="770">
        <f t="shared" si="1"/>
        <v>100</v>
      </c>
      <c r="V14" s="769" t="s">
        <v>17</v>
      </c>
      <c r="W14" s="770">
        <f t="shared" si="2"/>
        <v>100</v>
      </c>
      <c r="X14" s="771"/>
      <c r="Y14" s="3046"/>
      <c r="Z14" s="2988">
        <f t="shared" si="7"/>
        <v>111</v>
      </c>
      <c r="AA14" s="772">
        <f t="shared" si="3"/>
        <v>1</v>
      </c>
      <c r="AB14" s="772">
        <f t="shared" si="4"/>
        <v>1</v>
      </c>
      <c r="AC14" s="772">
        <f t="shared" si="5"/>
        <v>1</v>
      </c>
    </row>
    <row r="15" spans="1:29" ht="85.5">
      <c r="A15" s="440" t="s">
        <v>2564</v>
      </c>
      <c r="B15" s="69" t="s">
        <v>2658</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4" t="s">
        <v>2565</v>
      </c>
      <c r="Q15" s="2991" t="str">
        <f t="shared" si="6"/>
        <v>商业繁华度</v>
      </c>
      <c r="R15" s="773" t="s">
        <v>17</v>
      </c>
      <c r="S15" s="774">
        <f t="shared" si="0"/>
        <v>100</v>
      </c>
      <c r="T15" s="773" t="s">
        <v>17</v>
      </c>
      <c r="U15" s="774">
        <f t="shared" si="1"/>
        <v>100</v>
      </c>
      <c r="V15" s="773" t="s">
        <v>17</v>
      </c>
      <c r="W15" s="774">
        <f t="shared" si="2"/>
        <v>100</v>
      </c>
      <c r="X15" s="2993"/>
      <c r="Y15" s="3227" t="s">
        <v>2565</v>
      </c>
      <c r="Z15" s="2994" t="str">
        <f t="shared" si="7"/>
        <v>商业繁华度</v>
      </c>
      <c r="AA15" s="2992">
        <f t="shared" si="3"/>
        <v>1</v>
      </c>
      <c r="AB15" s="2992">
        <f t="shared" si="4"/>
        <v>1</v>
      </c>
      <c r="AC15" s="2992">
        <f t="shared" si="5"/>
        <v>1</v>
      </c>
    </row>
    <row r="16" spans="1:29" ht="15">
      <c r="A16" s="428"/>
      <c r="B16" s="446"/>
      <c r="C16" s="447" t="s">
        <v>3122</v>
      </c>
      <c r="D16" s="448"/>
      <c r="E16" s="447" t="s">
        <v>3122</v>
      </c>
      <c r="F16" s="449"/>
      <c r="G16" s="447" t="s">
        <v>3122</v>
      </c>
      <c r="H16" s="450"/>
      <c r="I16" s="447" t="s">
        <v>3122</v>
      </c>
      <c r="J16" s="448"/>
      <c r="K16" s="615"/>
      <c r="L16" s="1142"/>
      <c r="M16" s="1133"/>
      <c r="N16" s="1133"/>
      <c r="O16" s="1133"/>
      <c r="P16" s="3235"/>
      <c r="Q16" s="2991"/>
      <c r="R16" s="773"/>
      <c r="S16" s="774"/>
      <c r="T16" s="773"/>
      <c r="U16" s="774"/>
      <c r="V16" s="773"/>
      <c r="W16" s="774"/>
      <c r="X16" s="2993"/>
      <c r="Y16" s="3228"/>
      <c r="Z16" s="2994"/>
      <c r="AA16" s="2992">
        <v>1</v>
      </c>
      <c r="AB16" s="2992">
        <v>1</v>
      </c>
      <c r="AC16" s="2992">
        <v>1</v>
      </c>
    </row>
    <row r="17" spans="1:29" ht="99.75">
      <c r="A17" s="428"/>
      <c r="B17" s="451" t="s">
        <v>2101</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98</v>
      </c>
      <c r="K17" s="614">
        <v>2</v>
      </c>
      <c r="L17" s="1142"/>
      <c r="M17" s="1133"/>
      <c r="N17" s="1133"/>
      <c r="O17" s="1133"/>
      <c r="P17" s="3235"/>
      <c r="Q17" s="2991" t="str">
        <f>B17</f>
        <v>交通便捷度</v>
      </c>
      <c r="R17" s="773" t="s">
        <v>17</v>
      </c>
      <c r="S17" s="774">
        <f>F17</f>
        <v>100</v>
      </c>
      <c r="T17" s="773" t="s">
        <v>17</v>
      </c>
      <c r="U17" s="774">
        <f>H17</f>
        <v>100</v>
      </c>
      <c r="V17" s="773" t="s">
        <v>17</v>
      </c>
      <c r="W17" s="774">
        <f>J17</f>
        <v>98</v>
      </c>
      <c r="X17" s="2993"/>
      <c r="Y17" s="3228"/>
      <c r="Z17" s="2994" t="str">
        <f>Q17</f>
        <v>交通便捷度</v>
      </c>
      <c r="AA17" s="2992">
        <f t="shared" si="3"/>
        <v>1</v>
      </c>
      <c r="AB17" s="2992">
        <f t="shared" si="4"/>
        <v>1</v>
      </c>
      <c r="AC17" s="2992">
        <f t="shared" si="5"/>
        <v>1.0204081632653061</v>
      </c>
    </row>
    <row r="18" spans="1:29" ht="15">
      <c r="A18" s="428"/>
      <c r="B18" s="456"/>
      <c r="C18" s="2612" t="s">
        <v>3122</v>
      </c>
      <c r="D18" s="450"/>
      <c r="E18" s="2614" t="s">
        <v>3122</v>
      </c>
      <c r="F18" s="453"/>
      <c r="G18" s="2613" t="s">
        <v>3122</v>
      </c>
      <c r="H18" s="448"/>
      <c r="I18" s="2614" t="s">
        <v>3126</v>
      </c>
      <c r="J18" s="448"/>
      <c r="K18" s="615"/>
      <c r="L18" s="1142"/>
      <c r="M18" s="1133"/>
      <c r="N18" s="1133"/>
      <c r="O18" s="1133"/>
      <c r="P18" s="3235"/>
      <c r="Q18" s="2991"/>
      <c r="R18" s="773"/>
      <c r="S18" s="774"/>
      <c r="T18" s="773"/>
      <c r="U18" s="774"/>
      <c r="V18" s="773"/>
      <c r="W18" s="774"/>
      <c r="X18" s="2993"/>
      <c r="Y18" s="3228"/>
      <c r="Z18" s="2994"/>
      <c r="AA18" s="2992">
        <v>1</v>
      </c>
      <c r="AB18" s="2992">
        <v>1</v>
      </c>
      <c r="AC18" s="2992">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5"/>
      <c r="Q19" s="2991" t="str">
        <f>B19</f>
        <v>公共配套设施</v>
      </c>
      <c r="R19" s="773" t="s">
        <v>17</v>
      </c>
      <c r="S19" s="774">
        <f>F19</f>
        <v>100</v>
      </c>
      <c r="T19" s="773" t="s">
        <v>17</v>
      </c>
      <c r="U19" s="774">
        <f>H19</f>
        <v>100</v>
      </c>
      <c r="V19" s="773" t="s">
        <v>17</v>
      </c>
      <c r="W19" s="774">
        <f>J19</f>
        <v>100</v>
      </c>
      <c r="X19" s="2993"/>
      <c r="Y19" s="3228"/>
      <c r="Z19" s="2994" t="str">
        <f>Q19</f>
        <v>公共配套设施</v>
      </c>
      <c r="AA19" s="2992">
        <f t="shared" si="3"/>
        <v>1</v>
      </c>
      <c r="AB19" s="2992">
        <f t="shared" si="4"/>
        <v>1</v>
      </c>
      <c r="AC19" s="2992">
        <f t="shared" si="5"/>
        <v>1</v>
      </c>
    </row>
    <row r="20" spans="1:29" ht="15">
      <c r="A20" s="428"/>
      <c r="B20" s="456"/>
      <c r="C20" s="447" t="s">
        <v>3122</v>
      </c>
      <c r="D20" s="448"/>
      <c r="E20" s="2609" t="s">
        <v>3122</v>
      </c>
      <c r="F20" s="449"/>
      <c r="G20" s="2608" t="s">
        <v>3122</v>
      </c>
      <c r="H20" s="448"/>
      <c r="I20" s="2609" t="s">
        <v>3122</v>
      </c>
      <c r="J20" s="448"/>
      <c r="K20" s="615"/>
      <c r="L20" s="1142"/>
      <c r="M20" s="1133"/>
      <c r="N20" s="1133"/>
      <c r="O20" s="1133"/>
      <c r="P20" s="3235"/>
      <c r="Q20" s="2991"/>
      <c r="R20" s="773"/>
      <c r="S20" s="774"/>
      <c r="T20" s="773"/>
      <c r="U20" s="774"/>
      <c r="V20" s="773"/>
      <c r="W20" s="774"/>
      <c r="X20" s="2993"/>
      <c r="Y20" s="3228"/>
      <c r="Z20" s="2994"/>
      <c r="AA20" s="2992">
        <v>1</v>
      </c>
      <c r="AB20" s="2992">
        <v>1</v>
      </c>
      <c r="AC20" s="2992">
        <v>1</v>
      </c>
    </row>
    <row r="21" spans="1:29" ht="42.75">
      <c r="A21" s="428"/>
      <c r="B21" s="1386"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5"/>
      <c r="Q21" s="2991" t="str">
        <f>B21</f>
        <v>基础设施水平</v>
      </c>
      <c r="R21" s="773" t="s">
        <v>17</v>
      </c>
      <c r="S21" s="774">
        <f>F21</f>
        <v>100</v>
      </c>
      <c r="T21" s="773" t="s">
        <v>17</v>
      </c>
      <c r="U21" s="774">
        <f>H21</f>
        <v>100</v>
      </c>
      <c r="V21" s="773" t="s">
        <v>17</v>
      </c>
      <c r="W21" s="774">
        <f>J21</f>
        <v>100</v>
      </c>
      <c r="X21" s="2993"/>
      <c r="Y21" s="3228"/>
      <c r="Z21" s="2994" t="str">
        <f>Q21</f>
        <v>基础设施水平</v>
      </c>
      <c r="AA21" s="2992">
        <f t="shared" ref="AA21" si="8">D21/F21</f>
        <v>1</v>
      </c>
      <c r="AB21" s="2992">
        <f t="shared" ref="AB21" si="9">D21/H21</f>
        <v>1</v>
      </c>
      <c r="AC21" s="2992">
        <f t="shared" ref="AC21" si="10">D21/J21</f>
        <v>1</v>
      </c>
    </row>
    <row r="22" spans="1:29" ht="15">
      <c r="A22" s="428"/>
      <c r="B22" s="1386"/>
      <c r="C22" s="2612" t="s">
        <v>3127</v>
      </c>
      <c r="D22" s="448"/>
      <c r="E22" s="447" t="s">
        <v>3127</v>
      </c>
      <c r="F22" s="449"/>
      <c r="G22" s="447" t="s">
        <v>3127</v>
      </c>
      <c r="H22" s="448"/>
      <c r="I22" s="447" t="s">
        <v>3127</v>
      </c>
      <c r="J22" s="448"/>
      <c r="K22" s="1385"/>
      <c r="L22" s="1142"/>
      <c r="M22" s="1133"/>
      <c r="N22" s="1133"/>
      <c r="O22" s="1133"/>
      <c r="P22" s="3235"/>
      <c r="Q22" s="2991"/>
      <c r="R22" s="773"/>
      <c r="S22" s="774"/>
      <c r="T22" s="773"/>
      <c r="U22" s="774"/>
      <c r="V22" s="773"/>
      <c r="W22" s="774"/>
      <c r="X22" s="2993"/>
      <c r="Y22" s="3228"/>
      <c r="Z22" s="2994"/>
      <c r="AA22" s="2992">
        <v>1</v>
      </c>
      <c r="AB22" s="2992">
        <v>1</v>
      </c>
      <c r="AC22" s="2992">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5"/>
      <c r="Q23" s="2991" t="str">
        <f>B23</f>
        <v>自然及人文环境</v>
      </c>
      <c r="R23" s="773" t="s">
        <v>17</v>
      </c>
      <c r="S23" s="774">
        <f>F23</f>
        <v>100</v>
      </c>
      <c r="T23" s="773" t="s">
        <v>17</v>
      </c>
      <c r="U23" s="774">
        <f>H23</f>
        <v>100</v>
      </c>
      <c r="V23" s="773" t="s">
        <v>17</v>
      </c>
      <c r="W23" s="774">
        <f>J23</f>
        <v>100</v>
      </c>
      <c r="X23" s="2993"/>
      <c r="Y23" s="3228"/>
      <c r="Z23" s="2994" t="str">
        <f>Q23</f>
        <v>自然及人文环境</v>
      </c>
      <c r="AA23" s="2992">
        <f t="shared" si="3"/>
        <v>1</v>
      </c>
      <c r="AB23" s="2992">
        <f t="shared" si="4"/>
        <v>1</v>
      </c>
      <c r="AC23" s="2992">
        <f t="shared" si="5"/>
        <v>1</v>
      </c>
    </row>
    <row r="24" spans="1:29" ht="15">
      <c r="A24" s="428"/>
      <c r="B24" s="456"/>
      <c r="C24" s="447" t="s">
        <v>3122</v>
      </c>
      <c r="D24" s="448"/>
      <c r="E24" s="2609" t="s">
        <v>3122</v>
      </c>
      <c r="F24" s="449"/>
      <c r="G24" s="2608" t="s">
        <v>3122</v>
      </c>
      <c r="H24" s="448"/>
      <c r="I24" s="2609" t="s">
        <v>3122</v>
      </c>
      <c r="J24" s="448"/>
      <c r="K24" s="615"/>
      <c r="L24" s="1142"/>
      <c r="M24" s="1133"/>
      <c r="N24" s="1133"/>
      <c r="O24" s="1133"/>
      <c r="P24" s="3235"/>
      <c r="Q24" s="2991"/>
      <c r="R24" s="773"/>
      <c r="S24" s="774"/>
      <c r="T24" s="773"/>
      <c r="U24" s="774"/>
      <c r="V24" s="773"/>
      <c r="W24" s="774"/>
      <c r="X24" s="2993"/>
      <c r="Y24" s="3228"/>
      <c r="Z24" s="2994"/>
      <c r="AA24" s="2992">
        <v>1</v>
      </c>
      <c r="AB24" s="2992">
        <v>1</v>
      </c>
      <c r="AC24" s="2992">
        <v>1</v>
      </c>
    </row>
    <row r="25" spans="1:29" ht="15">
      <c r="A25" s="428"/>
      <c r="B25" s="2989" t="s">
        <v>2661</v>
      </c>
      <c r="C25" s="616" t="s">
        <v>3141</v>
      </c>
      <c r="D25" s="435">
        <v>100</v>
      </c>
      <c r="E25" s="616" t="s">
        <v>3130</v>
      </c>
      <c r="F25" s="461">
        <f>SUMIF(86:86,E25,87:87)-SUMIF(86:86,C25,87:87)+100</f>
        <v>105</v>
      </c>
      <c r="G25" s="616" t="s">
        <v>3130</v>
      </c>
      <c r="H25" s="435">
        <f>SUMIF(86:86,G25,87:87)-SUMIF(86:86,C25,87:87)+100</f>
        <v>105</v>
      </c>
      <c r="I25" s="616" t="s">
        <v>3130</v>
      </c>
      <c r="J25" s="435">
        <f>SUMIF(86:86,I25,87:87)-SUMIF(86:86,C25,87:87)+100</f>
        <v>105</v>
      </c>
      <c r="K25" s="612">
        <v>5</v>
      </c>
      <c r="L25" s="1142"/>
      <c r="M25" s="1133"/>
      <c r="N25" s="1133"/>
      <c r="O25" s="1133"/>
      <c r="P25" s="3235"/>
      <c r="Q25" s="2991" t="str">
        <f t="shared" ref="Q25:Q46" si="11">B25</f>
        <v>临街状况</v>
      </c>
      <c r="R25" s="773" t="s">
        <v>17</v>
      </c>
      <c r="S25" s="774">
        <f>F25</f>
        <v>105</v>
      </c>
      <c r="T25" s="773" t="s">
        <v>17</v>
      </c>
      <c r="U25" s="774">
        <f>H25</f>
        <v>105</v>
      </c>
      <c r="V25" s="773" t="s">
        <v>17</v>
      </c>
      <c r="W25" s="774">
        <f>J25</f>
        <v>105</v>
      </c>
      <c r="X25" s="2993"/>
      <c r="Y25" s="3228"/>
      <c r="Z25" s="2994" t="str">
        <f>Q25</f>
        <v>临街状况</v>
      </c>
      <c r="AA25" s="2992">
        <f t="shared" si="3"/>
        <v>0.95238095238095233</v>
      </c>
      <c r="AB25" s="2992">
        <f t="shared" si="4"/>
        <v>0.95238095238095233</v>
      </c>
      <c r="AC25" s="2992">
        <f t="shared" si="5"/>
        <v>0.95238095238095233</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5"/>
      <c r="Q26" s="2991" t="str">
        <f t="shared" si="11"/>
        <v>平面位置/可视性</v>
      </c>
      <c r="R26" s="773" t="s">
        <v>17</v>
      </c>
      <c r="S26" s="774">
        <f>F26</f>
        <v>100</v>
      </c>
      <c r="T26" s="773" t="s">
        <v>17</v>
      </c>
      <c r="U26" s="774">
        <f>H26</f>
        <v>100</v>
      </c>
      <c r="V26" s="773" t="s">
        <v>17</v>
      </c>
      <c r="W26" s="774">
        <f>J26</f>
        <v>100</v>
      </c>
      <c r="X26" s="2993"/>
      <c r="Y26" s="3228"/>
      <c r="Z26" s="2994" t="str">
        <f>Q26</f>
        <v>平面位置/可视性</v>
      </c>
      <c r="AA26" s="2992">
        <f t="shared" si="3"/>
        <v>1</v>
      </c>
      <c r="AB26" s="2992">
        <f t="shared" si="4"/>
        <v>1</v>
      </c>
      <c r="AC26" s="2992">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35"/>
      <c r="Q27" s="2987" t="str">
        <f t="shared" si="11"/>
        <v>人流量</v>
      </c>
      <c r="R27" s="769" t="s">
        <v>17</v>
      </c>
      <c r="S27" s="770">
        <f>F27</f>
        <v>100</v>
      </c>
      <c r="T27" s="769" t="s">
        <v>17</v>
      </c>
      <c r="U27" s="770">
        <f>H27</f>
        <v>100</v>
      </c>
      <c r="V27" s="769" t="s">
        <v>17</v>
      </c>
      <c r="W27" s="770">
        <f>J27</f>
        <v>100</v>
      </c>
      <c r="X27" s="771"/>
      <c r="Y27" s="3228"/>
      <c r="Z27" s="2988" t="str">
        <f>Q27</f>
        <v>人流量</v>
      </c>
      <c r="AA27" s="2992">
        <f>D27/F27</f>
        <v>1</v>
      </c>
      <c r="AB27" s="2992">
        <f>D27/H27</f>
        <v>1</v>
      </c>
      <c r="AC27" s="2992">
        <f>D27/J27</f>
        <v>1</v>
      </c>
    </row>
    <row r="28" spans="1:29" ht="15">
      <c r="A28" s="428"/>
      <c r="B28" s="2989" t="s">
        <v>2664</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5"/>
      <c r="Q28" s="2991" t="str">
        <f t="shared" si="11"/>
        <v>楼层</v>
      </c>
      <c r="R28" s="773" t="s">
        <v>17</v>
      </c>
      <c r="S28" s="774">
        <f t="shared" ref="S28:S46" si="12">F28</f>
        <v>100</v>
      </c>
      <c r="T28" s="773" t="s">
        <v>17</v>
      </c>
      <c r="U28" s="774">
        <f t="shared" ref="U28:U46" si="13">H28</f>
        <v>100</v>
      </c>
      <c r="V28" s="773" t="s">
        <v>17</v>
      </c>
      <c r="W28" s="774">
        <f t="shared" ref="W28:W46" si="14">J28</f>
        <v>100</v>
      </c>
      <c r="X28" s="2993"/>
      <c r="Y28" s="3228"/>
      <c r="Z28" s="2994" t="str">
        <f t="shared" ref="Z28:Z46" si="15">Q28</f>
        <v>楼层</v>
      </c>
      <c r="AA28" s="2992">
        <f t="shared" si="3"/>
        <v>1</v>
      </c>
      <c r="AB28" s="2992">
        <f t="shared" si="4"/>
        <v>1</v>
      </c>
      <c r="AC28" s="299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5"/>
      <c r="Q29" s="2991">
        <f t="shared" si="11"/>
        <v>111</v>
      </c>
      <c r="R29" s="773" t="s">
        <v>17</v>
      </c>
      <c r="S29" s="774">
        <f t="shared" si="12"/>
        <v>100</v>
      </c>
      <c r="T29" s="773" t="s">
        <v>17</v>
      </c>
      <c r="U29" s="774">
        <f t="shared" si="13"/>
        <v>100</v>
      </c>
      <c r="V29" s="773" t="s">
        <v>17</v>
      </c>
      <c r="W29" s="774">
        <f t="shared" si="14"/>
        <v>100</v>
      </c>
      <c r="X29" s="2993"/>
      <c r="Y29" s="3228"/>
      <c r="Z29" s="2994">
        <f t="shared" si="15"/>
        <v>111</v>
      </c>
      <c r="AA29" s="2992">
        <f t="shared" si="3"/>
        <v>1</v>
      </c>
      <c r="AB29" s="2992">
        <f t="shared" si="4"/>
        <v>1</v>
      </c>
      <c r="AC29" s="299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5"/>
      <c r="Q30" s="2991">
        <f t="shared" si="11"/>
        <v>111</v>
      </c>
      <c r="R30" s="773" t="s">
        <v>17</v>
      </c>
      <c r="S30" s="774">
        <f t="shared" si="12"/>
        <v>100</v>
      </c>
      <c r="T30" s="773" t="s">
        <v>17</v>
      </c>
      <c r="U30" s="774">
        <f t="shared" si="13"/>
        <v>100</v>
      </c>
      <c r="V30" s="773" t="s">
        <v>17</v>
      </c>
      <c r="W30" s="774">
        <f t="shared" si="14"/>
        <v>100</v>
      </c>
      <c r="X30" s="2993"/>
      <c r="Y30" s="3228"/>
      <c r="Z30" s="2994">
        <f t="shared" si="15"/>
        <v>111</v>
      </c>
      <c r="AA30" s="2992">
        <f t="shared" si="3"/>
        <v>1</v>
      </c>
      <c r="AB30" s="2992">
        <f t="shared" si="4"/>
        <v>1</v>
      </c>
      <c r="AC30" s="299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5"/>
      <c r="Q31" s="2991">
        <f t="shared" si="11"/>
        <v>111</v>
      </c>
      <c r="R31" s="773" t="s">
        <v>17</v>
      </c>
      <c r="S31" s="774">
        <f t="shared" si="12"/>
        <v>100</v>
      </c>
      <c r="T31" s="773" t="s">
        <v>17</v>
      </c>
      <c r="U31" s="774">
        <f t="shared" si="13"/>
        <v>100</v>
      </c>
      <c r="V31" s="773" t="s">
        <v>17</v>
      </c>
      <c r="W31" s="774">
        <f t="shared" si="14"/>
        <v>100</v>
      </c>
      <c r="X31" s="2993"/>
      <c r="Y31" s="3228"/>
      <c r="Z31" s="2994">
        <f t="shared" si="15"/>
        <v>111</v>
      </c>
      <c r="AA31" s="2992">
        <f t="shared" si="3"/>
        <v>1</v>
      </c>
      <c r="AB31" s="2992">
        <f t="shared" si="4"/>
        <v>1</v>
      </c>
      <c r="AC31" s="2992">
        <f t="shared" si="5"/>
        <v>1</v>
      </c>
    </row>
    <row r="32" spans="1:29" ht="15">
      <c r="A32" s="440" t="s">
        <v>2568</v>
      </c>
      <c r="B32" s="71" t="s">
        <v>2665</v>
      </c>
      <c r="C32" s="2621" t="s">
        <v>3088</v>
      </c>
      <c r="D32" s="467">
        <v>100</v>
      </c>
      <c r="E32" s="2621" t="s">
        <v>1377</v>
      </c>
      <c r="F32" s="461">
        <f>SUMIF(100:100,E32,101:101)-SUMIF(100:100,C32,101:101)+100</f>
        <v>104</v>
      </c>
      <c r="G32" s="2952" t="s">
        <v>1377</v>
      </c>
      <c r="H32" s="435">
        <f>SUMIF(100:100,G32,101:101)-SUMIF(100:100,C32,101:101)+100</f>
        <v>104</v>
      </c>
      <c r="I32" s="2952" t="s">
        <v>3087</v>
      </c>
      <c r="J32" s="467">
        <f>SUMIF(100:100,I32,101:101)-SUMIF(100:100,C32,101:101)+100</f>
        <v>102</v>
      </c>
      <c r="K32" s="612">
        <v>2</v>
      </c>
      <c r="L32" s="1142"/>
      <c r="M32" s="1133"/>
      <c r="N32" s="1133"/>
      <c r="O32" s="1133"/>
      <c r="P32" s="3229" t="s">
        <v>2570</v>
      </c>
      <c r="Q32" s="2991" t="str">
        <f t="shared" si="11"/>
        <v>商业类型</v>
      </c>
      <c r="R32" s="773" t="s">
        <v>17</v>
      </c>
      <c r="S32" s="774">
        <f t="shared" si="12"/>
        <v>104</v>
      </c>
      <c r="T32" s="773" t="s">
        <v>17</v>
      </c>
      <c r="U32" s="774">
        <f t="shared" si="13"/>
        <v>104</v>
      </c>
      <c r="V32" s="773" t="s">
        <v>17</v>
      </c>
      <c r="W32" s="774">
        <f t="shared" si="14"/>
        <v>102</v>
      </c>
      <c r="X32" s="2993"/>
      <c r="Y32" s="3232" t="s">
        <v>2570</v>
      </c>
      <c r="Z32" s="2994" t="str">
        <f t="shared" si="15"/>
        <v>商业类型</v>
      </c>
      <c r="AA32" s="2992">
        <f t="shared" si="3"/>
        <v>0.96153846153846156</v>
      </c>
      <c r="AB32" s="2992">
        <f t="shared" si="4"/>
        <v>0.96153846153846156</v>
      </c>
      <c r="AC32" s="2992">
        <f t="shared" si="5"/>
        <v>0.98039215686274506</v>
      </c>
    </row>
    <row r="33" spans="1:29" s="471" customFormat="1" ht="15">
      <c r="A33" s="468"/>
      <c r="B33" s="2989" t="s">
        <v>2571</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230"/>
      <c r="Q33" s="775" t="str">
        <f t="shared" si="11"/>
        <v>项目建筑规模</v>
      </c>
      <c r="R33" s="776" t="s">
        <v>17</v>
      </c>
      <c r="S33" s="777">
        <f t="shared" si="12"/>
        <v>100</v>
      </c>
      <c r="T33" s="776" t="s">
        <v>17</v>
      </c>
      <c r="U33" s="777">
        <f t="shared" si="13"/>
        <v>100</v>
      </c>
      <c r="V33" s="776" t="s">
        <v>17</v>
      </c>
      <c r="W33" s="777">
        <f t="shared" si="14"/>
        <v>100</v>
      </c>
      <c r="X33" s="778"/>
      <c r="Y33" s="3232"/>
      <c r="Z33" s="779" t="str">
        <f t="shared" si="15"/>
        <v>项目建筑规模</v>
      </c>
      <c r="AA33" s="2992">
        <f t="shared" si="3"/>
        <v>1</v>
      </c>
      <c r="AB33" s="2992">
        <f t="shared" si="4"/>
        <v>1</v>
      </c>
      <c r="AC33" s="2992">
        <f t="shared" si="5"/>
        <v>1</v>
      </c>
    </row>
    <row r="34" spans="1:29" ht="15">
      <c r="A34" s="472"/>
      <c r="B34" s="2989" t="s">
        <v>2572</v>
      </c>
      <c r="C34" s="2953" t="s">
        <v>3094</v>
      </c>
      <c r="D34" s="435">
        <v>100</v>
      </c>
      <c r="E34" s="2953" t="s">
        <v>3077</v>
      </c>
      <c r="F34" s="461">
        <f>SUMIF(105:105,E34,106:106)-SUMIF(105:105,C34,106:106)+100</f>
        <v>100</v>
      </c>
      <c r="G34" s="2953" t="s">
        <v>3094</v>
      </c>
      <c r="H34" s="435">
        <f>SUMIF(105:105,G34,106:106)-SUMIF(105:105,C34,106:106)+100</f>
        <v>100</v>
      </c>
      <c r="I34" s="2953" t="s">
        <v>3094</v>
      </c>
      <c r="J34" s="435">
        <f>SUMIF(105:105,I34,106:106)-SUMIF(105:105,C34,106:106)+100</f>
        <v>100</v>
      </c>
      <c r="K34" s="612">
        <v>2</v>
      </c>
      <c r="L34" s="1142"/>
      <c r="M34" s="1133"/>
      <c r="N34" s="1133"/>
      <c r="O34" s="1133"/>
      <c r="P34" s="3230"/>
      <c r="Q34" s="2991" t="str">
        <f t="shared" si="11"/>
        <v>建筑结构</v>
      </c>
      <c r="R34" s="773" t="s">
        <v>17</v>
      </c>
      <c r="S34" s="774">
        <f t="shared" si="12"/>
        <v>100</v>
      </c>
      <c r="T34" s="773" t="s">
        <v>17</v>
      </c>
      <c r="U34" s="774">
        <f t="shared" si="13"/>
        <v>100</v>
      </c>
      <c r="V34" s="773" t="s">
        <v>17</v>
      </c>
      <c r="W34" s="774">
        <f t="shared" si="14"/>
        <v>100</v>
      </c>
      <c r="X34" s="2993"/>
      <c r="Y34" s="3232"/>
      <c r="Z34" s="2994" t="str">
        <f t="shared" si="15"/>
        <v>建筑结构</v>
      </c>
      <c r="AA34" s="2992">
        <f t="shared" si="3"/>
        <v>1</v>
      </c>
      <c r="AB34" s="2992">
        <f t="shared" si="4"/>
        <v>1</v>
      </c>
      <c r="AC34" s="2992">
        <f t="shared" si="5"/>
        <v>1</v>
      </c>
    </row>
    <row r="35" spans="1:29" ht="15">
      <c r="A35" s="472"/>
      <c r="B35" s="2989" t="s">
        <v>2666</v>
      </c>
      <c r="C35" s="2955" t="s">
        <v>3097</v>
      </c>
      <c r="D35" s="435">
        <v>100</v>
      </c>
      <c r="E35" s="2955" t="s">
        <v>3138</v>
      </c>
      <c r="F35" s="461">
        <f>SUMIF(107:107,E35,108:108)-SUMIF(107:107,C35,108:108)+100</f>
        <v>100</v>
      </c>
      <c r="G35" s="2955" t="s">
        <v>3138</v>
      </c>
      <c r="H35" s="435">
        <f>SUMIF(107:107,G35,108:108)-SUMIF(107:107,C35,108:108)+100</f>
        <v>100</v>
      </c>
      <c r="I35" s="2955" t="s">
        <v>3097</v>
      </c>
      <c r="J35" s="435">
        <f>SUMIF(107:107,I35,108:108)-SUMIF(107:107,C35,108:108)+100</f>
        <v>100</v>
      </c>
      <c r="K35" s="612">
        <v>2</v>
      </c>
      <c r="L35" s="1142"/>
      <c r="M35" s="1133"/>
      <c r="N35" s="1133"/>
      <c r="O35" s="1133"/>
      <c r="P35" s="3230"/>
      <c r="Q35" s="2991" t="str">
        <f t="shared" si="11"/>
        <v>公共部分装修</v>
      </c>
      <c r="R35" s="773" t="s">
        <v>17</v>
      </c>
      <c r="S35" s="774">
        <f t="shared" si="12"/>
        <v>100</v>
      </c>
      <c r="T35" s="773" t="s">
        <v>17</v>
      </c>
      <c r="U35" s="774">
        <f t="shared" si="13"/>
        <v>100</v>
      </c>
      <c r="V35" s="773" t="s">
        <v>17</v>
      </c>
      <c r="W35" s="774">
        <f t="shared" si="14"/>
        <v>100</v>
      </c>
      <c r="X35" s="2993"/>
      <c r="Y35" s="3232"/>
      <c r="Z35" s="2994" t="str">
        <f t="shared" si="15"/>
        <v>公共部分装修</v>
      </c>
      <c r="AA35" s="2992">
        <f t="shared" si="3"/>
        <v>1</v>
      </c>
      <c r="AB35" s="2992">
        <f t="shared" si="4"/>
        <v>1</v>
      </c>
      <c r="AC35" s="2992">
        <f t="shared" si="5"/>
        <v>1</v>
      </c>
    </row>
    <row r="36" spans="1:29" ht="15">
      <c r="A36" s="472"/>
      <c r="B36" s="2989" t="s">
        <v>2667</v>
      </c>
      <c r="C36" s="474">
        <f>'数据-取费表'!N6</f>
        <v>0.83</v>
      </c>
      <c r="D36" s="435">
        <v>100</v>
      </c>
      <c r="E36" s="474">
        <f>ROUND(1-(2018-2014)/60,2)</f>
        <v>0.93</v>
      </c>
      <c r="F36" s="461">
        <f>LOOKUP(E36,110:110,111:111)-LOOKUP(C36,110:110,111:111)+100</f>
        <v>102</v>
      </c>
      <c r="G36" s="474">
        <v>0.93</v>
      </c>
      <c r="H36" s="461">
        <f>LOOKUP(G36,110:110,111:111)-LOOKUP(C36,110:110,111:111)+100</f>
        <v>102</v>
      </c>
      <c r="I36" s="474">
        <v>0.97</v>
      </c>
      <c r="J36" s="435">
        <f>LOOKUP(I36,110:110,111:111)-LOOKUP(C36,110:110,111:111)+100</f>
        <v>102</v>
      </c>
      <c r="K36" s="612">
        <v>2</v>
      </c>
      <c r="L36" s="1142"/>
      <c r="M36" s="1133"/>
      <c r="N36" s="1133"/>
      <c r="O36" s="1133"/>
      <c r="P36" s="3230"/>
      <c r="Q36" s="2991" t="str">
        <f t="shared" si="11"/>
        <v>成新度</v>
      </c>
      <c r="R36" s="773" t="s">
        <v>17</v>
      </c>
      <c r="S36" s="774">
        <f t="shared" si="12"/>
        <v>102</v>
      </c>
      <c r="T36" s="773" t="s">
        <v>17</v>
      </c>
      <c r="U36" s="774">
        <f t="shared" si="13"/>
        <v>102</v>
      </c>
      <c r="V36" s="773" t="s">
        <v>17</v>
      </c>
      <c r="W36" s="774">
        <f t="shared" si="14"/>
        <v>102</v>
      </c>
      <c r="X36" s="2993"/>
      <c r="Y36" s="3232"/>
      <c r="Z36" s="2994" t="str">
        <f t="shared" si="15"/>
        <v>成新度</v>
      </c>
      <c r="AA36" s="2992">
        <f t="shared" si="3"/>
        <v>0.98039215686274506</v>
      </c>
      <c r="AB36" s="2992">
        <f t="shared" si="4"/>
        <v>0.98039215686274506</v>
      </c>
      <c r="AC36" s="2992">
        <f t="shared" si="5"/>
        <v>0.98039215686274506</v>
      </c>
    </row>
    <row r="37" spans="1:29" s="117" customFormat="1" ht="15">
      <c r="A37" s="473"/>
      <c r="B37" s="2989" t="s">
        <v>2668</v>
      </c>
      <c r="C37" s="2955" t="s">
        <v>3099</v>
      </c>
      <c r="D37" s="136">
        <v>100</v>
      </c>
      <c r="E37" s="2955" t="s">
        <v>3100</v>
      </c>
      <c r="F37" s="461">
        <f>SUMIF(112:112,E37,113:113)-SUMIF(112:112,C37,113:113)+100</f>
        <v>98</v>
      </c>
      <c r="G37" s="2955" t="s">
        <v>3100</v>
      </c>
      <c r="H37" s="435">
        <f>SUMIF(112:112,G37,113:113)-SUMIF(112:112,C37,113:113)+100</f>
        <v>98</v>
      </c>
      <c r="I37" s="2955" t="s">
        <v>3102</v>
      </c>
      <c r="J37" s="435">
        <f>SUMIF(112:112,I37,113:113)-SUMIF(112:112,C37,113:113)+100</f>
        <v>96</v>
      </c>
      <c r="K37" s="612">
        <v>2</v>
      </c>
      <c r="L37" s="1134"/>
      <c r="M37" s="1135"/>
      <c r="N37" s="1135"/>
      <c r="O37" s="1135"/>
      <c r="P37" s="3230"/>
      <c r="Q37" s="2987" t="str">
        <f t="shared" si="11"/>
        <v>市政基础设施</v>
      </c>
      <c r="R37" s="769" t="s">
        <v>17</v>
      </c>
      <c r="S37" s="770">
        <f t="shared" si="12"/>
        <v>98</v>
      </c>
      <c r="T37" s="769" t="s">
        <v>17</v>
      </c>
      <c r="U37" s="770">
        <f t="shared" si="13"/>
        <v>98</v>
      </c>
      <c r="V37" s="769" t="s">
        <v>17</v>
      </c>
      <c r="W37" s="770">
        <f t="shared" si="14"/>
        <v>96</v>
      </c>
      <c r="X37" s="771"/>
      <c r="Y37" s="3232"/>
      <c r="Z37" s="2988" t="str">
        <f t="shared" si="15"/>
        <v>市政基础设施</v>
      </c>
      <c r="AA37" s="772">
        <f t="shared" si="3"/>
        <v>1.0204081632653061</v>
      </c>
      <c r="AB37" s="772">
        <f t="shared" si="4"/>
        <v>1.0204081632653061</v>
      </c>
      <c r="AC37" s="772">
        <f t="shared" si="5"/>
        <v>1.0416666666666667</v>
      </c>
    </row>
    <row r="38" spans="1:29" ht="15">
      <c r="A38" s="472"/>
      <c r="B38" s="2989"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30" t="s">
        <v>2570</v>
      </c>
      <c r="Q38" s="2991" t="str">
        <f t="shared" si="11"/>
        <v>业态</v>
      </c>
      <c r="R38" s="773" t="s">
        <v>17</v>
      </c>
      <c r="S38" s="774">
        <f t="shared" si="12"/>
        <v>100</v>
      </c>
      <c r="T38" s="773" t="s">
        <v>17</v>
      </c>
      <c r="U38" s="774">
        <f t="shared" si="13"/>
        <v>100</v>
      </c>
      <c r="V38" s="773" t="s">
        <v>17</v>
      </c>
      <c r="W38" s="774">
        <f t="shared" si="14"/>
        <v>100</v>
      </c>
      <c r="X38" s="2993"/>
      <c r="Y38" s="3232" t="s">
        <v>2570</v>
      </c>
      <c r="Z38" s="2994" t="str">
        <f t="shared" si="15"/>
        <v>业态</v>
      </c>
      <c r="AA38" s="2992">
        <f t="shared" si="3"/>
        <v>1</v>
      </c>
      <c r="AB38" s="2992">
        <f t="shared" si="4"/>
        <v>1</v>
      </c>
      <c r="AC38" s="2992">
        <f t="shared" si="5"/>
        <v>1</v>
      </c>
    </row>
    <row r="39" spans="1:29" ht="15">
      <c r="A39" s="472"/>
      <c r="B39" s="2989" t="s">
        <v>2670</v>
      </c>
      <c r="C39" s="2617">
        <v>4.5</v>
      </c>
      <c r="D39" s="435">
        <v>100</v>
      </c>
      <c r="E39" s="2617" t="s">
        <v>3121</v>
      </c>
      <c r="F39" s="461">
        <f>SUMIF(116:116,E39,117:117)-SUMIF(116:116,C39,117:117)+100</f>
        <v>96</v>
      </c>
      <c r="G39" s="2617" t="s">
        <v>3121</v>
      </c>
      <c r="H39" s="435">
        <f>SUMIF(116:116,G39,117:117)-SUMIF(116:116,C39,117:117)+100</f>
        <v>96</v>
      </c>
      <c r="I39" s="2617" t="s">
        <v>3121</v>
      </c>
      <c r="J39" s="435">
        <f>SUMIF(116:116,I39,117:117)-SUMIF(116:116,C39,117:117)+100</f>
        <v>96</v>
      </c>
      <c r="K39" s="612">
        <v>2</v>
      </c>
      <c r="L39" s="1142"/>
      <c r="M39" s="1133"/>
      <c r="N39" s="1133"/>
      <c r="O39" s="1133"/>
      <c r="P39" s="3230"/>
      <c r="Q39" s="2991" t="str">
        <f t="shared" si="11"/>
        <v>层高</v>
      </c>
      <c r="R39" s="773" t="s">
        <v>17</v>
      </c>
      <c r="S39" s="774">
        <f t="shared" si="12"/>
        <v>96</v>
      </c>
      <c r="T39" s="773" t="s">
        <v>17</v>
      </c>
      <c r="U39" s="774">
        <f t="shared" si="13"/>
        <v>96</v>
      </c>
      <c r="V39" s="773" t="s">
        <v>17</v>
      </c>
      <c r="W39" s="774">
        <f t="shared" si="14"/>
        <v>96</v>
      </c>
      <c r="X39" s="2993"/>
      <c r="Y39" s="3232"/>
      <c r="Z39" s="2994" t="str">
        <f t="shared" si="15"/>
        <v>层高</v>
      </c>
      <c r="AA39" s="2992">
        <f t="shared" si="3"/>
        <v>1.0416666666666667</v>
      </c>
      <c r="AB39" s="2992">
        <f t="shared" si="4"/>
        <v>1.0416666666666667</v>
      </c>
      <c r="AC39" s="2992">
        <f t="shared" si="5"/>
        <v>1.0416666666666667</v>
      </c>
    </row>
    <row r="40" spans="1:29" ht="15">
      <c r="A40" s="472"/>
      <c r="B40" s="2989" t="s">
        <v>2671</v>
      </c>
      <c r="C40" s="2956">
        <v>2542.7199999999998</v>
      </c>
      <c r="D40" s="435">
        <v>100</v>
      </c>
      <c r="E40" s="617">
        <v>72</v>
      </c>
      <c r="F40" s="461">
        <f>SUMIF(118:118,E40,119:119)-SUMIF(118:118,C40,119:119)+100</f>
        <v>105</v>
      </c>
      <c r="G40" s="617">
        <v>45</v>
      </c>
      <c r="H40" s="435">
        <f>SUMIF(118:118,G40,119:119)-SUMIF(118:118,C40,119:119)+100</f>
        <v>105</v>
      </c>
      <c r="I40" s="617">
        <v>76</v>
      </c>
      <c r="J40" s="435">
        <f>SUMIF(118:118,I40,119:119)-SUMIF(118:118,C40,119:119)+100</f>
        <v>105</v>
      </c>
      <c r="K40" s="613"/>
      <c r="L40" s="1142"/>
      <c r="M40" s="1133"/>
      <c r="N40" s="1133"/>
      <c r="O40" s="1133"/>
      <c r="P40" s="3230"/>
      <c r="Q40" s="2991" t="str">
        <f t="shared" si="11"/>
        <v>单套建筑面积</v>
      </c>
      <c r="R40" s="773" t="s">
        <v>17</v>
      </c>
      <c r="S40" s="774">
        <f t="shared" si="12"/>
        <v>105</v>
      </c>
      <c r="T40" s="773" t="s">
        <v>17</v>
      </c>
      <c r="U40" s="774">
        <f t="shared" si="13"/>
        <v>105</v>
      </c>
      <c r="V40" s="773" t="s">
        <v>17</v>
      </c>
      <c r="W40" s="774">
        <f t="shared" si="14"/>
        <v>105</v>
      </c>
      <c r="X40" s="2993"/>
      <c r="Y40" s="3232"/>
      <c r="Z40" s="2994" t="str">
        <f t="shared" si="15"/>
        <v>单套建筑面积</v>
      </c>
      <c r="AA40" s="2992">
        <f t="shared" si="3"/>
        <v>0.95238095238095233</v>
      </c>
      <c r="AB40" s="2992">
        <f t="shared" si="4"/>
        <v>0.95238095238095233</v>
      </c>
      <c r="AC40" s="2992">
        <f t="shared" si="5"/>
        <v>0.95238095238095233</v>
      </c>
    </row>
    <row r="41" spans="1:29" s="471" customFormat="1" ht="15">
      <c r="A41" s="468"/>
      <c r="B41" s="2990" t="s">
        <v>2672</v>
      </c>
      <c r="C41" s="616" t="s">
        <v>3122</v>
      </c>
      <c r="D41" s="435">
        <v>100</v>
      </c>
      <c r="E41" s="616" t="s">
        <v>3126</v>
      </c>
      <c r="F41" s="461">
        <f>SUMIF(120:120,E41,121:121)-SUMIF(120:120,C41,121:121)+100</f>
        <v>98</v>
      </c>
      <c r="G41" s="616" t="s">
        <v>3126</v>
      </c>
      <c r="H41" s="435">
        <f>SUMIF(120:120,G41,121:121)-SUMIF(120:120,C41,121:121)+100</f>
        <v>98</v>
      </c>
      <c r="I41" s="616" t="s">
        <v>3126</v>
      </c>
      <c r="J41" s="435">
        <f>SUMIF(120:120,I41,121:121)-SUMIF(120:120,C41,121:121)+100</f>
        <v>98</v>
      </c>
      <c r="K41" s="612">
        <v>2</v>
      </c>
      <c r="L41" s="1140"/>
      <c r="M41" s="1143"/>
      <c r="N41" s="1143"/>
      <c r="O41" s="1143"/>
      <c r="P41" s="3230"/>
      <c r="Q41" s="775" t="str">
        <f t="shared" si="11"/>
        <v>进深比</v>
      </c>
      <c r="R41" s="776" t="s">
        <v>17</v>
      </c>
      <c r="S41" s="777">
        <f t="shared" si="12"/>
        <v>98</v>
      </c>
      <c r="T41" s="776" t="s">
        <v>17</v>
      </c>
      <c r="U41" s="777">
        <f t="shared" si="13"/>
        <v>98</v>
      </c>
      <c r="V41" s="776" t="s">
        <v>17</v>
      </c>
      <c r="W41" s="777">
        <f t="shared" si="14"/>
        <v>98</v>
      </c>
      <c r="X41" s="778"/>
      <c r="Y41" s="3232"/>
      <c r="Z41" s="779" t="str">
        <f t="shared" si="15"/>
        <v>进深比</v>
      </c>
      <c r="AA41" s="2992">
        <f t="shared" si="3"/>
        <v>1.0204081632653061</v>
      </c>
      <c r="AB41" s="2992">
        <f t="shared" si="4"/>
        <v>1.0204081632653061</v>
      </c>
      <c r="AC41" s="2992">
        <f t="shared" si="5"/>
        <v>1.0204081632653061</v>
      </c>
    </row>
    <row r="42" spans="1:29" ht="15">
      <c r="A42" s="472"/>
      <c r="B42" s="2989"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30"/>
      <c r="Q42" s="2991" t="str">
        <f t="shared" si="11"/>
        <v>内部装修</v>
      </c>
      <c r="R42" s="773" t="s">
        <v>17</v>
      </c>
      <c r="S42" s="774">
        <f t="shared" si="12"/>
        <v>100</v>
      </c>
      <c r="T42" s="773" t="s">
        <v>17</v>
      </c>
      <c r="U42" s="774">
        <f t="shared" si="13"/>
        <v>100</v>
      </c>
      <c r="V42" s="773" t="s">
        <v>17</v>
      </c>
      <c r="W42" s="774">
        <f t="shared" si="14"/>
        <v>100</v>
      </c>
      <c r="X42" s="2993"/>
      <c r="Y42" s="3232"/>
      <c r="Z42" s="2994" t="str">
        <f t="shared" si="15"/>
        <v>内部装修</v>
      </c>
      <c r="AA42" s="2992">
        <f t="shared" si="3"/>
        <v>1</v>
      </c>
      <c r="AB42" s="2992">
        <f t="shared" si="4"/>
        <v>1</v>
      </c>
      <c r="AC42" s="2992">
        <f t="shared" si="5"/>
        <v>1</v>
      </c>
    </row>
    <row r="43" spans="1:29" ht="15">
      <c r="A43" s="472"/>
      <c r="B43" s="2989"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30"/>
      <c r="Q43" s="2991" t="str">
        <f t="shared" si="11"/>
        <v>内部装修维护情况</v>
      </c>
      <c r="R43" s="773" t="s">
        <v>17</v>
      </c>
      <c r="S43" s="774">
        <f t="shared" si="12"/>
        <v>100</v>
      </c>
      <c r="T43" s="773" t="s">
        <v>17</v>
      </c>
      <c r="U43" s="774">
        <f t="shared" si="13"/>
        <v>100</v>
      </c>
      <c r="V43" s="773" t="s">
        <v>17</v>
      </c>
      <c r="W43" s="774">
        <f t="shared" si="14"/>
        <v>100</v>
      </c>
      <c r="X43" s="2993"/>
      <c r="Y43" s="3232"/>
      <c r="Z43" s="2994" t="str">
        <f t="shared" si="15"/>
        <v>内部装修维护情况</v>
      </c>
      <c r="AA43" s="2992">
        <f t="shared" si="3"/>
        <v>1</v>
      </c>
      <c r="AB43" s="2992">
        <f t="shared" si="4"/>
        <v>1</v>
      </c>
      <c r="AC43" s="2992">
        <f t="shared" si="5"/>
        <v>1</v>
      </c>
    </row>
    <row r="44" spans="1:29" s="117" customFormat="1" ht="15">
      <c r="A44" s="473"/>
      <c r="B44" s="1388">
        <v>111</v>
      </c>
      <c r="C44" s="469">
        <v>1</v>
      </c>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2987">
        <f t="shared" si="11"/>
        <v>111</v>
      </c>
      <c r="R44" s="769" t="s">
        <v>17</v>
      </c>
      <c r="S44" s="770">
        <f t="shared" si="12"/>
        <v>100</v>
      </c>
      <c r="T44" s="769" t="s">
        <v>17</v>
      </c>
      <c r="U44" s="770">
        <f t="shared" si="13"/>
        <v>100</v>
      </c>
      <c r="V44" s="769" t="s">
        <v>17</v>
      </c>
      <c r="W44" s="770">
        <f t="shared" si="14"/>
        <v>100</v>
      </c>
      <c r="X44" s="771"/>
      <c r="Y44" s="3232"/>
      <c r="Z44" s="2988">
        <f t="shared" si="15"/>
        <v>111</v>
      </c>
      <c r="AA44" s="772">
        <f t="shared" si="3"/>
        <v>1</v>
      </c>
      <c r="AB44" s="772">
        <f t="shared" si="4"/>
        <v>1</v>
      </c>
      <c r="AC44" s="772">
        <f t="shared" si="5"/>
        <v>1</v>
      </c>
    </row>
    <row r="45" spans="1:29" ht="15">
      <c r="A45" s="472"/>
      <c r="B45" s="1388">
        <v>111</v>
      </c>
      <c r="C45" s="434">
        <v>0.6</v>
      </c>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2991">
        <f t="shared" si="11"/>
        <v>111</v>
      </c>
      <c r="R45" s="773" t="s">
        <v>17</v>
      </c>
      <c r="S45" s="774">
        <f t="shared" si="12"/>
        <v>100</v>
      </c>
      <c r="T45" s="773" t="s">
        <v>17</v>
      </c>
      <c r="U45" s="774">
        <f t="shared" si="13"/>
        <v>100</v>
      </c>
      <c r="V45" s="773" t="s">
        <v>17</v>
      </c>
      <c r="W45" s="774">
        <f t="shared" si="14"/>
        <v>100</v>
      </c>
      <c r="X45" s="2993"/>
      <c r="Y45" s="3232"/>
      <c r="Z45" s="2994">
        <f t="shared" si="15"/>
        <v>111</v>
      </c>
      <c r="AA45" s="2992">
        <f t="shared" si="3"/>
        <v>1</v>
      </c>
      <c r="AB45" s="2992">
        <f t="shared" si="4"/>
        <v>1</v>
      </c>
      <c r="AC45" s="2992">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2991">
        <f t="shared" si="11"/>
        <v>111</v>
      </c>
      <c r="R46" s="773" t="s">
        <v>17</v>
      </c>
      <c r="S46" s="774">
        <f t="shared" si="12"/>
        <v>100</v>
      </c>
      <c r="T46" s="773" t="s">
        <v>17</v>
      </c>
      <c r="U46" s="774">
        <f t="shared" si="13"/>
        <v>100</v>
      </c>
      <c r="V46" s="773" t="s">
        <v>17</v>
      </c>
      <c r="W46" s="774">
        <f t="shared" si="14"/>
        <v>100</v>
      </c>
      <c r="X46" s="2993"/>
      <c r="Y46" s="3233"/>
      <c r="Z46" s="2994">
        <f t="shared" si="15"/>
        <v>111</v>
      </c>
      <c r="AA46" s="2992">
        <f t="shared" si="3"/>
        <v>1</v>
      </c>
      <c r="AB46" s="2992">
        <f t="shared" si="4"/>
        <v>1</v>
      </c>
      <c r="AC46" s="2992">
        <f t="shared" si="5"/>
        <v>1</v>
      </c>
    </row>
    <row r="47" spans="1:29" ht="15">
      <c r="A47" s="479" t="s">
        <v>2582</v>
      </c>
      <c r="B47" s="480"/>
      <c r="C47" s="1409" t="s">
        <v>1</v>
      </c>
      <c r="D47" s="1410"/>
      <c r="E47" s="1411">
        <f>ROUND(C44*Sheet1!C1*C45,0)</f>
        <v>43976</v>
      </c>
      <c r="F47" s="1412"/>
      <c r="G47" s="1413">
        <f>ROUND(C44*Sheet1!C2*C45,0)</f>
        <v>44666</v>
      </c>
      <c r="H47" s="1414"/>
      <c r="I47" s="1411">
        <f>ROUND(C44*Sheet1!C3*C45,0)</f>
        <v>39473</v>
      </c>
      <c r="J47" s="1414"/>
      <c r="K47" s="782"/>
      <c r="L47" s="1145"/>
      <c r="M47" s="1146"/>
      <c r="N47" s="1133"/>
      <c r="O47" s="1146"/>
      <c r="P47" s="3225" t="str">
        <f>A47</f>
        <v>成交单价（元/平方米）</v>
      </c>
      <c r="Q47" s="3225"/>
      <c r="R47" s="3256">
        <f>E47</f>
        <v>43976</v>
      </c>
      <c r="S47" s="3256"/>
      <c r="T47" s="3256">
        <f>G47</f>
        <v>44666</v>
      </c>
      <c r="U47" s="3256"/>
      <c r="V47" s="3256">
        <f>I47</f>
        <v>39473</v>
      </c>
      <c r="W47" s="3256"/>
      <c r="X47" s="758"/>
      <c r="Y47" s="780"/>
      <c r="Z47" s="758"/>
      <c r="AA47" s="758"/>
      <c r="AB47" s="758"/>
      <c r="AC47" s="758"/>
    </row>
    <row r="48" spans="1:29" ht="15.75" thickBot="1">
      <c r="A48" s="486" t="s">
        <v>2583</v>
      </c>
      <c r="B48" s="487"/>
      <c r="C48" s="1415">
        <f>R49</f>
        <v>39571</v>
      </c>
      <c r="D48" s="1416"/>
      <c r="E48" s="1417">
        <f>R48</f>
        <v>39983</v>
      </c>
      <c r="F48" s="1417"/>
      <c r="G48" s="1415">
        <f>T48</f>
        <v>40611</v>
      </c>
      <c r="H48" s="1416"/>
      <c r="I48" s="1417">
        <f>V48</f>
        <v>38118</v>
      </c>
      <c r="J48" s="1416"/>
      <c r="K48" s="783"/>
      <c r="L48" s="1145"/>
      <c r="M48" s="1146"/>
      <c r="N48" s="1133"/>
      <c r="O48" s="1146"/>
      <c r="P48" s="3225" t="str">
        <f>A48</f>
        <v>比较价值（元/平方米）</v>
      </c>
      <c r="Q48" s="3225"/>
      <c r="R48" s="3226">
        <f>IF(F1="售价",ROUND(PRODUCT(R47,AA7:AA46),0),ROUND(PRODUCT(R47,AA7:AA46),1))</f>
        <v>39983</v>
      </c>
      <c r="S48" s="3226"/>
      <c r="T48" s="3226">
        <f>IF(F1="售价",ROUND(PRODUCT(T47,AB7:AB46),0),ROUND(PRODUCT(T47,AB7:AB46),1))</f>
        <v>40611</v>
      </c>
      <c r="U48" s="3226"/>
      <c r="V48" s="3226">
        <f>IF(F1="售价",ROUND(PRODUCT(V47,AC7:AC46),0),ROUND(PRODUCT(V47,AC7:AC46),1))</f>
        <v>38118</v>
      </c>
      <c r="W48" s="3226"/>
      <c r="X48" s="758"/>
      <c r="Y48" s="758"/>
      <c r="Z48" s="758"/>
      <c r="AA48" s="758"/>
      <c r="AB48" s="758"/>
      <c r="AC48" s="758"/>
    </row>
    <row r="49" spans="1:29" ht="15.75" thickBot="1">
      <c r="A49" s="492" t="s">
        <v>2584</v>
      </c>
      <c r="B49" s="493"/>
      <c r="C49" s="1419">
        <f>R49</f>
        <v>39571</v>
      </c>
      <c r="D49" s="1419"/>
      <c r="E49" s="1419"/>
      <c r="F49" s="1419"/>
      <c r="G49" s="1419"/>
      <c r="H49" s="1419"/>
      <c r="I49" s="1419"/>
      <c r="J49" s="1419"/>
      <c r="K49" s="784"/>
      <c r="L49" s="1145"/>
      <c r="M49" s="1146"/>
      <c r="N49" s="1133"/>
      <c r="O49" s="1146"/>
      <c r="P49" s="3222" t="str">
        <f>A49</f>
        <v>估价对象XX用房的比较价值（楼面单价，元/平方米）</v>
      </c>
      <c r="Q49" s="3223"/>
      <c r="R49" s="3224">
        <f>IF(F1="售价",ROUND(AVERAGE(R48:V48),0),ROUND(AVERAGE(R48:V48),1))</f>
        <v>39571</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2585</v>
      </c>
      <c r="D52" s="498"/>
      <c r="E52" s="499">
        <f>IF(E47&lt;E48,E48/E47-1,E47/E48-1)</f>
        <v>9.9867443663556932E-2</v>
      </c>
      <c r="F52" s="500" t="str">
        <f>IF(OR(E52&gt;=0.3,E52&lt;=-0.3),"超过30%","")</f>
        <v/>
      </c>
      <c r="G52" s="499">
        <f>IF(G47&lt;G48,G48/G47-1,G47/G48-1)</f>
        <v>9.9849794390682423E-2</v>
      </c>
      <c r="H52" s="500" t="str">
        <f>IF(OR(G52&gt;=0.3,G52&lt;=-0.3),"超过30%","")</f>
        <v/>
      </c>
      <c r="I52" s="499">
        <f>IF(I47&lt;I48,I48/I47-1,I47/I48-1)</f>
        <v>3.5547510362558432E-2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2586</v>
      </c>
      <c r="D53" s="501"/>
      <c r="E53" s="499">
        <f>IF(E48&lt;G48,G48/E48-1,E48/G48-1)</f>
        <v>1.5706675337018305E-2</v>
      </c>
      <c r="F53" s="500" t="str">
        <f>IF(OR(E53&gt;=0.2,E53&lt;=-0.2),"超过20%","")</f>
        <v/>
      </c>
      <c r="G53" s="499">
        <f>IF(G48&lt;I48,I48/G48-1,G48/I48-1)</f>
        <v>6.5402172202109199E-2</v>
      </c>
      <c r="H53" s="500" t="str">
        <f>IF(OR(G53&gt;=0.2,G53&lt;=-0.2),"超过20%","")</f>
        <v/>
      </c>
      <c r="I53" s="499">
        <f>IF(I48&lt;E48,E48/I48-1,I48/E48-1)</f>
        <v>4.8927016107875643E-2</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2587</v>
      </c>
      <c r="D54" s="501"/>
      <c r="E54" s="499">
        <f>IF(E47&lt;G47,G47/E47-1,E47/G47-1)</f>
        <v>1.5690376569037712E-2</v>
      </c>
      <c r="F54" s="500" t="str">
        <f>IF(OR(E54&gt;=0.3,E54&lt;=-0.3),"超过30%","")</f>
        <v/>
      </c>
      <c r="G54" s="499">
        <f>IF(G47&lt;I47,I47/G47-1,G47/I47-1)</f>
        <v>0.13155828034352601</v>
      </c>
      <c r="H54" s="500" t="str">
        <f>IF(OR(G54&gt;=0.3,G54&lt;=-0.3),"超过30%","")</f>
        <v/>
      </c>
      <c r="I54" s="499">
        <f>IF(I47&lt;E47,E47/I47-1,I47/E47-1)</f>
        <v>0.11407797735160741</v>
      </c>
      <c r="J54" s="500" t="str">
        <f>IF(OR(I54&gt;=0.3,I54&lt;=-0.3),"超过30%","")</f>
        <v/>
      </c>
      <c r="K54" s="1150"/>
      <c r="L54" s="1151"/>
      <c r="M54" s="1147"/>
      <c r="N54" s="1147"/>
      <c r="O54" s="1147"/>
      <c r="P54" s="2670"/>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2588</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8" customFormat="1" ht="15">
      <c r="A58" s="505" t="s">
        <v>2553</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t="str">
        <f>C9</f>
        <v>商业</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5"/>
      <c r="O66" s="1155"/>
      <c r="P66" s="2634"/>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2660</v>
      </c>
      <c r="C82" s="659" t="s">
        <v>2680</v>
      </c>
      <c r="D82" s="659" t="s">
        <v>2681</v>
      </c>
      <c r="E82" s="659" t="s">
        <v>2682</v>
      </c>
      <c r="F82" s="659" t="s">
        <v>2683</v>
      </c>
      <c r="G82" s="659" t="s">
        <v>2684</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59"/>
      <c r="I83" s="659"/>
      <c r="J83" s="659"/>
      <c r="K83" s="659"/>
      <c r="L83" s="659"/>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2685</v>
      </c>
      <c r="C86" s="2954" t="s">
        <v>3129</v>
      </c>
      <c r="D86" s="2954" t="s">
        <v>3131</v>
      </c>
      <c r="E86" s="2954" t="s">
        <v>3142</v>
      </c>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2568</v>
      </c>
      <c r="B100" s="528" t="s">
        <v>2686</v>
      </c>
      <c r="C100" s="2951" t="s">
        <v>3086</v>
      </c>
      <c r="D100" s="2951" t="s">
        <v>3087</v>
      </c>
      <c r="E100" s="2951" t="s">
        <v>3089</v>
      </c>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4"/>
      <c r="Q101" s="504"/>
    </row>
    <row r="102" spans="1:17" ht="15.75" thickTop="1">
      <c r="A102" s="534"/>
      <c r="B102" s="538" t="s">
        <v>2618</v>
      </c>
      <c r="C102" s="578" t="str">
        <f>C103&amp;"(含)"&amp;"-"&amp;D103</f>
        <v>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4"/>
      <c r="Q102" s="504"/>
    </row>
    <row r="103" spans="1:17" s="471" customFormat="1">
      <c r="A103" s="593"/>
      <c r="B103" s="594"/>
      <c r="C103" s="595">
        <v>0</v>
      </c>
      <c r="D103" s="595">
        <v>10000</v>
      </c>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2619</v>
      </c>
      <c r="C105" s="2954" t="s">
        <v>3094</v>
      </c>
      <c r="D105" s="2954" t="s">
        <v>3095</v>
      </c>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4"/>
      <c r="Q106" s="504"/>
    </row>
    <row r="107" spans="1:17" ht="15" thickTop="1">
      <c r="A107" s="599"/>
      <c r="B107" s="538" t="s">
        <v>2621</v>
      </c>
      <c r="C107" s="2954" t="s">
        <v>3097</v>
      </c>
      <c r="D107" s="2954" t="s">
        <v>3098</v>
      </c>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4"/>
      <c r="Q111" s="504"/>
    </row>
    <row r="112" spans="1:17" s="471" customFormat="1" ht="15" thickTop="1">
      <c r="A112" s="593"/>
      <c r="B112" s="538" t="s">
        <v>2623</v>
      </c>
      <c r="C112" s="2954" t="s">
        <v>3099</v>
      </c>
      <c r="D112" s="2954" t="s">
        <v>3100</v>
      </c>
      <c r="E112" s="2954" t="s">
        <v>3102</v>
      </c>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5"/>
      <c r="Q113" s="559"/>
    </row>
    <row r="114" spans="1:17" ht="15" thickTop="1">
      <c r="A114" s="599"/>
      <c r="B114" s="538" t="s">
        <v>2687</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2688</v>
      </c>
      <c r="C116" s="2999" t="s">
        <v>3120</v>
      </c>
      <c r="D116" s="2999">
        <v>4.5</v>
      </c>
      <c r="E116" s="2999">
        <v>4</v>
      </c>
      <c r="F116" s="2999" t="s">
        <v>3121</v>
      </c>
      <c r="G116" s="554"/>
      <c r="H116" s="583"/>
      <c r="I116" s="583"/>
      <c r="J116" s="583"/>
      <c r="K116" s="584"/>
      <c r="L116" s="585"/>
      <c r="M116" s="586"/>
      <c r="N116" s="1154"/>
      <c r="O116" s="1154"/>
      <c r="P116" s="263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34"/>
      <c r="Q117" s="504"/>
    </row>
    <row r="118" spans="1:17" ht="15" thickTop="1">
      <c r="A118" s="599"/>
      <c r="B118" s="538" t="s">
        <v>2689</v>
      </c>
      <c r="C118" s="2957">
        <f>C40</f>
        <v>2542.7199999999998</v>
      </c>
      <c r="D118" s="626">
        <f>E40</f>
        <v>72</v>
      </c>
      <c r="E118" s="626">
        <f>G40</f>
        <v>45</v>
      </c>
      <c r="F118" s="626">
        <f>I40</f>
        <v>76</v>
      </c>
      <c r="G118" s="626"/>
      <c r="H118" s="555"/>
      <c r="I118" s="555"/>
      <c r="J118" s="555"/>
      <c r="K118" s="555"/>
      <c r="L118" s="556"/>
      <c r="M118" s="557"/>
      <c r="N118" s="1154"/>
      <c r="O118" s="1154"/>
      <c r="P118" s="2634"/>
      <c r="Q118" s="504"/>
    </row>
    <row r="119" spans="1:17" ht="15.75" thickBot="1">
      <c r="A119" s="534"/>
      <c r="B119" s="543"/>
      <c r="C119" s="560">
        <v>100</v>
      </c>
      <c r="D119" s="536">
        <v>105</v>
      </c>
      <c r="E119" s="536">
        <v>105</v>
      </c>
      <c r="F119" s="536">
        <v>105</v>
      </c>
      <c r="G119" s="536"/>
      <c r="H119" s="536"/>
      <c r="I119" s="536"/>
      <c r="J119" s="536"/>
      <c r="K119" s="536"/>
      <c r="L119" s="536"/>
      <c r="M119" s="537"/>
      <c r="N119" s="1155"/>
      <c r="O119" s="1155"/>
      <c r="P119" s="2634"/>
      <c r="Q119" s="504"/>
    </row>
    <row r="120" spans="1:17" s="471" customFormat="1" ht="15" thickTop="1">
      <c r="A120" s="593"/>
      <c r="B120" s="538" t="s">
        <v>2690</v>
      </c>
      <c r="C120" s="2996" t="s">
        <v>3133</v>
      </c>
      <c r="D120" s="2996" t="s">
        <v>3134</v>
      </c>
      <c r="E120" s="2996" t="s">
        <v>3135</v>
      </c>
      <c r="F120" s="2996" t="s">
        <v>3136</v>
      </c>
      <c r="G120" s="2995" t="s">
        <v>3137</v>
      </c>
      <c r="H120" s="555"/>
      <c r="I120" s="555"/>
      <c r="J120" s="555"/>
      <c r="K120" s="555"/>
      <c r="L120" s="556"/>
      <c r="M120" s="557"/>
      <c r="N120" s="1156"/>
      <c r="O120" s="1156"/>
      <c r="P120" s="263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6" priority="16" stopIfTrue="1" operator="containsText" text="超过">
      <formula>NOT(ISERROR(SEARCH("超过",F52)))</formula>
    </cfRule>
  </conditionalFormatting>
  <conditionalFormatting sqref="H54">
    <cfRule type="containsText" dxfId="35" priority="15" stopIfTrue="1" operator="containsText" text="超过">
      <formula>NOT(ISERROR(SEARCH("超过",H54)))</formula>
    </cfRule>
  </conditionalFormatting>
  <conditionalFormatting sqref="F54">
    <cfRule type="containsText" dxfId="34" priority="14" stopIfTrue="1" operator="containsText" text="超过">
      <formula>NOT(ISERROR(SEARCH("超过",F54)))</formula>
    </cfRule>
  </conditionalFormatting>
  <conditionalFormatting sqref="F53 H53">
    <cfRule type="containsText" dxfId="33" priority="13" stopIfTrue="1" operator="containsText" text="超过">
      <formula>NOT(ISERROR(SEARCH("超过",F53)))</formula>
    </cfRule>
  </conditionalFormatting>
  <conditionalFormatting sqref="E52">
    <cfRule type="expression" dxfId="32" priority="12" stopIfTrue="1">
      <formula>$F$52="超过30%"</formula>
    </cfRule>
  </conditionalFormatting>
  <conditionalFormatting sqref="E53">
    <cfRule type="expression" dxfId="31" priority="11" stopIfTrue="1">
      <formula>$F$53="超过20%"</formula>
    </cfRule>
  </conditionalFormatting>
  <conditionalFormatting sqref="E54">
    <cfRule type="expression" dxfId="30" priority="10" stopIfTrue="1">
      <formula>$F$54="超过30%"</formula>
    </cfRule>
  </conditionalFormatting>
  <conditionalFormatting sqref="G54">
    <cfRule type="expression" dxfId="29" priority="9" stopIfTrue="1">
      <formula>$H$54="超过30%"</formula>
    </cfRule>
  </conditionalFormatting>
  <conditionalFormatting sqref="G52">
    <cfRule type="expression" dxfId="28" priority="8" stopIfTrue="1">
      <formula>$H$52="超过30%"</formula>
    </cfRule>
  </conditionalFormatting>
  <conditionalFormatting sqref="G53">
    <cfRule type="expression" dxfId="27" priority="7" stopIfTrue="1">
      <formula>$H$53="超过20%"</formula>
    </cfRule>
  </conditionalFormatting>
  <conditionalFormatting sqref="J52">
    <cfRule type="containsText" dxfId="26" priority="6" stopIfTrue="1" operator="containsText" text="超过">
      <formula>NOT(ISERROR(SEARCH("超过",J52)))</formula>
    </cfRule>
  </conditionalFormatting>
  <conditionalFormatting sqref="J54">
    <cfRule type="containsText" dxfId="25" priority="5" stopIfTrue="1" operator="containsText" text="超过">
      <formula>NOT(ISERROR(SEARCH("超过",J54)))</formula>
    </cfRule>
  </conditionalFormatting>
  <conditionalFormatting sqref="J53">
    <cfRule type="containsText" dxfId="24" priority="4" stopIfTrue="1" operator="containsText" text="超过">
      <formula>NOT(ISERROR(SEARCH("超过",J53)))</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I47" sqref="I47"/>
    </sheetView>
  </sheetViews>
  <sheetFormatPr defaultRowHeight="14.25"/>
  <cols>
    <col min="1" max="1" width="10.5" style="403" customWidth="1"/>
    <col min="2" max="2" width="15.75" style="403" customWidth="1"/>
    <col min="3" max="3" width="12.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6" t="s">
        <v>2647</v>
      </c>
      <c r="C1" s="1636" t="s">
        <v>2535</v>
      </c>
      <c r="D1" s="1623" t="s">
        <v>3114</v>
      </c>
      <c r="E1" s="2661"/>
      <c r="F1" s="2588" t="s">
        <v>3081</v>
      </c>
      <c r="G1" s="1633" t="s">
        <v>2537</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2332</v>
      </c>
      <c r="B2" s="1420">
        <f>IF(C2="——",ROUND(C49*D3/10000,0),ROUND(C49*D3/10000,0)-D2)</f>
        <v>3855</v>
      </c>
      <c r="C2" s="2590" t="s">
        <v>70</v>
      </c>
      <c r="D2" s="1367"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2334</v>
      </c>
      <c r="B3" s="609">
        <f>IF(C2="——",C49,ROUND(B2*10000/D3,0))</f>
        <v>32416</v>
      </c>
      <c r="C3" s="400" t="s">
        <v>2539</v>
      </c>
      <c r="D3" s="399">
        <f>IF(D1="",'数据-汇总表'!E3,SUMIF('数据-汇总表'!$C19:$C33,D1,'数据-汇总表'!$E19:$E33))</f>
        <v>1189.19</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2540</v>
      </c>
      <c r="B4" s="402"/>
      <c r="C4" s="3240" t="s">
        <v>2541</v>
      </c>
      <c r="D4" s="3241"/>
      <c r="E4" s="3242" t="s">
        <v>2542</v>
      </c>
      <c r="F4" s="3243"/>
      <c r="G4" s="3240" t="s">
        <v>2653</v>
      </c>
      <c r="H4" s="3241"/>
      <c r="I4" s="3240" t="s">
        <v>2654</v>
      </c>
      <c r="J4" s="3241"/>
      <c r="K4" s="610" t="s">
        <v>2655</v>
      </c>
      <c r="L4" s="1132"/>
      <c r="M4" s="1133"/>
      <c r="N4" s="1133"/>
      <c r="O4" s="1133"/>
      <c r="P4" s="3244" t="s">
        <v>2546</v>
      </c>
      <c r="Q4" s="3245"/>
      <c r="R4" s="3250" t="s">
        <v>2542</v>
      </c>
      <c r="S4" s="3251"/>
      <c r="T4" s="3250" t="s">
        <v>2653</v>
      </c>
      <c r="U4" s="3251"/>
      <c r="V4" s="3256" t="s">
        <v>2654</v>
      </c>
      <c r="W4" s="3256"/>
      <c r="X4" s="2982"/>
      <c r="Y4" s="3250" t="s">
        <v>2546</v>
      </c>
      <c r="Z4" s="3251"/>
      <c r="AA4" s="3237" t="s">
        <v>2542</v>
      </c>
      <c r="AB4" s="3256" t="s">
        <v>2653</v>
      </c>
      <c r="AC4" s="3237" t="s">
        <v>2654</v>
      </c>
    </row>
    <row r="5" spans="1:29" ht="15">
      <c r="A5" s="404"/>
      <c r="B5" s="405"/>
      <c r="C5" s="3259" t="s">
        <v>2547</v>
      </c>
      <c r="D5" s="3260"/>
      <c r="E5" s="3269" t="s">
        <v>3091</v>
      </c>
      <c r="F5" s="3267"/>
      <c r="G5" s="3268" t="s">
        <v>3092</v>
      </c>
      <c r="H5" s="3260"/>
      <c r="I5" s="3268" t="s">
        <v>3093</v>
      </c>
      <c r="J5" s="3260"/>
      <c r="K5" s="610"/>
      <c r="L5" s="1132"/>
      <c r="M5" s="1133"/>
      <c r="N5" s="1133"/>
      <c r="O5" s="1133"/>
      <c r="P5" s="3246"/>
      <c r="Q5" s="3247"/>
      <c r="R5" s="3252"/>
      <c r="S5" s="3253"/>
      <c r="T5" s="3252"/>
      <c r="U5" s="3253"/>
      <c r="V5" s="3256"/>
      <c r="W5" s="3256"/>
      <c r="X5" s="2982"/>
      <c r="Y5" s="3252"/>
      <c r="Z5" s="3253"/>
      <c r="AA5" s="3238"/>
      <c r="AB5" s="3256"/>
      <c r="AC5" s="3238"/>
    </row>
    <row r="6" spans="1:29" ht="15.75" thickBot="1">
      <c r="A6" s="406"/>
      <c r="B6" s="407"/>
      <c r="C6" s="3257" t="s">
        <v>2551</v>
      </c>
      <c r="D6" s="3258"/>
      <c r="E6" s="3264" t="s">
        <v>2551</v>
      </c>
      <c r="F6" s="3265"/>
      <c r="G6" s="3257" t="s">
        <v>2551</v>
      </c>
      <c r="H6" s="3258"/>
      <c r="I6" s="3257" t="s">
        <v>2551</v>
      </c>
      <c r="J6" s="3258"/>
      <c r="K6" s="610" t="s">
        <v>2552</v>
      </c>
      <c r="L6" s="1132"/>
      <c r="M6" s="1133"/>
      <c r="N6" s="1133"/>
      <c r="O6" s="1133"/>
      <c r="P6" s="3248"/>
      <c r="Q6" s="3249"/>
      <c r="R6" s="3252"/>
      <c r="S6" s="3253"/>
      <c r="T6" s="3254"/>
      <c r="U6" s="3255"/>
      <c r="V6" s="3256"/>
      <c r="W6" s="3256"/>
      <c r="X6" s="2982"/>
      <c r="Y6" s="3254"/>
      <c r="Z6" s="3255"/>
      <c r="AA6" s="3239"/>
      <c r="AB6" s="3256"/>
      <c r="AC6" s="3239"/>
    </row>
    <row r="7" spans="1:29" s="117" customFormat="1" ht="15.75" thickBot="1">
      <c r="A7" s="408" t="s">
        <v>2553</v>
      </c>
      <c r="B7" s="409"/>
      <c r="C7" s="410">
        <f>'数据-取费表'!B2</f>
        <v>43172</v>
      </c>
      <c r="D7" s="411">
        <v>100</v>
      </c>
      <c r="E7" s="412">
        <v>43160</v>
      </c>
      <c r="F7" s="413">
        <f>SUMIF(58:58,YEAR(E7)&amp;"-"&amp;MONTH(E7),59:59)</f>
        <v>100</v>
      </c>
      <c r="G7" s="412">
        <v>43160</v>
      </c>
      <c r="H7" s="411">
        <f>SUMIF(58:58,YEAR(G7)&amp;"-"&amp;MONTH(G7),59:59)</f>
        <v>100</v>
      </c>
      <c r="I7" s="412">
        <v>43160</v>
      </c>
      <c r="J7" s="411">
        <f>SUMIF(58:58,YEAR(I7)&amp;"-"&amp;MONTH(I7),59:59)</f>
        <v>100</v>
      </c>
      <c r="K7" s="611"/>
      <c r="L7" s="1134"/>
      <c r="M7" s="1135"/>
      <c r="N7" s="1135"/>
      <c r="O7" s="1135"/>
      <c r="P7" s="3261" t="s">
        <v>2554</v>
      </c>
      <c r="Q7" s="3263"/>
      <c r="R7" s="769" t="s">
        <v>17</v>
      </c>
      <c r="S7" s="770">
        <f t="shared" ref="S7:S15" si="0">F7</f>
        <v>100</v>
      </c>
      <c r="T7" s="769" t="s">
        <v>17</v>
      </c>
      <c r="U7" s="770">
        <f t="shared" ref="U7:U15" si="1">H7</f>
        <v>100</v>
      </c>
      <c r="V7" s="769" t="s">
        <v>17</v>
      </c>
      <c r="W7" s="770">
        <f t="shared" ref="W7:W15" si="2">J7</f>
        <v>100</v>
      </c>
      <c r="X7" s="771"/>
      <c r="Y7" s="3261" t="s">
        <v>2554</v>
      </c>
      <c r="Z7" s="3262"/>
      <c r="AA7" s="772">
        <f>D7/F7</f>
        <v>1</v>
      </c>
      <c r="AB7" s="772">
        <f>D7/H7</f>
        <v>1</v>
      </c>
      <c r="AC7" s="772">
        <f>D7/J7</f>
        <v>1</v>
      </c>
    </row>
    <row r="8" spans="1:29" s="117" customFormat="1" ht="15.75" thickBot="1">
      <c r="A8" s="408" t="s">
        <v>2555</v>
      </c>
      <c r="B8" s="409"/>
      <c r="C8" s="414" t="s">
        <v>2592</v>
      </c>
      <c r="D8" s="411">
        <v>100</v>
      </c>
      <c r="E8" s="2947" t="s">
        <v>3082</v>
      </c>
      <c r="F8" s="413">
        <f>SUMIF(61:61,E8,62:62)-SUMIF(61:61,C8,62:62)+100</f>
        <v>100</v>
      </c>
      <c r="G8" s="2947" t="s">
        <v>3082</v>
      </c>
      <c r="H8" s="411">
        <f>SUMIF(61:61,G8,62:62)-SUMIF(61:61,C8,62:62)+100</f>
        <v>100</v>
      </c>
      <c r="I8" s="2947" t="s">
        <v>3082</v>
      </c>
      <c r="J8" s="411">
        <f>SUMIF(61:61,I8,62:62)-SUMIF(61:61,C8,62:62)+100</f>
        <v>100</v>
      </c>
      <c r="K8" s="611"/>
      <c r="L8" s="1134"/>
      <c r="M8" s="1135"/>
      <c r="N8" s="1135"/>
      <c r="O8" s="1135"/>
      <c r="P8" s="3261" t="s">
        <v>2557</v>
      </c>
      <c r="Q8" s="3262"/>
      <c r="R8" s="769" t="s">
        <v>17</v>
      </c>
      <c r="S8" s="770">
        <f t="shared" si="0"/>
        <v>100</v>
      </c>
      <c r="T8" s="769" t="s">
        <v>17</v>
      </c>
      <c r="U8" s="770">
        <f t="shared" si="1"/>
        <v>100</v>
      </c>
      <c r="V8" s="769" t="s">
        <v>17</v>
      </c>
      <c r="W8" s="770">
        <f t="shared" si="2"/>
        <v>100</v>
      </c>
      <c r="X8" s="771"/>
      <c r="Y8" s="3261" t="s">
        <v>2557</v>
      </c>
      <c r="Z8" s="3262"/>
      <c r="AA8" s="772">
        <f t="shared" ref="AA8:AA46" si="3">D8/F8</f>
        <v>1</v>
      </c>
      <c r="AB8" s="772">
        <f t="shared" ref="AB8:AB46" si="4">D8/H8</f>
        <v>1</v>
      </c>
      <c r="AC8" s="772">
        <f t="shared" ref="AC8:AC46" si="5">D8/J8</f>
        <v>1</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36" t="s">
        <v>2560</v>
      </c>
      <c r="Q9" s="2961" t="str">
        <f t="shared" ref="Q9:Q15" si="6">B9</f>
        <v>用途</v>
      </c>
      <c r="R9" s="769" t="s">
        <v>17</v>
      </c>
      <c r="S9" s="770">
        <f t="shared" si="0"/>
        <v>100</v>
      </c>
      <c r="T9" s="769" t="s">
        <v>17</v>
      </c>
      <c r="U9" s="770">
        <f t="shared" si="1"/>
        <v>100</v>
      </c>
      <c r="V9" s="769" t="s">
        <v>17</v>
      </c>
      <c r="W9" s="770">
        <f t="shared" si="2"/>
        <v>100</v>
      </c>
      <c r="X9" s="771"/>
      <c r="Y9" s="3046" t="s">
        <v>2561</v>
      </c>
      <c r="Z9" s="2962" t="str">
        <f t="shared" ref="Z9:Z15" si="7">Q9</f>
        <v>用途</v>
      </c>
      <c r="AA9" s="772">
        <f t="shared" si="3"/>
        <v>1</v>
      </c>
      <c r="AB9" s="772">
        <f t="shared" si="4"/>
        <v>1</v>
      </c>
      <c r="AC9" s="772">
        <f t="shared" si="5"/>
        <v>1</v>
      </c>
    </row>
    <row r="10" spans="1:29" s="427" customFormat="1" ht="27">
      <c r="A10" s="421"/>
      <c r="B10" s="2979" t="s">
        <v>2562</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36"/>
      <c r="Q10" s="2961" t="str">
        <f t="shared" si="6"/>
        <v>土地使用年限（年）</v>
      </c>
      <c r="R10" s="769" t="s">
        <v>17</v>
      </c>
      <c r="S10" s="770">
        <f t="shared" si="0"/>
        <v>100</v>
      </c>
      <c r="T10" s="769" t="s">
        <v>17</v>
      </c>
      <c r="U10" s="770">
        <f t="shared" si="1"/>
        <v>100</v>
      </c>
      <c r="V10" s="769" t="s">
        <v>17</v>
      </c>
      <c r="W10" s="770">
        <f t="shared" si="2"/>
        <v>100</v>
      </c>
      <c r="X10" s="771"/>
      <c r="Y10" s="3046"/>
      <c r="Z10" s="2962" t="str">
        <f t="shared" si="7"/>
        <v>土地使用年限（年）</v>
      </c>
      <c r="AA10" s="772">
        <f t="shared" si="3"/>
        <v>1</v>
      </c>
      <c r="AB10" s="772">
        <f t="shared" si="4"/>
        <v>1</v>
      </c>
      <c r="AC10" s="772">
        <f t="shared" si="5"/>
        <v>1</v>
      </c>
    </row>
    <row r="11" spans="1:29" ht="15">
      <c r="A11" s="428"/>
      <c r="B11" s="2979" t="s">
        <v>2563</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36"/>
      <c r="Q11" s="2961" t="str">
        <f t="shared" si="6"/>
        <v>容积率</v>
      </c>
      <c r="R11" s="769" t="s">
        <v>17</v>
      </c>
      <c r="S11" s="770">
        <f t="shared" si="0"/>
        <v>100</v>
      </c>
      <c r="T11" s="769" t="s">
        <v>17</v>
      </c>
      <c r="U11" s="770">
        <f t="shared" si="1"/>
        <v>100</v>
      </c>
      <c r="V11" s="769" t="s">
        <v>17</v>
      </c>
      <c r="W11" s="770">
        <f t="shared" si="2"/>
        <v>100</v>
      </c>
      <c r="X11" s="771"/>
      <c r="Y11" s="3046"/>
      <c r="Z11" s="2962" t="str">
        <f t="shared" si="7"/>
        <v>容积率</v>
      </c>
      <c r="AA11" s="772">
        <f t="shared" si="3"/>
        <v>1</v>
      </c>
      <c r="AB11" s="772">
        <f t="shared" si="4"/>
        <v>1</v>
      </c>
      <c r="AC11" s="772">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6"/>
      <c r="Q12" s="2961">
        <f t="shared" si="6"/>
        <v>111</v>
      </c>
      <c r="R12" s="769" t="s">
        <v>17</v>
      </c>
      <c r="S12" s="770">
        <f t="shared" si="0"/>
        <v>100</v>
      </c>
      <c r="T12" s="769" t="s">
        <v>17</v>
      </c>
      <c r="U12" s="770">
        <f t="shared" si="1"/>
        <v>100</v>
      </c>
      <c r="V12" s="769" t="s">
        <v>17</v>
      </c>
      <c r="W12" s="770">
        <f t="shared" si="2"/>
        <v>100</v>
      </c>
      <c r="X12" s="771"/>
      <c r="Y12" s="3046"/>
      <c r="Z12" s="2962">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6"/>
      <c r="Q13" s="2961">
        <f t="shared" si="6"/>
        <v>111</v>
      </c>
      <c r="R13" s="769" t="s">
        <v>17</v>
      </c>
      <c r="S13" s="770">
        <f t="shared" si="0"/>
        <v>100</v>
      </c>
      <c r="T13" s="769" t="s">
        <v>17</v>
      </c>
      <c r="U13" s="770">
        <f t="shared" si="1"/>
        <v>100</v>
      </c>
      <c r="V13" s="769" t="s">
        <v>17</v>
      </c>
      <c r="W13" s="770">
        <f t="shared" si="2"/>
        <v>100</v>
      </c>
      <c r="X13" s="771"/>
      <c r="Y13" s="3046"/>
      <c r="Z13" s="2962">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6"/>
      <c r="Q14" s="2961">
        <f t="shared" si="6"/>
        <v>111</v>
      </c>
      <c r="R14" s="769" t="s">
        <v>17</v>
      </c>
      <c r="S14" s="770">
        <f t="shared" si="0"/>
        <v>100</v>
      </c>
      <c r="T14" s="769" t="s">
        <v>17</v>
      </c>
      <c r="U14" s="770">
        <f t="shared" si="1"/>
        <v>100</v>
      </c>
      <c r="V14" s="769" t="s">
        <v>17</v>
      </c>
      <c r="W14" s="770">
        <f t="shared" si="2"/>
        <v>100</v>
      </c>
      <c r="X14" s="771"/>
      <c r="Y14" s="3046"/>
      <c r="Z14" s="2962">
        <f t="shared" si="7"/>
        <v>111</v>
      </c>
      <c r="AA14" s="772">
        <f t="shared" si="3"/>
        <v>1</v>
      </c>
      <c r="AB14" s="772">
        <f t="shared" si="4"/>
        <v>1</v>
      </c>
      <c r="AC14" s="772">
        <f t="shared" si="5"/>
        <v>1</v>
      </c>
    </row>
    <row r="15" spans="1:29" ht="85.5">
      <c r="A15" s="440" t="s">
        <v>2564</v>
      </c>
      <c r="B15" s="69" t="s">
        <v>2658</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4" t="s">
        <v>2565</v>
      </c>
      <c r="Q15" s="2985" t="str">
        <f t="shared" si="6"/>
        <v>商业繁华度</v>
      </c>
      <c r="R15" s="773" t="s">
        <v>17</v>
      </c>
      <c r="S15" s="774">
        <f t="shared" si="0"/>
        <v>100</v>
      </c>
      <c r="T15" s="773" t="s">
        <v>17</v>
      </c>
      <c r="U15" s="774">
        <f t="shared" si="1"/>
        <v>100</v>
      </c>
      <c r="V15" s="773" t="s">
        <v>17</v>
      </c>
      <c r="W15" s="774">
        <f t="shared" si="2"/>
        <v>100</v>
      </c>
      <c r="X15" s="2982"/>
      <c r="Y15" s="3227" t="s">
        <v>2565</v>
      </c>
      <c r="Z15" s="2983" t="str">
        <f t="shared" si="7"/>
        <v>商业繁华度</v>
      </c>
      <c r="AA15" s="2986">
        <f t="shared" si="3"/>
        <v>1</v>
      </c>
      <c r="AB15" s="2986">
        <f t="shared" si="4"/>
        <v>1</v>
      </c>
      <c r="AC15" s="2986">
        <f t="shared" si="5"/>
        <v>1</v>
      </c>
    </row>
    <row r="16" spans="1:29" ht="15">
      <c r="A16" s="428"/>
      <c r="B16" s="446"/>
      <c r="C16" s="447"/>
      <c r="D16" s="448"/>
      <c r="E16" s="447"/>
      <c r="F16" s="449"/>
      <c r="G16" s="447"/>
      <c r="H16" s="450"/>
      <c r="I16" s="447"/>
      <c r="J16" s="448"/>
      <c r="K16" s="615"/>
      <c r="L16" s="1142"/>
      <c r="M16" s="1133"/>
      <c r="N16" s="1133"/>
      <c r="O16" s="1133"/>
      <c r="P16" s="3235"/>
      <c r="Q16" s="2985"/>
      <c r="R16" s="773"/>
      <c r="S16" s="774"/>
      <c r="T16" s="773"/>
      <c r="U16" s="774"/>
      <c r="V16" s="773"/>
      <c r="W16" s="774"/>
      <c r="X16" s="2982"/>
      <c r="Y16" s="3228"/>
      <c r="Z16" s="2983"/>
      <c r="AA16" s="2986">
        <v>1</v>
      </c>
      <c r="AB16" s="2986">
        <v>1</v>
      </c>
      <c r="AC16" s="2986">
        <v>1</v>
      </c>
    </row>
    <row r="17" spans="1:29" ht="99.75">
      <c r="A17" s="428"/>
      <c r="B17" s="451" t="s">
        <v>2101</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5"/>
      <c r="Q17" s="2985" t="str">
        <f>B17</f>
        <v>交通便捷度</v>
      </c>
      <c r="R17" s="773" t="s">
        <v>17</v>
      </c>
      <c r="S17" s="774">
        <f>F17</f>
        <v>100</v>
      </c>
      <c r="T17" s="773" t="s">
        <v>17</v>
      </c>
      <c r="U17" s="774">
        <f>H17</f>
        <v>100</v>
      </c>
      <c r="V17" s="773" t="s">
        <v>17</v>
      </c>
      <c r="W17" s="774">
        <f>J17</f>
        <v>100</v>
      </c>
      <c r="X17" s="2982"/>
      <c r="Y17" s="3228"/>
      <c r="Z17" s="2983" t="str">
        <f>Q17</f>
        <v>交通便捷度</v>
      </c>
      <c r="AA17" s="2986">
        <f t="shared" si="3"/>
        <v>1</v>
      </c>
      <c r="AB17" s="2986">
        <f t="shared" si="4"/>
        <v>1</v>
      </c>
      <c r="AC17" s="2986">
        <f t="shared" si="5"/>
        <v>1</v>
      </c>
    </row>
    <row r="18" spans="1:29" ht="15">
      <c r="A18" s="428"/>
      <c r="B18" s="456"/>
      <c r="C18" s="2612"/>
      <c r="D18" s="450"/>
      <c r="E18" s="2614"/>
      <c r="F18" s="453"/>
      <c r="G18" s="2613"/>
      <c r="H18" s="448"/>
      <c r="I18" s="2614"/>
      <c r="J18" s="448"/>
      <c r="K18" s="615"/>
      <c r="L18" s="1142"/>
      <c r="M18" s="1133"/>
      <c r="N18" s="1133"/>
      <c r="O18" s="1133"/>
      <c r="P18" s="3235"/>
      <c r="Q18" s="2985"/>
      <c r="R18" s="773"/>
      <c r="S18" s="774"/>
      <c r="T18" s="773"/>
      <c r="U18" s="774"/>
      <c r="V18" s="773"/>
      <c r="W18" s="774"/>
      <c r="X18" s="2982"/>
      <c r="Y18" s="3228"/>
      <c r="Z18" s="2983"/>
      <c r="AA18" s="2986">
        <v>1</v>
      </c>
      <c r="AB18" s="2986">
        <v>1</v>
      </c>
      <c r="AC18" s="2986">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5"/>
      <c r="Q19" s="2985" t="str">
        <f>B19</f>
        <v>公共配套设施</v>
      </c>
      <c r="R19" s="773" t="s">
        <v>17</v>
      </c>
      <c r="S19" s="774">
        <f>F19</f>
        <v>100</v>
      </c>
      <c r="T19" s="773" t="s">
        <v>17</v>
      </c>
      <c r="U19" s="774">
        <f>H19</f>
        <v>100</v>
      </c>
      <c r="V19" s="773" t="s">
        <v>17</v>
      </c>
      <c r="W19" s="774">
        <f>J19</f>
        <v>100</v>
      </c>
      <c r="X19" s="2982"/>
      <c r="Y19" s="3228"/>
      <c r="Z19" s="2983" t="str">
        <f>Q19</f>
        <v>公共配套设施</v>
      </c>
      <c r="AA19" s="2986">
        <f t="shared" si="3"/>
        <v>1</v>
      </c>
      <c r="AB19" s="2986">
        <f t="shared" si="4"/>
        <v>1</v>
      </c>
      <c r="AC19" s="2986">
        <f t="shared" si="5"/>
        <v>1</v>
      </c>
    </row>
    <row r="20" spans="1:29" ht="15">
      <c r="A20" s="428"/>
      <c r="B20" s="456"/>
      <c r="C20" s="447"/>
      <c r="D20" s="448"/>
      <c r="E20" s="2609"/>
      <c r="F20" s="449"/>
      <c r="G20" s="2608"/>
      <c r="H20" s="448"/>
      <c r="I20" s="2609"/>
      <c r="J20" s="448"/>
      <c r="K20" s="615"/>
      <c r="L20" s="1142"/>
      <c r="M20" s="1133"/>
      <c r="N20" s="1133"/>
      <c r="O20" s="1133"/>
      <c r="P20" s="3235"/>
      <c r="Q20" s="2985"/>
      <c r="R20" s="773"/>
      <c r="S20" s="774"/>
      <c r="T20" s="773"/>
      <c r="U20" s="774"/>
      <c r="V20" s="773"/>
      <c r="W20" s="774"/>
      <c r="X20" s="2982"/>
      <c r="Y20" s="3228"/>
      <c r="Z20" s="2983"/>
      <c r="AA20" s="2986">
        <v>1</v>
      </c>
      <c r="AB20" s="2986">
        <v>1</v>
      </c>
      <c r="AC20" s="2986">
        <v>1</v>
      </c>
    </row>
    <row r="21" spans="1:29" ht="42.75">
      <c r="A21" s="428"/>
      <c r="B21" s="1386"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5"/>
      <c r="Q21" s="2985" t="str">
        <f>B21</f>
        <v>基础设施水平</v>
      </c>
      <c r="R21" s="773" t="s">
        <v>17</v>
      </c>
      <c r="S21" s="774">
        <f>F21</f>
        <v>100</v>
      </c>
      <c r="T21" s="773" t="s">
        <v>17</v>
      </c>
      <c r="U21" s="774">
        <f>H21</f>
        <v>100</v>
      </c>
      <c r="V21" s="773" t="s">
        <v>17</v>
      </c>
      <c r="W21" s="774">
        <f>J21</f>
        <v>100</v>
      </c>
      <c r="X21" s="2982"/>
      <c r="Y21" s="3228"/>
      <c r="Z21" s="2983" t="str">
        <f>Q21</f>
        <v>基础设施水平</v>
      </c>
      <c r="AA21" s="2986">
        <f t="shared" ref="AA21" si="8">D21/F21</f>
        <v>1</v>
      </c>
      <c r="AB21" s="2986">
        <f t="shared" ref="AB21" si="9">D21/H21</f>
        <v>1</v>
      </c>
      <c r="AC21" s="2986">
        <f t="shared" ref="AC21" si="10">D21/J21</f>
        <v>1</v>
      </c>
    </row>
    <row r="22" spans="1:29" ht="15">
      <c r="A22" s="428"/>
      <c r="B22" s="1386"/>
      <c r="C22" s="2612"/>
      <c r="D22" s="448"/>
      <c r="E22" s="447"/>
      <c r="F22" s="449"/>
      <c r="G22" s="447"/>
      <c r="H22" s="448"/>
      <c r="I22" s="447"/>
      <c r="J22" s="448"/>
      <c r="K22" s="1385"/>
      <c r="L22" s="1142"/>
      <c r="M22" s="1133"/>
      <c r="N22" s="1133"/>
      <c r="O22" s="1133"/>
      <c r="P22" s="3235"/>
      <c r="Q22" s="2985"/>
      <c r="R22" s="773"/>
      <c r="S22" s="774"/>
      <c r="T22" s="773"/>
      <c r="U22" s="774"/>
      <c r="V22" s="773"/>
      <c r="W22" s="774"/>
      <c r="X22" s="2982"/>
      <c r="Y22" s="3228"/>
      <c r="Z22" s="2983"/>
      <c r="AA22" s="2986">
        <v>1</v>
      </c>
      <c r="AB22" s="2986">
        <v>1</v>
      </c>
      <c r="AC22" s="2986">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5"/>
      <c r="Q23" s="2985" t="str">
        <f>B23</f>
        <v>自然及人文环境</v>
      </c>
      <c r="R23" s="773" t="s">
        <v>17</v>
      </c>
      <c r="S23" s="774">
        <f>F23</f>
        <v>100</v>
      </c>
      <c r="T23" s="773" t="s">
        <v>17</v>
      </c>
      <c r="U23" s="774">
        <f>H23</f>
        <v>100</v>
      </c>
      <c r="V23" s="773" t="s">
        <v>17</v>
      </c>
      <c r="W23" s="774">
        <f>J23</f>
        <v>100</v>
      </c>
      <c r="X23" s="2982"/>
      <c r="Y23" s="3228"/>
      <c r="Z23" s="2983" t="str">
        <f>Q23</f>
        <v>自然及人文环境</v>
      </c>
      <c r="AA23" s="2986">
        <f t="shared" si="3"/>
        <v>1</v>
      </c>
      <c r="AB23" s="2986">
        <f t="shared" si="4"/>
        <v>1</v>
      </c>
      <c r="AC23" s="2986">
        <f t="shared" si="5"/>
        <v>1</v>
      </c>
    </row>
    <row r="24" spans="1:29" ht="15">
      <c r="A24" s="428"/>
      <c r="B24" s="456"/>
      <c r="C24" s="447"/>
      <c r="D24" s="448"/>
      <c r="E24" s="2609"/>
      <c r="F24" s="449"/>
      <c r="G24" s="2608"/>
      <c r="H24" s="448"/>
      <c r="I24" s="2609"/>
      <c r="J24" s="448"/>
      <c r="K24" s="615"/>
      <c r="L24" s="1142"/>
      <c r="M24" s="1133"/>
      <c r="N24" s="1133"/>
      <c r="O24" s="1133"/>
      <c r="P24" s="3235"/>
      <c r="Q24" s="2985"/>
      <c r="R24" s="773"/>
      <c r="S24" s="774"/>
      <c r="T24" s="773"/>
      <c r="U24" s="774"/>
      <c r="V24" s="773"/>
      <c r="W24" s="774"/>
      <c r="X24" s="2982"/>
      <c r="Y24" s="3228"/>
      <c r="Z24" s="2983"/>
      <c r="AA24" s="2986">
        <v>1</v>
      </c>
      <c r="AB24" s="2986">
        <v>1</v>
      </c>
      <c r="AC24" s="2986">
        <v>1</v>
      </c>
    </row>
    <row r="25" spans="1:29" ht="15">
      <c r="A25" s="428"/>
      <c r="B25" s="2979" t="s">
        <v>2661</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5"/>
      <c r="Q25" s="2985" t="str">
        <f t="shared" ref="Q25:Q46" si="11">B25</f>
        <v>临街状况</v>
      </c>
      <c r="R25" s="773" t="s">
        <v>17</v>
      </c>
      <c r="S25" s="774">
        <f>F25</f>
        <v>100</v>
      </c>
      <c r="T25" s="773" t="s">
        <v>17</v>
      </c>
      <c r="U25" s="774">
        <f>H25</f>
        <v>100</v>
      </c>
      <c r="V25" s="773" t="s">
        <v>17</v>
      </c>
      <c r="W25" s="774">
        <f>J25</f>
        <v>100</v>
      </c>
      <c r="X25" s="2982"/>
      <c r="Y25" s="3228"/>
      <c r="Z25" s="2983" t="str">
        <f>Q25</f>
        <v>临街状况</v>
      </c>
      <c r="AA25" s="2986">
        <f t="shared" si="3"/>
        <v>1</v>
      </c>
      <c r="AB25" s="2986">
        <f t="shared" si="4"/>
        <v>1</v>
      </c>
      <c r="AC25" s="2986">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5"/>
      <c r="Q26" s="2985" t="str">
        <f t="shared" si="11"/>
        <v>平面位置/可视性</v>
      </c>
      <c r="R26" s="773" t="s">
        <v>17</v>
      </c>
      <c r="S26" s="774">
        <f>F26</f>
        <v>100</v>
      </c>
      <c r="T26" s="773" t="s">
        <v>17</v>
      </c>
      <c r="U26" s="774">
        <f>H26</f>
        <v>100</v>
      </c>
      <c r="V26" s="773" t="s">
        <v>17</v>
      </c>
      <c r="W26" s="774">
        <f>J26</f>
        <v>100</v>
      </c>
      <c r="X26" s="2982"/>
      <c r="Y26" s="3228"/>
      <c r="Z26" s="2983" t="str">
        <f>Q26</f>
        <v>平面位置/可视性</v>
      </c>
      <c r="AA26" s="2986">
        <f t="shared" si="3"/>
        <v>1</v>
      </c>
      <c r="AB26" s="2986">
        <f t="shared" si="4"/>
        <v>1</v>
      </c>
      <c r="AC26" s="2986">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35"/>
      <c r="Q27" s="2961" t="str">
        <f t="shared" si="11"/>
        <v>人流量</v>
      </c>
      <c r="R27" s="769" t="s">
        <v>17</v>
      </c>
      <c r="S27" s="770">
        <f>F27</f>
        <v>100</v>
      </c>
      <c r="T27" s="769" t="s">
        <v>17</v>
      </c>
      <c r="U27" s="770">
        <f>H27</f>
        <v>100</v>
      </c>
      <c r="V27" s="769" t="s">
        <v>17</v>
      </c>
      <c r="W27" s="770">
        <f>J27</f>
        <v>100</v>
      </c>
      <c r="X27" s="771"/>
      <c r="Y27" s="3228"/>
      <c r="Z27" s="2962" t="str">
        <f>Q27</f>
        <v>人流量</v>
      </c>
      <c r="AA27" s="2986">
        <f>D27/F27</f>
        <v>1</v>
      </c>
      <c r="AB27" s="2986">
        <f>D27/H27</f>
        <v>1</v>
      </c>
      <c r="AC27" s="2986">
        <f>D27/J27</f>
        <v>1</v>
      </c>
    </row>
    <row r="28" spans="1:29" ht="15">
      <c r="A28" s="428"/>
      <c r="B28" s="2979" t="s">
        <v>2664</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5"/>
      <c r="Q28" s="2985" t="str">
        <f t="shared" si="11"/>
        <v>楼层</v>
      </c>
      <c r="R28" s="773" t="s">
        <v>17</v>
      </c>
      <c r="S28" s="774">
        <f t="shared" ref="S28:S46" si="12">F28</f>
        <v>100</v>
      </c>
      <c r="T28" s="773" t="s">
        <v>17</v>
      </c>
      <c r="U28" s="774">
        <f t="shared" ref="U28:U46" si="13">H28</f>
        <v>100</v>
      </c>
      <c r="V28" s="773" t="s">
        <v>17</v>
      </c>
      <c r="W28" s="774">
        <f t="shared" ref="W28:W46" si="14">J28</f>
        <v>100</v>
      </c>
      <c r="X28" s="2982"/>
      <c r="Y28" s="3228"/>
      <c r="Z28" s="2983" t="str">
        <f t="shared" ref="Z28:Z46" si="15">Q28</f>
        <v>楼层</v>
      </c>
      <c r="AA28" s="2986">
        <f t="shared" si="3"/>
        <v>1</v>
      </c>
      <c r="AB28" s="2986">
        <f t="shared" si="4"/>
        <v>1</v>
      </c>
      <c r="AC28" s="2986">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5"/>
      <c r="Q29" s="2985">
        <f t="shared" si="11"/>
        <v>111</v>
      </c>
      <c r="R29" s="773" t="s">
        <v>17</v>
      </c>
      <c r="S29" s="774">
        <f t="shared" si="12"/>
        <v>100</v>
      </c>
      <c r="T29" s="773" t="s">
        <v>17</v>
      </c>
      <c r="U29" s="774">
        <f t="shared" si="13"/>
        <v>100</v>
      </c>
      <c r="V29" s="773" t="s">
        <v>17</v>
      </c>
      <c r="W29" s="774">
        <f t="shared" si="14"/>
        <v>100</v>
      </c>
      <c r="X29" s="2982"/>
      <c r="Y29" s="3228"/>
      <c r="Z29" s="2983">
        <f t="shared" si="15"/>
        <v>111</v>
      </c>
      <c r="AA29" s="2986">
        <f t="shared" si="3"/>
        <v>1</v>
      </c>
      <c r="AB29" s="2986">
        <f t="shared" si="4"/>
        <v>1</v>
      </c>
      <c r="AC29" s="2986">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5"/>
      <c r="Q30" s="2985">
        <f t="shared" si="11"/>
        <v>111</v>
      </c>
      <c r="R30" s="773" t="s">
        <v>17</v>
      </c>
      <c r="S30" s="774">
        <f t="shared" si="12"/>
        <v>100</v>
      </c>
      <c r="T30" s="773" t="s">
        <v>17</v>
      </c>
      <c r="U30" s="774">
        <f t="shared" si="13"/>
        <v>100</v>
      </c>
      <c r="V30" s="773" t="s">
        <v>17</v>
      </c>
      <c r="W30" s="774">
        <f t="shared" si="14"/>
        <v>100</v>
      </c>
      <c r="X30" s="2982"/>
      <c r="Y30" s="3228"/>
      <c r="Z30" s="2983">
        <f t="shared" si="15"/>
        <v>111</v>
      </c>
      <c r="AA30" s="2986">
        <f t="shared" si="3"/>
        <v>1</v>
      </c>
      <c r="AB30" s="2986">
        <f t="shared" si="4"/>
        <v>1</v>
      </c>
      <c r="AC30" s="2986">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5"/>
      <c r="Q31" s="2985">
        <f t="shared" si="11"/>
        <v>111</v>
      </c>
      <c r="R31" s="773" t="s">
        <v>17</v>
      </c>
      <c r="S31" s="774">
        <f t="shared" si="12"/>
        <v>100</v>
      </c>
      <c r="T31" s="773" t="s">
        <v>17</v>
      </c>
      <c r="U31" s="774">
        <f t="shared" si="13"/>
        <v>100</v>
      </c>
      <c r="V31" s="773" t="s">
        <v>17</v>
      </c>
      <c r="W31" s="774">
        <f t="shared" si="14"/>
        <v>100</v>
      </c>
      <c r="X31" s="2982"/>
      <c r="Y31" s="3228"/>
      <c r="Z31" s="2983">
        <f t="shared" si="15"/>
        <v>111</v>
      </c>
      <c r="AA31" s="2986">
        <f t="shared" si="3"/>
        <v>1</v>
      </c>
      <c r="AB31" s="2986">
        <f t="shared" si="4"/>
        <v>1</v>
      </c>
      <c r="AC31" s="2986">
        <f t="shared" si="5"/>
        <v>1</v>
      </c>
    </row>
    <row r="32" spans="1:29" ht="15">
      <c r="A32" s="440" t="s">
        <v>2568</v>
      </c>
      <c r="B32" s="71" t="s">
        <v>2665</v>
      </c>
      <c r="C32" s="2621" t="s">
        <v>3088</v>
      </c>
      <c r="D32" s="467">
        <v>100</v>
      </c>
      <c r="E32" s="2621" t="s">
        <v>3088</v>
      </c>
      <c r="F32" s="461">
        <f>SUMIF(100:100,E32,101:101)-SUMIF(100:100,C32,101:101)+100</f>
        <v>100</v>
      </c>
      <c r="G32" s="2952" t="s">
        <v>3089</v>
      </c>
      <c r="H32" s="435">
        <f>SUMIF(100:100,G32,101:101)-SUMIF(100:100,C32,101:101)+100</f>
        <v>100</v>
      </c>
      <c r="I32" s="2952" t="s">
        <v>3087</v>
      </c>
      <c r="J32" s="467">
        <f>SUMIF(100:100,I32,101:101)-SUMIF(100:100,C32,101:101)+100</f>
        <v>102</v>
      </c>
      <c r="K32" s="612">
        <v>2</v>
      </c>
      <c r="L32" s="1142"/>
      <c r="M32" s="1133"/>
      <c r="N32" s="1133"/>
      <c r="O32" s="1133"/>
      <c r="P32" s="3229" t="s">
        <v>2570</v>
      </c>
      <c r="Q32" s="2985" t="str">
        <f t="shared" si="11"/>
        <v>商业类型</v>
      </c>
      <c r="R32" s="773" t="s">
        <v>17</v>
      </c>
      <c r="S32" s="774">
        <f t="shared" si="12"/>
        <v>100</v>
      </c>
      <c r="T32" s="773" t="s">
        <v>17</v>
      </c>
      <c r="U32" s="774">
        <f t="shared" si="13"/>
        <v>100</v>
      </c>
      <c r="V32" s="773" t="s">
        <v>17</v>
      </c>
      <c r="W32" s="774">
        <f t="shared" si="14"/>
        <v>102</v>
      </c>
      <c r="X32" s="2982"/>
      <c r="Y32" s="3232" t="s">
        <v>2570</v>
      </c>
      <c r="Z32" s="2983" t="str">
        <f t="shared" si="15"/>
        <v>商业类型</v>
      </c>
      <c r="AA32" s="2986">
        <f t="shared" si="3"/>
        <v>1</v>
      </c>
      <c r="AB32" s="2986">
        <f t="shared" si="4"/>
        <v>1</v>
      </c>
      <c r="AC32" s="2986">
        <f t="shared" si="5"/>
        <v>0.98039215686274506</v>
      </c>
    </row>
    <row r="33" spans="1:29" s="471" customFormat="1" ht="15">
      <c r="A33" s="468"/>
      <c r="B33" s="2979" t="s">
        <v>2571</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0"/>
      <c r="M33" s="1143"/>
      <c r="N33" s="1143"/>
      <c r="O33" s="1143"/>
      <c r="P33" s="3230"/>
      <c r="Q33" s="775" t="str">
        <f t="shared" si="11"/>
        <v>项目建筑规模</v>
      </c>
      <c r="R33" s="776" t="s">
        <v>17</v>
      </c>
      <c r="S33" s="777">
        <f t="shared" si="12"/>
        <v>100</v>
      </c>
      <c r="T33" s="776" t="s">
        <v>17</v>
      </c>
      <c r="U33" s="777">
        <f t="shared" si="13"/>
        <v>100</v>
      </c>
      <c r="V33" s="776" t="s">
        <v>17</v>
      </c>
      <c r="W33" s="777">
        <f t="shared" si="14"/>
        <v>100</v>
      </c>
      <c r="X33" s="778"/>
      <c r="Y33" s="3232"/>
      <c r="Z33" s="779" t="str">
        <f t="shared" si="15"/>
        <v>项目建筑规模</v>
      </c>
      <c r="AA33" s="2986">
        <f t="shared" si="3"/>
        <v>1</v>
      </c>
      <c r="AB33" s="2986">
        <f t="shared" si="4"/>
        <v>1</v>
      </c>
      <c r="AC33" s="2986">
        <f t="shared" si="5"/>
        <v>1</v>
      </c>
    </row>
    <row r="34" spans="1:29" ht="15">
      <c r="A34" s="472"/>
      <c r="B34" s="2979" t="s">
        <v>2572</v>
      </c>
      <c r="C34" s="2953" t="s">
        <v>3094</v>
      </c>
      <c r="D34" s="435">
        <v>100</v>
      </c>
      <c r="E34" s="2953" t="s">
        <v>3095</v>
      </c>
      <c r="F34" s="461">
        <f>SUMIF(105:105,E34,106:106)-SUMIF(105:105,C34,106:106)+100</f>
        <v>98</v>
      </c>
      <c r="G34" s="2953" t="s">
        <v>3094</v>
      </c>
      <c r="H34" s="435">
        <f>SUMIF(105:105,G34,106:106)-SUMIF(105:105,C34,106:106)+100</f>
        <v>100</v>
      </c>
      <c r="I34" s="2953" t="s">
        <v>3094</v>
      </c>
      <c r="J34" s="435">
        <f>SUMIF(105:105,I34,106:106)-SUMIF(105:105,C34,106:106)+100</f>
        <v>100</v>
      </c>
      <c r="K34" s="612">
        <v>2</v>
      </c>
      <c r="L34" s="1142"/>
      <c r="M34" s="1133"/>
      <c r="N34" s="1133"/>
      <c r="O34" s="1133"/>
      <c r="P34" s="3230"/>
      <c r="Q34" s="2985" t="str">
        <f t="shared" si="11"/>
        <v>建筑结构</v>
      </c>
      <c r="R34" s="773" t="s">
        <v>17</v>
      </c>
      <c r="S34" s="774">
        <f t="shared" si="12"/>
        <v>98</v>
      </c>
      <c r="T34" s="773" t="s">
        <v>17</v>
      </c>
      <c r="U34" s="774">
        <f t="shared" si="13"/>
        <v>100</v>
      </c>
      <c r="V34" s="773" t="s">
        <v>17</v>
      </c>
      <c r="W34" s="774">
        <f t="shared" si="14"/>
        <v>100</v>
      </c>
      <c r="X34" s="2982"/>
      <c r="Y34" s="3232"/>
      <c r="Z34" s="2983" t="str">
        <f t="shared" si="15"/>
        <v>建筑结构</v>
      </c>
      <c r="AA34" s="2986">
        <f t="shared" si="3"/>
        <v>1.0204081632653061</v>
      </c>
      <c r="AB34" s="2986">
        <f t="shared" si="4"/>
        <v>1</v>
      </c>
      <c r="AC34" s="2986">
        <f t="shared" si="5"/>
        <v>1</v>
      </c>
    </row>
    <row r="35" spans="1:29" ht="15">
      <c r="A35" s="472"/>
      <c r="B35" s="2979" t="s">
        <v>2666</v>
      </c>
      <c r="C35" s="2955" t="s">
        <v>3097</v>
      </c>
      <c r="D35" s="435">
        <v>100</v>
      </c>
      <c r="E35" s="2955" t="s">
        <v>3098</v>
      </c>
      <c r="F35" s="461">
        <f>SUMIF(107:107,E35,108:108)-SUMIF(107:107,C35,108:108)+100</f>
        <v>98</v>
      </c>
      <c r="G35" s="2955" t="s">
        <v>3098</v>
      </c>
      <c r="H35" s="435">
        <f>SUMIF(107:107,G35,108:108)-SUMIF(107:107,C35,108:108)+100</f>
        <v>98</v>
      </c>
      <c r="I35" s="2955" t="s">
        <v>3097</v>
      </c>
      <c r="J35" s="435">
        <f>SUMIF(107:107,I35,108:108)-SUMIF(107:107,C35,108:108)+100</f>
        <v>100</v>
      </c>
      <c r="K35" s="612">
        <v>2</v>
      </c>
      <c r="L35" s="1142"/>
      <c r="M35" s="1133"/>
      <c r="N35" s="1133"/>
      <c r="O35" s="1133"/>
      <c r="P35" s="3230"/>
      <c r="Q35" s="2985" t="str">
        <f t="shared" si="11"/>
        <v>公共部分装修</v>
      </c>
      <c r="R35" s="773" t="s">
        <v>17</v>
      </c>
      <c r="S35" s="774">
        <f t="shared" si="12"/>
        <v>98</v>
      </c>
      <c r="T35" s="773" t="s">
        <v>17</v>
      </c>
      <c r="U35" s="774">
        <f t="shared" si="13"/>
        <v>98</v>
      </c>
      <c r="V35" s="773" t="s">
        <v>17</v>
      </c>
      <c r="W35" s="774">
        <f t="shared" si="14"/>
        <v>100</v>
      </c>
      <c r="X35" s="2982"/>
      <c r="Y35" s="3232"/>
      <c r="Z35" s="2983" t="str">
        <f t="shared" si="15"/>
        <v>公共部分装修</v>
      </c>
      <c r="AA35" s="2986">
        <f t="shared" si="3"/>
        <v>1.0204081632653061</v>
      </c>
      <c r="AB35" s="2986">
        <f t="shared" si="4"/>
        <v>1.0204081632653061</v>
      </c>
      <c r="AC35" s="2986">
        <f t="shared" si="5"/>
        <v>1</v>
      </c>
    </row>
    <row r="36" spans="1:29" ht="15">
      <c r="A36" s="472"/>
      <c r="B36" s="2979" t="s">
        <v>2667</v>
      </c>
      <c r="C36" s="474">
        <f>'数据-取费表'!N6</f>
        <v>0.83</v>
      </c>
      <c r="D36" s="435">
        <v>100</v>
      </c>
      <c r="E36" s="474">
        <v>0.85</v>
      </c>
      <c r="F36" s="461">
        <f>LOOKUP(E36,110:110,111:111)-LOOKUP(C36,110:110,111:111)+100</f>
        <v>100</v>
      </c>
      <c r="G36" s="474">
        <v>0.85</v>
      </c>
      <c r="H36" s="461">
        <f>LOOKUP(G36,110:110,111:111)-LOOKUP(C36,110:110,111:111)+100</f>
        <v>100</v>
      </c>
      <c r="I36" s="474">
        <v>0.85</v>
      </c>
      <c r="J36" s="435">
        <f>LOOKUP(I36,110:110,111:111)-LOOKUP(C36,110:110,111:111)+100</f>
        <v>100</v>
      </c>
      <c r="K36" s="612"/>
      <c r="L36" s="1142"/>
      <c r="M36" s="1133"/>
      <c r="N36" s="1133"/>
      <c r="O36" s="1133"/>
      <c r="P36" s="3230"/>
      <c r="Q36" s="2985" t="str">
        <f t="shared" si="11"/>
        <v>成新度</v>
      </c>
      <c r="R36" s="773" t="s">
        <v>17</v>
      </c>
      <c r="S36" s="774">
        <f t="shared" si="12"/>
        <v>100</v>
      </c>
      <c r="T36" s="773" t="s">
        <v>17</v>
      </c>
      <c r="U36" s="774">
        <f t="shared" si="13"/>
        <v>100</v>
      </c>
      <c r="V36" s="773" t="s">
        <v>17</v>
      </c>
      <c r="W36" s="774">
        <f t="shared" si="14"/>
        <v>100</v>
      </c>
      <c r="X36" s="2982"/>
      <c r="Y36" s="3232"/>
      <c r="Z36" s="2983" t="str">
        <f t="shared" si="15"/>
        <v>成新度</v>
      </c>
      <c r="AA36" s="2986">
        <f t="shared" si="3"/>
        <v>1</v>
      </c>
      <c r="AB36" s="2986">
        <f t="shared" si="4"/>
        <v>1</v>
      </c>
      <c r="AC36" s="2986">
        <f t="shared" si="5"/>
        <v>1</v>
      </c>
    </row>
    <row r="37" spans="1:29" s="117" customFormat="1" ht="15">
      <c r="A37" s="473"/>
      <c r="B37" s="2979" t="s">
        <v>2668</v>
      </c>
      <c r="C37" s="2955" t="s">
        <v>3099</v>
      </c>
      <c r="D37" s="136">
        <v>100</v>
      </c>
      <c r="E37" s="2955" t="s">
        <v>3100</v>
      </c>
      <c r="F37" s="461">
        <f>SUMIF(112:112,E37,113:113)-SUMIF(112:112,C37,113:113)+100</f>
        <v>98</v>
      </c>
      <c r="G37" s="2955" t="s">
        <v>3101</v>
      </c>
      <c r="H37" s="435">
        <f>SUMIF(112:112,G37,113:113)-SUMIF(112:112,C37,113:113)+100</f>
        <v>98</v>
      </c>
      <c r="I37" s="2955" t="s">
        <v>3102</v>
      </c>
      <c r="J37" s="435">
        <f>SUMIF(112:112,I37,113:113)-SUMIF(112:112,C37,113:113)+100</f>
        <v>96</v>
      </c>
      <c r="K37" s="612">
        <v>2</v>
      </c>
      <c r="L37" s="1134"/>
      <c r="M37" s="1135"/>
      <c r="N37" s="1135"/>
      <c r="O37" s="1135"/>
      <c r="P37" s="3230"/>
      <c r="Q37" s="2961" t="str">
        <f t="shared" si="11"/>
        <v>市政基础设施</v>
      </c>
      <c r="R37" s="769" t="s">
        <v>17</v>
      </c>
      <c r="S37" s="770">
        <f t="shared" si="12"/>
        <v>98</v>
      </c>
      <c r="T37" s="769" t="s">
        <v>17</v>
      </c>
      <c r="U37" s="770">
        <f t="shared" si="13"/>
        <v>98</v>
      </c>
      <c r="V37" s="769" t="s">
        <v>17</v>
      </c>
      <c r="W37" s="770">
        <f t="shared" si="14"/>
        <v>96</v>
      </c>
      <c r="X37" s="771"/>
      <c r="Y37" s="3232"/>
      <c r="Z37" s="2962" t="str">
        <f t="shared" si="15"/>
        <v>市政基础设施</v>
      </c>
      <c r="AA37" s="772">
        <f t="shared" si="3"/>
        <v>1.0204081632653061</v>
      </c>
      <c r="AB37" s="772">
        <f t="shared" si="4"/>
        <v>1.0204081632653061</v>
      </c>
      <c r="AC37" s="772">
        <f t="shared" si="5"/>
        <v>1.0416666666666667</v>
      </c>
    </row>
    <row r="38" spans="1:29" ht="15">
      <c r="A38" s="472"/>
      <c r="B38" s="2979"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30" t="s">
        <v>2570</v>
      </c>
      <c r="Q38" s="2985" t="str">
        <f t="shared" si="11"/>
        <v>业态</v>
      </c>
      <c r="R38" s="773" t="s">
        <v>17</v>
      </c>
      <c r="S38" s="774">
        <f t="shared" si="12"/>
        <v>100</v>
      </c>
      <c r="T38" s="773" t="s">
        <v>17</v>
      </c>
      <c r="U38" s="774">
        <f t="shared" si="13"/>
        <v>100</v>
      </c>
      <c r="V38" s="773" t="s">
        <v>17</v>
      </c>
      <c r="W38" s="774">
        <f t="shared" si="14"/>
        <v>100</v>
      </c>
      <c r="X38" s="2982"/>
      <c r="Y38" s="3232" t="s">
        <v>2570</v>
      </c>
      <c r="Z38" s="2983" t="str">
        <f t="shared" si="15"/>
        <v>业态</v>
      </c>
      <c r="AA38" s="2986">
        <f t="shared" si="3"/>
        <v>1</v>
      </c>
      <c r="AB38" s="2986">
        <f t="shared" si="4"/>
        <v>1</v>
      </c>
      <c r="AC38" s="2986">
        <f t="shared" si="5"/>
        <v>1</v>
      </c>
    </row>
    <row r="39" spans="1:29" ht="15">
      <c r="A39" s="472"/>
      <c r="B39" s="2979" t="s">
        <v>2670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230"/>
      <c r="Q39" s="2985" t="str">
        <f t="shared" si="11"/>
        <v>层高</v>
      </c>
      <c r="R39" s="773" t="s">
        <v>17</v>
      </c>
      <c r="S39" s="774">
        <f t="shared" si="12"/>
        <v>100</v>
      </c>
      <c r="T39" s="773" t="s">
        <v>17</v>
      </c>
      <c r="U39" s="774">
        <f t="shared" si="13"/>
        <v>100</v>
      </c>
      <c r="V39" s="773" t="s">
        <v>17</v>
      </c>
      <c r="W39" s="774">
        <f t="shared" si="14"/>
        <v>100</v>
      </c>
      <c r="X39" s="2982"/>
      <c r="Y39" s="3232"/>
      <c r="Z39" s="2983" t="str">
        <f t="shared" si="15"/>
        <v>层高</v>
      </c>
      <c r="AA39" s="2986">
        <f t="shared" si="3"/>
        <v>1</v>
      </c>
      <c r="AB39" s="2986">
        <f t="shared" si="4"/>
        <v>1</v>
      </c>
      <c r="AC39" s="2986">
        <f t="shared" si="5"/>
        <v>1</v>
      </c>
    </row>
    <row r="40" spans="1:29" ht="15">
      <c r="A40" s="472"/>
      <c r="B40" s="2979" t="s">
        <v>2671</v>
      </c>
      <c r="C40" s="2956" t="s">
        <v>3119</v>
      </c>
      <c r="D40" s="435">
        <v>100</v>
      </c>
      <c r="E40" s="617">
        <v>93</v>
      </c>
      <c r="F40" s="461">
        <f>SUMIF(118:118,E40,119:119)-SUMIF(118:118,C40,119:119)+100</f>
        <v>104</v>
      </c>
      <c r="G40" s="617">
        <v>100</v>
      </c>
      <c r="H40" s="435">
        <f>SUMIF(118:118,G40,119:119)-SUMIF(118:118,C40,119:119)+100</f>
        <v>104</v>
      </c>
      <c r="I40" s="617">
        <v>279</v>
      </c>
      <c r="J40" s="435">
        <f>SUMIF(118:118,I40,119:119)-SUMIF(118:118,C40,119:119)+100</f>
        <v>104</v>
      </c>
      <c r="K40" s="613"/>
      <c r="L40" s="1142"/>
      <c r="M40" s="1133"/>
      <c r="N40" s="1133"/>
      <c r="O40" s="1133"/>
      <c r="P40" s="3230"/>
      <c r="Q40" s="2985" t="str">
        <f t="shared" si="11"/>
        <v>单套建筑面积</v>
      </c>
      <c r="R40" s="773" t="s">
        <v>17</v>
      </c>
      <c r="S40" s="774">
        <f t="shared" si="12"/>
        <v>104</v>
      </c>
      <c r="T40" s="773" t="s">
        <v>17</v>
      </c>
      <c r="U40" s="774">
        <f t="shared" si="13"/>
        <v>104</v>
      </c>
      <c r="V40" s="773" t="s">
        <v>17</v>
      </c>
      <c r="W40" s="774">
        <f t="shared" si="14"/>
        <v>104</v>
      </c>
      <c r="X40" s="2982"/>
      <c r="Y40" s="3232"/>
      <c r="Z40" s="2983" t="str">
        <f t="shared" si="15"/>
        <v>单套建筑面积</v>
      </c>
      <c r="AA40" s="2986">
        <f t="shared" si="3"/>
        <v>0.96153846153846156</v>
      </c>
      <c r="AB40" s="2986">
        <f t="shared" si="4"/>
        <v>0.96153846153846156</v>
      </c>
      <c r="AC40" s="2986">
        <f t="shared" si="5"/>
        <v>0.96153846153846156</v>
      </c>
    </row>
    <row r="41" spans="1:29" s="471" customFormat="1" ht="15">
      <c r="A41" s="468"/>
      <c r="B41" s="298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0"/>
      <c r="Q41" s="775" t="str">
        <f t="shared" si="11"/>
        <v>进深比</v>
      </c>
      <c r="R41" s="776" t="s">
        <v>17</v>
      </c>
      <c r="S41" s="777">
        <f t="shared" si="12"/>
        <v>100</v>
      </c>
      <c r="T41" s="776" t="s">
        <v>17</v>
      </c>
      <c r="U41" s="777">
        <f t="shared" si="13"/>
        <v>100</v>
      </c>
      <c r="V41" s="776" t="s">
        <v>17</v>
      </c>
      <c r="W41" s="777">
        <f t="shared" si="14"/>
        <v>100</v>
      </c>
      <c r="X41" s="778"/>
      <c r="Y41" s="3232"/>
      <c r="Z41" s="779" t="str">
        <f t="shared" si="15"/>
        <v>进深比</v>
      </c>
      <c r="AA41" s="2986">
        <f t="shared" si="3"/>
        <v>1</v>
      </c>
      <c r="AB41" s="2986">
        <f t="shared" si="4"/>
        <v>1</v>
      </c>
      <c r="AC41" s="2986">
        <f t="shared" si="5"/>
        <v>1</v>
      </c>
    </row>
    <row r="42" spans="1:29" ht="15">
      <c r="A42" s="472"/>
      <c r="B42" s="2979"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30"/>
      <c r="Q42" s="2985" t="str">
        <f t="shared" si="11"/>
        <v>内部装修</v>
      </c>
      <c r="R42" s="773" t="s">
        <v>17</v>
      </c>
      <c r="S42" s="774">
        <f t="shared" si="12"/>
        <v>100</v>
      </c>
      <c r="T42" s="773" t="s">
        <v>17</v>
      </c>
      <c r="U42" s="774">
        <f t="shared" si="13"/>
        <v>100</v>
      </c>
      <c r="V42" s="773" t="s">
        <v>17</v>
      </c>
      <c r="W42" s="774">
        <f t="shared" si="14"/>
        <v>100</v>
      </c>
      <c r="X42" s="2982"/>
      <c r="Y42" s="3232"/>
      <c r="Z42" s="2983" t="str">
        <f t="shared" si="15"/>
        <v>内部装修</v>
      </c>
      <c r="AA42" s="2986">
        <f t="shared" si="3"/>
        <v>1</v>
      </c>
      <c r="AB42" s="2986">
        <f t="shared" si="4"/>
        <v>1</v>
      </c>
      <c r="AC42" s="2986">
        <f t="shared" si="5"/>
        <v>1</v>
      </c>
    </row>
    <row r="43" spans="1:29" ht="15">
      <c r="A43" s="472"/>
      <c r="B43" s="2979"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30"/>
      <c r="Q43" s="2985" t="str">
        <f t="shared" si="11"/>
        <v>内部装修维护情况</v>
      </c>
      <c r="R43" s="773" t="s">
        <v>17</v>
      </c>
      <c r="S43" s="774">
        <f t="shared" si="12"/>
        <v>100</v>
      </c>
      <c r="T43" s="773" t="s">
        <v>17</v>
      </c>
      <c r="U43" s="774">
        <f t="shared" si="13"/>
        <v>100</v>
      </c>
      <c r="V43" s="773" t="s">
        <v>17</v>
      </c>
      <c r="W43" s="774">
        <f t="shared" si="14"/>
        <v>100</v>
      </c>
      <c r="X43" s="2982"/>
      <c r="Y43" s="3232"/>
      <c r="Z43" s="2983" t="str">
        <f t="shared" si="15"/>
        <v>内部装修维护情况</v>
      </c>
      <c r="AA43" s="2986">
        <f t="shared" si="3"/>
        <v>1</v>
      </c>
      <c r="AB43" s="2986">
        <f t="shared" si="4"/>
        <v>1</v>
      </c>
      <c r="AC43" s="2986">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2961">
        <f t="shared" si="11"/>
        <v>111</v>
      </c>
      <c r="R44" s="769" t="s">
        <v>17</v>
      </c>
      <c r="S44" s="770">
        <f t="shared" si="12"/>
        <v>100</v>
      </c>
      <c r="T44" s="769" t="s">
        <v>17</v>
      </c>
      <c r="U44" s="770">
        <f t="shared" si="13"/>
        <v>100</v>
      </c>
      <c r="V44" s="769" t="s">
        <v>17</v>
      </c>
      <c r="W44" s="770">
        <f t="shared" si="14"/>
        <v>100</v>
      </c>
      <c r="X44" s="771"/>
      <c r="Y44" s="3232"/>
      <c r="Z44" s="2962">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2985">
        <f t="shared" si="11"/>
        <v>111</v>
      </c>
      <c r="R45" s="773" t="s">
        <v>17</v>
      </c>
      <c r="S45" s="774">
        <f t="shared" si="12"/>
        <v>100</v>
      </c>
      <c r="T45" s="773" t="s">
        <v>17</v>
      </c>
      <c r="U45" s="774">
        <f t="shared" si="13"/>
        <v>100</v>
      </c>
      <c r="V45" s="773" t="s">
        <v>17</v>
      </c>
      <c r="W45" s="774">
        <f t="shared" si="14"/>
        <v>100</v>
      </c>
      <c r="X45" s="2982"/>
      <c r="Y45" s="3232"/>
      <c r="Z45" s="2983">
        <f t="shared" si="15"/>
        <v>111</v>
      </c>
      <c r="AA45" s="2986">
        <f t="shared" si="3"/>
        <v>1</v>
      </c>
      <c r="AB45" s="2986">
        <f t="shared" si="4"/>
        <v>1</v>
      </c>
      <c r="AC45" s="2986">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2985">
        <f t="shared" si="11"/>
        <v>111</v>
      </c>
      <c r="R46" s="773" t="s">
        <v>17</v>
      </c>
      <c r="S46" s="774">
        <f t="shared" si="12"/>
        <v>100</v>
      </c>
      <c r="T46" s="773" t="s">
        <v>17</v>
      </c>
      <c r="U46" s="774">
        <f t="shared" si="13"/>
        <v>100</v>
      </c>
      <c r="V46" s="773" t="s">
        <v>17</v>
      </c>
      <c r="W46" s="774">
        <f t="shared" si="14"/>
        <v>100</v>
      </c>
      <c r="X46" s="2982"/>
      <c r="Y46" s="3233"/>
      <c r="Z46" s="2983">
        <f t="shared" si="15"/>
        <v>111</v>
      </c>
      <c r="AA46" s="2986">
        <f t="shared" si="3"/>
        <v>1</v>
      </c>
      <c r="AB46" s="2986">
        <f t="shared" si="4"/>
        <v>1</v>
      </c>
      <c r="AC46" s="2986">
        <f t="shared" si="5"/>
        <v>1</v>
      </c>
    </row>
    <row r="47" spans="1:29" ht="15">
      <c r="A47" s="479" t="s">
        <v>2582</v>
      </c>
      <c r="B47" s="480"/>
      <c r="C47" s="1409" t="s">
        <v>1</v>
      </c>
      <c r="D47" s="1410"/>
      <c r="E47" s="1411">
        <f>51000*0.6</f>
        <v>30600</v>
      </c>
      <c r="F47" s="1412"/>
      <c r="G47" s="1413">
        <f>51000*0.6</f>
        <v>30600</v>
      </c>
      <c r="H47" s="1414"/>
      <c r="I47" s="1411">
        <f>60000*0.6</f>
        <v>36000</v>
      </c>
      <c r="J47" s="1414"/>
      <c r="K47" s="782"/>
      <c r="L47" s="1145"/>
      <c r="M47" s="1146"/>
      <c r="N47" s="1133"/>
      <c r="O47" s="1146"/>
      <c r="P47" s="3225" t="str">
        <f>A47</f>
        <v>成交单价（元/平方米）</v>
      </c>
      <c r="Q47" s="3225"/>
      <c r="R47" s="3256">
        <f>E47</f>
        <v>30600</v>
      </c>
      <c r="S47" s="3256"/>
      <c r="T47" s="3256">
        <f>G47</f>
        <v>30600</v>
      </c>
      <c r="U47" s="3256"/>
      <c r="V47" s="3256">
        <f>I47</f>
        <v>36000</v>
      </c>
      <c r="W47" s="3256"/>
      <c r="X47" s="758"/>
      <c r="Y47" s="780"/>
      <c r="Z47" s="758"/>
      <c r="AA47" s="758"/>
      <c r="AB47" s="758"/>
      <c r="AC47" s="758"/>
    </row>
    <row r="48" spans="1:29" ht="15.75" thickBot="1">
      <c r="A48" s="486" t="s">
        <v>2674</v>
      </c>
      <c r="B48" s="487"/>
      <c r="C48" s="1415">
        <f>R49</f>
        <v>32416</v>
      </c>
      <c r="D48" s="1416"/>
      <c r="E48" s="1417">
        <f>R48</f>
        <v>31262</v>
      </c>
      <c r="F48" s="1417"/>
      <c r="G48" s="1415">
        <f>T48</f>
        <v>30636</v>
      </c>
      <c r="H48" s="1416"/>
      <c r="I48" s="1417">
        <f>V48</f>
        <v>35351</v>
      </c>
      <c r="J48" s="1416"/>
      <c r="K48" s="783"/>
      <c r="L48" s="1145"/>
      <c r="M48" s="1146"/>
      <c r="N48" s="1133"/>
      <c r="O48" s="1146"/>
      <c r="P48" s="3225" t="str">
        <f>A48</f>
        <v>比较价值（元/平方米）</v>
      </c>
      <c r="Q48" s="3225"/>
      <c r="R48" s="3226">
        <f>IF(F1="售价",ROUND(PRODUCT(R47,AA7:AA46),0),ROUND(PRODUCT(R47,AA7:AA46),1))</f>
        <v>31262</v>
      </c>
      <c r="S48" s="3226"/>
      <c r="T48" s="3226">
        <f>IF(F1="售价",ROUND(PRODUCT(T47,AB7:AB46),0),ROUND(PRODUCT(T47,AB7:AB46),1))</f>
        <v>30636</v>
      </c>
      <c r="U48" s="3226"/>
      <c r="V48" s="3226">
        <f>IF(F1="售价",ROUND(PRODUCT(V47,AC7:AC46),0),ROUND(PRODUCT(V47,AC7:AC46),1))</f>
        <v>35351</v>
      </c>
      <c r="W48" s="3226"/>
      <c r="X48" s="758"/>
      <c r="Y48" s="758"/>
      <c r="Z48" s="758"/>
      <c r="AA48" s="758"/>
      <c r="AB48" s="758"/>
      <c r="AC48" s="758"/>
    </row>
    <row r="49" spans="1:29" ht="15.75" thickBot="1">
      <c r="A49" s="492" t="s">
        <v>2675</v>
      </c>
      <c r="B49" s="493"/>
      <c r="C49" s="1419">
        <f>R49</f>
        <v>32416</v>
      </c>
      <c r="D49" s="1419"/>
      <c r="E49" s="1419"/>
      <c r="F49" s="1419"/>
      <c r="G49" s="1419"/>
      <c r="H49" s="1419"/>
      <c r="I49" s="1419"/>
      <c r="J49" s="1419"/>
      <c r="K49" s="784"/>
      <c r="L49" s="1145"/>
      <c r="M49" s="1146"/>
      <c r="N49" s="1133"/>
      <c r="O49" s="1146"/>
      <c r="P49" s="3222" t="str">
        <f>A49</f>
        <v>估价对象XX用房的比较价值（楼面单价，元/平方米）</v>
      </c>
      <c r="Q49" s="3223"/>
      <c r="R49" s="3224">
        <f>IF(F1="售价",ROUND(AVERAGE(R48:V48),0),ROUND(AVERAGE(R48:V48),1))</f>
        <v>32416</v>
      </c>
      <c r="S49" s="3224"/>
      <c r="T49" s="3224"/>
      <c r="U49" s="3224"/>
      <c r="V49" s="3224"/>
      <c r="W49" s="322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2585</v>
      </c>
      <c r="D52" s="498"/>
      <c r="E52" s="499">
        <f>IF(E47&lt;E48,E48/E47-1,E47/E48-1)</f>
        <v>2.1633986928104587E-2</v>
      </c>
      <c r="F52" s="500" t="str">
        <f>IF(OR(E52&gt;=0.3,E52&lt;=-0.3),"超过30%","")</f>
        <v/>
      </c>
      <c r="G52" s="499">
        <f>IF(G47&lt;G48,G48/G47-1,G47/G48-1)</f>
        <v>1.1764705882353343E-3</v>
      </c>
      <c r="H52" s="500" t="str">
        <f>IF(OR(G52&gt;=0.3,G52&lt;=-0.3),"超过30%","")</f>
        <v/>
      </c>
      <c r="I52" s="499">
        <f>IF(I47&lt;I48,I48/I47-1,I47/I48-1)</f>
        <v>1.835874515572411E-2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2677</v>
      </c>
      <c r="D53" s="501"/>
      <c r="E53" s="499">
        <f>IF(E48&lt;G48,G48/E48-1,E48/G48-1)</f>
        <v>2.0433476955216134E-2</v>
      </c>
      <c r="F53" s="500" t="str">
        <f>IF(OR(E53&gt;=0.2,E53&lt;=-0.2),"超过20%","")</f>
        <v/>
      </c>
      <c r="G53" s="499">
        <f>IF(G48&lt;I48,I48/G48-1,G48/I48-1)</f>
        <v>0.15390390390390385</v>
      </c>
      <c r="H53" s="500" t="str">
        <f>IF(OR(G53&gt;=0.2,G53&lt;=-0.2),"超过20%","")</f>
        <v/>
      </c>
      <c r="I53" s="499">
        <f>IF(I48&lt;E48,E48/I48-1,I48/E48-1)</f>
        <v>0.1307977736549164</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2587</v>
      </c>
      <c r="D54" s="501"/>
      <c r="E54" s="499">
        <f>IF(E47&lt;G47,G47/E47-1,E47/G47-1)</f>
        <v>0</v>
      </c>
      <c r="F54" s="500" t="str">
        <f>IF(OR(E54&gt;=0.3,E54&lt;=-0.3),"超过30%","")</f>
        <v/>
      </c>
      <c r="G54" s="499">
        <f>IF(G47&lt;I47,I47/G47-1,G47/I47-1)</f>
        <v>0.17647058823529416</v>
      </c>
      <c r="H54" s="500" t="str">
        <f>IF(OR(G54&gt;=0.3,G54&lt;=-0.3),"超过30%","")</f>
        <v/>
      </c>
      <c r="I54" s="499">
        <f>IF(I47&lt;E47,E47/I47-1,I47/E47-1)</f>
        <v>0.17647058823529416</v>
      </c>
      <c r="J54" s="500" t="str">
        <f>IF(OR(I54&gt;=0.3,I54&lt;=-0.3),"超过30%","")</f>
        <v/>
      </c>
      <c r="K54" s="1150"/>
      <c r="L54" s="1151"/>
      <c r="M54" s="1147"/>
      <c r="N54" s="1147"/>
      <c r="O54" s="1147"/>
      <c r="P54" s="2670"/>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2588</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8" customFormat="1" ht="15">
      <c r="A58" s="505" t="s">
        <v>2553</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2660</v>
      </c>
      <c r="C82" s="659" t="s">
        <v>2680</v>
      </c>
      <c r="D82" s="659" t="s">
        <v>2681</v>
      </c>
      <c r="E82" s="659" t="s">
        <v>2682</v>
      </c>
      <c r="F82" s="659" t="s">
        <v>2683</v>
      </c>
      <c r="G82" s="659" t="s">
        <v>2684</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59"/>
      <c r="I83" s="659"/>
      <c r="J83" s="659"/>
      <c r="K83" s="659"/>
      <c r="L83" s="659"/>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2685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2568</v>
      </c>
      <c r="B100" s="528" t="s">
        <v>2686</v>
      </c>
      <c r="C100" s="2951" t="s">
        <v>3086</v>
      </c>
      <c r="D100" s="2951" t="s">
        <v>3087</v>
      </c>
      <c r="E100" s="2951" t="s">
        <v>3089</v>
      </c>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4"/>
      <c r="Q101" s="504"/>
    </row>
    <row r="102" spans="1:17" ht="15.75" thickTop="1">
      <c r="A102" s="534"/>
      <c r="B102" s="538" t="s">
        <v>2618</v>
      </c>
      <c r="C102" s="578" t="str">
        <f>C103&amp;"(含)"&amp;"-"&amp;D103</f>
        <v>0(含)-10000</v>
      </c>
      <c r="D102" s="578" t="str">
        <f t="shared" ref="D102:L102" si="23">D103&amp;"(含)"&amp;"-"&amp;E103</f>
        <v>10000(含)-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3"/>
      <c r="O102" s="1153"/>
      <c r="P102" s="2634"/>
      <c r="Q102" s="504"/>
    </row>
    <row r="103" spans="1:17" s="471" customFormat="1">
      <c r="A103" s="593"/>
      <c r="B103" s="594"/>
      <c r="C103" s="595">
        <v>0</v>
      </c>
      <c r="D103" s="595">
        <v>10000</v>
      </c>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2619</v>
      </c>
      <c r="C105" s="2954" t="s">
        <v>3094</v>
      </c>
      <c r="D105" s="2954" t="s">
        <v>3096</v>
      </c>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4"/>
      <c r="Q106" s="504"/>
    </row>
    <row r="107" spans="1:17" ht="15" thickTop="1">
      <c r="A107" s="599"/>
      <c r="B107" s="538" t="s">
        <v>2621</v>
      </c>
      <c r="C107" s="2954" t="s">
        <v>3097</v>
      </c>
      <c r="D107" s="2954" t="s">
        <v>3098</v>
      </c>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2623</v>
      </c>
      <c r="C112" s="2954" t="s">
        <v>3099</v>
      </c>
      <c r="D112" s="2954" t="s">
        <v>3101</v>
      </c>
      <c r="E112" s="2954" t="s">
        <v>3102</v>
      </c>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5"/>
      <c r="Q113" s="559"/>
    </row>
    <row r="114" spans="1:17" ht="15" thickTop="1">
      <c r="A114" s="599"/>
      <c r="B114" s="538" t="s">
        <v>2687</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2688</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2689</v>
      </c>
      <c r="C118" s="2957" t="str">
        <f>C40</f>
        <v>1189.19</v>
      </c>
      <c r="D118" s="626">
        <f>E40</f>
        <v>93</v>
      </c>
      <c r="E118" s="626">
        <f>G40</f>
        <v>100</v>
      </c>
      <c r="F118" s="626">
        <f>I40</f>
        <v>279</v>
      </c>
      <c r="G118" s="626"/>
      <c r="H118" s="555"/>
      <c r="I118" s="555"/>
      <c r="J118" s="555"/>
      <c r="K118" s="555"/>
      <c r="L118" s="556"/>
      <c r="M118" s="557"/>
      <c r="N118" s="1154"/>
      <c r="O118" s="1154"/>
      <c r="P118" s="2634"/>
      <c r="Q118" s="504"/>
    </row>
    <row r="119" spans="1:17" ht="15.75" thickBot="1">
      <c r="A119" s="534"/>
      <c r="B119" s="543"/>
      <c r="C119" s="560">
        <v>100</v>
      </c>
      <c r="D119" s="536">
        <v>104</v>
      </c>
      <c r="E119" s="536">
        <v>104</v>
      </c>
      <c r="F119" s="536">
        <v>104</v>
      </c>
      <c r="G119" s="536"/>
      <c r="H119" s="536"/>
      <c r="I119" s="536"/>
      <c r="J119" s="536"/>
      <c r="K119" s="536"/>
      <c r="L119" s="536"/>
      <c r="M119" s="537"/>
      <c r="N119" s="1155"/>
      <c r="O119" s="1155"/>
      <c r="P119" s="2634"/>
      <c r="Q119" s="504"/>
    </row>
    <row r="120" spans="1:17" s="471" customFormat="1" ht="15" thickTop="1">
      <c r="A120" s="593"/>
      <c r="B120" s="538" t="s">
        <v>2690</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20" priority="16"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G40" sqref="G4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1"/>
      <c r="C1" s="1839" t="s">
        <v>3114</v>
      </c>
      <c r="D1" s="1822" t="s">
        <v>70</v>
      </c>
      <c r="E1" s="1823" t="s">
        <v>1387</v>
      </c>
      <c r="F1" s="1285">
        <f ca="1">J53</f>
        <v>26.82</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1516</v>
      </c>
      <c r="B2" s="1846">
        <f ca="1">C40+J29+L46</f>
        <v>1058</v>
      </c>
      <c r="C2" s="1847" t="s">
        <v>1517</v>
      </c>
      <c r="D2" s="1847"/>
      <c r="E2" s="1848"/>
      <c r="F2" s="1849"/>
      <c r="G2" s="1850"/>
      <c r="H2" s="1842"/>
      <c r="I2" s="1842"/>
      <c r="J2" s="1842"/>
      <c r="K2" s="1843"/>
      <c r="L2" s="1842"/>
      <c r="M2" s="1842"/>
    </row>
    <row r="3" spans="1:37" ht="18" customHeight="1" thickBot="1">
      <c r="A3" s="1851" t="s">
        <v>1518</v>
      </c>
      <c r="B3" s="1852">
        <f ca="1">IF(ISERROR(B2*10000/F43),0,ROUND(B2*10000/F43,0))</f>
        <v>8897</v>
      </c>
      <c r="C3" s="1847" t="s">
        <v>1519</v>
      </c>
      <c r="D3" s="1847"/>
      <c r="E3" s="1848"/>
      <c r="F3" s="1849"/>
      <c r="G3" s="1850"/>
      <c r="H3" s="743"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v>
      </c>
      <c r="D5" s="1824" t="s">
        <v>1402</v>
      </c>
      <c r="E5" s="1295"/>
      <c r="F5" s="1296"/>
      <c r="G5" s="1853"/>
      <c r="H5" s="344">
        <v>1</v>
      </c>
      <c r="I5" s="345" t="s">
        <v>1401</v>
      </c>
      <c r="J5" s="1294">
        <f ca="1">J6+J10+J12</f>
        <v>82</v>
      </c>
      <c r="K5" s="1824" t="s">
        <v>1402</v>
      </c>
      <c r="L5" s="1295"/>
      <c r="M5" s="1296"/>
    </row>
    <row r="6" spans="1:37" ht="18" customHeight="1">
      <c r="A6" s="1293" t="s">
        <v>1035</v>
      </c>
      <c r="B6" s="3195" t="s">
        <v>1403</v>
      </c>
      <c r="C6" s="1298">
        <f ca="1">ROUND(F6*F8*F7*(1-F9)/10000,0)</f>
        <v>20</v>
      </c>
      <c r="D6" s="164" t="s">
        <v>3038</v>
      </c>
      <c r="E6" s="347" t="s">
        <v>1405</v>
      </c>
      <c r="F6" s="348">
        <f ca="1">INDIRECT("'数据-取费表'!u"&amp;$G$1)</f>
        <v>0.5</v>
      </c>
      <c r="G6" s="1853"/>
      <c r="H6" s="1293" t="s">
        <v>1035</v>
      </c>
      <c r="I6" s="3195" t="s">
        <v>1403</v>
      </c>
      <c r="J6" s="346">
        <f ca="1">ROUND(M6*M8*M7*(1-M9)/10000,0)</f>
        <v>82</v>
      </c>
      <c r="K6" s="164" t="s">
        <v>3037</v>
      </c>
      <c r="L6" s="347" t="s">
        <v>1405</v>
      </c>
      <c r="M6" s="348">
        <f ca="1">INDIRECT("'数据-取费表'!z"&amp;$G$1)</f>
        <v>2.11</v>
      </c>
    </row>
    <row r="7" spans="1:37" ht="18" customHeight="1">
      <c r="A7" s="1297"/>
      <c r="B7" s="3196"/>
      <c r="C7" s="1299"/>
      <c r="D7" s="352"/>
      <c r="E7" s="2968" t="s">
        <v>1406</v>
      </c>
      <c r="F7" s="348">
        <f ca="1">IF(INDIRECT("'数据-取费表'!ah"&amp;$G$1)="",INDIRECT("'数据-取费表'!k"&amp;$G$1),INDIRECT("'数据-取费表'!ah"&amp;$G$1))</f>
        <v>1189.19</v>
      </c>
      <c r="G7" s="1853"/>
      <c r="H7" s="349"/>
      <c r="I7" s="3196"/>
      <c r="J7" s="351"/>
      <c r="K7" s="352"/>
      <c r="L7" s="347" t="s">
        <v>1406</v>
      </c>
      <c r="M7" s="348">
        <f ca="1">F7</f>
        <v>1189.19</v>
      </c>
    </row>
    <row r="8" spans="1:37" ht="18" customHeight="1">
      <c r="A8" s="349"/>
      <c r="B8" s="3196"/>
      <c r="C8" s="351"/>
      <c r="D8" s="352"/>
      <c r="E8" s="347" t="s">
        <v>1407</v>
      </c>
      <c r="F8" s="348">
        <f ca="1">INDIRECT("'数据-取费表'!ai"&amp;$G$1)</f>
        <v>365</v>
      </c>
      <c r="G8" s="1853"/>
      <c r="H8" s="349"/>
      <c r="I8" s="3196"/>
      <c r="J8" s="351"/>
      <c r="K8" s="352"/>
      <c r="L8" s="347" t="s">
        <v>1407</v>
      </c>
      <c r="M8" s="348">
        <f ca="1">INDIRECT("'数据-取费表'!ai"&amp;$G$1)</f>
        <v>365</v>
      </c>
    </row>
    <row r="9" spans="1:37" ht="18" customHeight="1">
      <c r="A9" s="349"/>
      <c r="B9" s="3197"/>
      <c r="C9" s="351"/>
      <c r="D9" s="352"/>
      <c r="E9" s="347" t="s">
        <v>1408</v>
      </c>
      <c r="F9" s="357">
        <f ca="1">INDIRECT("'数据-取费表'!w"&amp;$G$1)</f>
        <v>0.1</v>
      </c>
      <c r="G9" s="1853"/>
      <c r="H9" s="349"/>
      <c r="I9" s="3197"/>
      <c r="J9" s="351"/>
      <c r="K9" s="352"/>
      <c r="L9" s="358" t="s">
        <v>1408</v>
      </c>
      <c r="M9" s="359">
        <f ca="1">INDIRECT("'数据-取费表'!ab"&amp;$G$1)</f>
        <v>0.1</v>
      </c>
    </row>
    <row r="10" spans="1:37" ht="18" customHeight="1">
      <c r="A10" s="1293" t="s">
        <v>1039</v>
      </c>
      <c r="B10" s="1825" t="s">
        <v>1409</v>
      </c>
      <c r="C10" s="361">
        <f ca="1">ROUND(IF(F10="押一",F6*F8*F7/12*F11,IF(F10="押二",F6*F8*F7/12*2*F11,IF(F10="押三",F6*F8*F7/12*3*F11,C11*F11)))/10000,0)</f>
        <v>0</v>
      </c>
      <c r="D10" s="1826" t="s">
        <v>3039</v>
      </c>
      <c r="E10" s="358" t="s">
        <v>1411</v>
      </c>
      <c r="F10" s="1368" t="s">
        <v>3080</v>
      </c>
      <c r="G10" s="1853"/>
      <c r="H10" s="1293" t="s">
        <v>1039</v>
      </c>
      <c r="I10" s="1825" t="s">
        <v>1409</v>
      </c>
      <c r="J10" s="346">
        <f ca="1">ROUND(IF(M10="押一",M6*M8*M7/12*M11,IF(M10="押二",M6*M8*M7/12*2*M11,IF(M10="押三",M6*M8*M7/12*3*M11,J11*M11)))/10000,0)</f>
        <v>0</v>
      </c>
      <c r="K10" s="1826" t="s">
        <v>3039</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7"/>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399</v>
      </c>
      <c r="D13" s="1333" t="s">
        <v>1416</v>
      </c>
      <c r="E13" s="1333" t="s">
        <v>1417</v>
      </c>
      <c r="F13" s="1334">
        <f ca="1">INDIRECT("'数据-取费表'!y"&amp;$G$1)</f>
        <v>0.82</v>
      </c>
      <c r="G13" s="1853"/>
      <c r="H13" s="1331">
        <v>2</v>
      </c>
      <c r="I13" s="1332" t="s">
        <v>1415</v>
      </c>
      <c r="J13" s="1292">
        <f ca="1">ROUND(J14*J15,0)</f>
        <v>379</v>
      </c>
      <c r="K13" s="1339" t="s">
        <v>1416</v>
      </c>
      <c r="L13" s="1854"/>
      <c r="M13" s="1855"/>
    </row>
    <row r="14" spans="1:37" ht="18" customHeight="1">
      <c r="A14" s="1203" t="s">
        <v>1034</v>
      </c>
      <c r="B14" s="347" t="s">
        <v>1418</v>
      </c>
      <c r="C14" s="363">
        <f ca="1">INDIRECT("'数据-取费表'!m"&amp;$G$1)+INDIRECT("'数据-取费表'!t"&amp;$G$1)</f>
        <v>309</v>
      </c>
      <c r="D14" s="2977" t="s">
        <v>1419</v>
      </c>
      <c r="E14" s="2976"/>
      <c r="F14" s="364"/>
      <c r="G14" s="1853"/>
      <c r="H14" s="1203" t="s">
        <v>1035</v>
      </c>
      <c r="I14" s="347" t="s">
        <v>1420</v>
      </c>
      <c r="J14" s="24">
        <f ca="1">C29</f>
        <v>486</v>
      </c>
      <c r="K14" s="2967"/>
      <c r="L14" s="981"/>
      <c r="M14" s="982"/>
    </row>
    <row r="15" spans="1:37" s="1860" customFormat="1" ht="18" customHeight="1" thickBot="1">
      <c r="A15" s="1203" t="s">
        <v>1036</v>
      </c>
      <c r="B15" s="347" t="s">
        <v>1421</v>
      </c>
      <c r="C15" s="24">
        <f ca="1">ROUND(C14*F15,0)</f>
        <v>9</v>
      </c>
      <c r="D15" s="365" t="s">
        <v>1422</v>
      </c>
      <c r="E15" s="365" t="s">
        <v>1423</v>
      </c>
      <c r="F15" s="366">
        <f>'数据-取费表'!B33</f>
        <v>0.03</v>
      </c>
      <c r="G15" s="1856"/>
      <c r="H15" s="1341" t="s">
        <v>1039</v>
      </c>
      <c r="I15" s="1342" t="s">
        <v>1417</v>
      </c>
      <c r="J15" s="1351">
        <f ca="1">INDIRECT("'数据-取费表'!ad"&amp;$G$1)</f>
        <v>0.78</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17</v>
      </c>
      <c r="K16" s="1339" t="s">
        <v>1426</v>
      </c>
      <c r="L16" s="2981"/>
      <c r="M16" s="1296"/>
    </row>
    <row r="17" spans="1:37" s="1860" customFormat="1" ht="18" customHeight="1">
      <c r="A17" s="1203" t="s">
        <v>1390</v>
      </c>
      <c r="B17" s="347" t="s">
        <v>1427</v>
      </c>
      <c r="C17" s="24">
        <f ca="1">ROUND(F17*(F43+INDIRECT("'数据-取费表'!S"&amp;$G$1))/10000,0)</f>
        <v>24</v>
      </c>
      <c r="D17" s="347" t="s">
        <v>1428</v>
      </c>
      <c r="E17" s="347" t="s">
        <v>1429</v>
      </c>
      <c r="F17" s="26">
        <f>'数据-取费表'!B35</f>
        <v>200</v>
      </c>
      <c r="G17" s="1856"/>
      <c r="H17" s="1203" t="s">
        <v>1035</v>
      </c>
      <c r="I17" s="347" t="s">
        <v>1430</v>
      </c>
      <c r="J17" s="24">
        <f ca="1">ROUND(IF(项目基本情况!B11="自然人",J5*M17,J18+J19+J20),1)</f>
        <v>8.4</v>
      </c>
      <c r="K17" s="2977" t="s">
        <v>1431</v>
      </c>
      <c r="L17" s="2980" t="s">
        <v>1432</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5</v>
      </c>
      <c r="D18" s="347" t="s">
        <v>1422</v>
      </c>
      <c r="E18" s="347" t="s">
        <v>1423</v>
      </c>
      <c r="F18" s="367">
        <f>'数据-取费表'!B36</f>
        <v>1.4999999999999999E-2</v>
      </c>
      <c r="G18" s="1856"/>
      <c r="H18" s="1203" t="s">
        <v>1034</v>
      </c>
      <c r="I18" s="347" t="s">
        <v>1434</v>
      </c>
      <c r="J18" s="24">
        <f ca="1">ROUND(J5*M18/(1+'数据-取费表'!C42),2)</f>
        <v>4.3</v>
      </c>
      <c r="K18" s="298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347</v>
      </c>
      <c r="D19" s="140" t="s">
        <v>1437</v>
      </c>
      <c r="E19" s="2965"/>
      <c r="F19" s="26"/>
      <c r="G19" s="1853"/>
      <c r="H19" s="1203" t="s">
        <v>1036</v>
      </c>
      <c r="I19" s="347" t="s">
        <v>1438</v>
      </c>
      <c r="J19" s="24">
        <f ca="1">IF(K19="按租金收入计税",ROUND(J5*M19,2),ROUND(C29*M19*0.7,2))</f>
        <v>4.08</v>
      </c>
      <c r="K19" s="1830" t="s">
        <v>1439</v>
      </c>
      <c r="L19" s="347" t="s">
        <v>1423</v>
      </c>
      <c r="M19" s="367">
        <f>IF(K19="按租金收入计税",'数据-取费表'!B51,'数据-取费表'!B50)</f>
        <v>1.2E-2</v>
      </c>
    </row>
    <row r="20" spans="1:37" s="1860" customFormat="1" ht="18" customHeight="1">
      <c r="A20" s="1203" t="s">
        <v>1039</v>
      </c>
      <c r="B20" s="347" t="s">
        <v>1440</v>
      </c>
      <c r="C20" s="24">
        <f ca="1">ROUND(C19*F20,0)</f>
        <v>3</v>
      </c>
      <c r="D20" s="369" t="s">
        <v>1441</v>
      </c>
      <c r="E20" s="347" t="s">
        <v>1423</v>
      </c>
      <c r="F20" s="367">
        <f>'数据-取费表'!B37</f>
        <v>0.01</v>
      </c>
      <c r="G20" s="1856"/>
      <c r="H20" s="1203" t="s">
        <v>1389</v>
      </c>
      <c r="I20" s="164" t="s">
        <v>1442</v>
      </c>
      <c r="J20" s="25">
        <f ca="1">ROUND(M20*M21/10000,2)</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65"/>
      <c r="F22" s="26"/>
      <c r="G22" s="1853"/>
      <c r="H22" s="1203" t="s">
        <v>1039</v>
      </c>
      <c r="I22" s="347" t="s">
        <v>1450</v>
      </c>
      <c r="J22" s="24">
        <f ca="1">ROUND(J14*M22,1)</f>
        <v>7.3</v>
      </c>
      <c r="K22" s="298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1453</v>
      </c>
      <c r="F23" s="371">
        <f>'数据-取费表'!B20</f>
        <v>2</v>
      </c>
      <c r="G23" s="1856"/>
      <c r="H23" s="1203" t="s">
        <v>1075</v>
      </c>
      <c r="I23" s="347" t="s">
        <v>1454</v>
      </c>
      <c r="J23" s="24">
        <f ca="1">ROUND(J13*M23,1)</f>
        <v>0.6</v>
      </c>
      <c r="K23" s="298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0.8</v>
      </c>
      <c r="K24" s="1344" t="s">
        <v>1460</v>
      </c>
      <c r="L24" s="1342" t="s">
        <v>1456</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65"/>
      <c r="F25" s="26"/>
      <c r="G25" s="1853"/>
      <c r="H25" s="1331" t="s">
        <v>1031</v>
      </c>
      <c r="I25" s="1346" t="s">
        <v>1464</v>
      </c>
      <c r="J25" s="355">
        <f ca="1">J5-J16</f>
        <v>65</v>
      </c>
      <c r="K25" s="1347" t="s">
        <v>1465</v>
      </c>
      <c r="L25" s="1348"/>
      <c r="M25" s="1349"/>
    </row>
    <row r="26" spans="1:37">
      <c r="A26" s="1203" t="s">
        <v>1034</v>
      </c>
      <c r="B26" s="347" t="s">
        <v>1466</v>
      </c>
      <c r="C26" s="24">
        <f ca="1">ROUND((C19+C20)*F26,0)</f>
        <v>88</v>
      </c>
      <c r="D26" s="369" t="s">
        <v>1467</v>
      </c>
      <c r="E26" s="358" t="s">
        <v>1468</v>
      </c>
      <c r="F26" s="357">
        <f ca="1">INDIRECT("'数据-取费表'!q"&amp;$G$1)</f>
        <v>0.25</v>
      </c>
      <c r="G26" s="1853"/>
      <c r="H26" s="344" t="s">
        <v>1032</v>
      </c>
      <c r="I26" s="345" t="s">
        <v>1469</v>
      </c>
      <c r="J26" s="346">
        <f ca="1">IF(J5&lt;&gt;0,ROUND(J25*(1-((1+M28)/(1+M26))^M27)/(M26-M28),0),0)</f>
        <v>1163</v>
      </c>
      <c r="K26" s="370" t="s">
        <v>1470</v>
      </c>
      <c r="L26" s="347" t="s">
        <v>1471</v>
      </c>
      <c r="M26" s="357">
        <f ca="1">INDIRECT("'数据-取费表'!I"&amp;$G$1)</f>
        <v>0.05</v>
      </c>
    </row>
    <row r="27" spans="1:37" ht="18" customHeight="1">
      <c r="A27" s="1203" t="s">
        <v>1036</v>
      </c>
      <c r="B27" s="347" t="s">
        <v>1472</v>
      </c>
      <c r="C27" s="24">
        <f ca="1">ROUND(F21*F26,4)</f>
        <v>2.5000000000000001E-3</v>
      </c>
      <c r="D27" s="369" t="s">
        <v>1473</v>
      </c>
      <c r="E27" s="365"/>
      <c r="F27" s="366"/>
      <c r="G27" s="1853"/>
      <c r="H27" s="349"/>
      <c r="I27" s="350"/>
      <c r="J27" s="351"/>
      <c r="K27" s="378" t="s">
        <v>1474</v>
      </c>
      <c r="L27" s="347" t="s">
        <v>1475</v>
      </c>
      <c r="M27" s="379">
        <f ca="1">INDIRECT("'数据-取费表'!ag"&amp;$G$1)</f>
        <v>24.61</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2.5000000000000001E-2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486</v>
      </c>
      <c r="D29" s="1344"/>
      <c r="E29" s="1342"/>
      <c r="F29" s="1345"/>
      <c r="G29" s="1856"/>
      <c r="H29" s="380" t="s">
        <v>1033</v>
      </c>
      <c r="I29" s="381" t="s">
        <v>1480</v>
      </c>
      <c r="J29" s="382">
        <f ca="1">ROUND(J26/(1+F40)^F41,0)</f>
        <v>1044</v>
      </c>
      <c r="K29" s="383" t="s">
        <v>1481</v>
      </c>
      <c r="L29" s="384"/>
      <c r="M29" s="385">
        <f ca="1">INDIRECT("'数据-取费表'!k"&amp;$G$1)</f>
        <v>1189.19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13</v>
      </c>
      <c r="D30" s="1339" t="s">
        <v>1426</v>
      </c>
      <c r="E30" s="2981"/>
      <c r="F30" s="1296"/>
      <c r="G30" s="1853"/>
      <c r="H30" s="744"/>
      <c r="I30" s="745"/>
      <c r="J30" s="746"/>
      <c r="K30" s="747"/>
      <c r="L30" s="748"/>
      <c r="M30" s="749"/>
    </row>
    <row r="31" spans="1:37" ht="18" customHeight="1">
      <c r="A31" s="1203" t="s">
        <v>1035</v>
      </c>
      <c r="B31" s="347" t="s">
        <v>1430</v>
      </c>
      <c r="C31" s="24">
        <f ca="1">ROUND(IF(项目基本情况!B11="自然人",C5*F31,C32+C33+C34),1)</f>
        <v>5.0999999999999996</v>
      </c>
      <c r="D31" s="2977" t="s">
        <v>1431</v>
      </c>
      <c r="E31" s="2980" t="s">
        <v>1482</v>
      </c>
      <c r="F31" s="368">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7" t="s">
        <v>1434</v>
      </c>
      <c r="C32" s="24">
        <f ca="1">IF(项目基本情况!B11="自然人","——",ROUND(C5*F32/(1+'数据-取费表'!C42),2))</f>
        <v>1.05</v>
      </c>
      <c r="D32" s="2980" t="s">
        <v>1435</v>
      </c>
      <c r="E32" s="347" t="s">
        <v>1423</v>
      </c>
      <c r="F32" s="377">
        <f>'数据-取费表'!B41</f>
        <v>5.5000000000000007E-2</v>
      </c>
      <c r="G32" s="1853"/>
      <c r="H32" s="744"/>
      <c r="I32" s="745"/>
      <c r="J32" s="746"/>
      <c r="K32" s="747"/>
      <c r="L32" s="748"/>
      <c r="M32" s="749"/>
    </row>
    <row r="33" spans="1:18" ht="18" customHeight="1">
      <c r="A33" s="1203" t="s">
        <v>1036</v>
      </c>
      <c r="B33" s="347" t="s">
        <v>1438</v>
      </c>
      <c r="C33" s="24">
        <f ca="1">IF(项目基本情况!B11="自然人","——",IF(D33="按租金收入计税",ROUND(C5*F33,2),IF(D33="按房产原值计税",ROUND(C29*F33*0.7,2),INDIRECT("'数据-取费表'!Aj"&amp;$G$1))))</f>
        <v>4.08</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v>
      </c>
      <c r="D34" s="370" t="s">
        <v>1443</v>
      </c>
      <c r="E34" s="347" t="s">
        <v>1444</v>
      </c>
      <c r="F34" s="371">
        <f>'数据-取费表'!B52</f>
        <v>1.5</v>
      </c>
      <c r="G34" s="1853"/>
      <c r="H34" s="744"/>
      <c r="I34" s="1862"/>
      <c r="J34" s="1863"/>
      <c r="K34" s="1865"/>
      <c r="L34" s="1866"/>
      <c r="M34" s="1866"/>
    </row>
    <row r="35" spans="1:18" ht="18" customHeight="1">
      <c r="A35" s="1355"/>
      <c r="B35" s="1353"/>
      <c r="C35" s="29"/>
      <c r="D35" s="373"/>
      <c r="E35" s="347" t="s">
        <v>1448</v>
      </c>
      <c r="F35" s="348">
        <f ca="1">INDIRECT("'数据-取费表'!r"&amp;$G$1)</f>
        <v>0</v>
      </c>
      <c r="G35" s="1853"/>
      <c r="H35" s="744"/>
      <c r="I35" s="1862"/>
      <c r="J35" s="1863"/>
      <c r="K35" s="1864"/>
      <c r="L35" s="1861"/>
      <c r="M35" s="1861"/>
    </row>
    <row r="36" spans="1:18" ht="18" customHeight="1">
      <c r="A36" s="1354" t="s">
        <v>1039</v>
      </c>
      <c r="B36" s="347" t="s">
        <v>1450</v>
      </c>
      <c r="C36" s="24">
        <f ca="1">ROUND(C29*F36,1)</f>
        <v>7.3</v>
      </c>
      <c r="D36" s="2980" t="s">
        <v>1483</v>
      </c>
      <c r="E36" s="347" t="s">
        <v>1423</v>
      </c>
      <c r="F36" s="374">
        <f ca="1">INDIRECT("'数据-取费表'!Ak"&amp;$G$1)</f>
        <v>1.4999999999999999E-2</v>
      </c>
      <c r="G36" s="1853"/>
      <c r="H36" s="1861"/>
      <c r="I36" s="1862"/>
      <c r="J36" s="1863"/>
      <c r="K36" s="750"/>
      <c r="L36" s="1861"/>
      <c r="M36" s="1861"/>
    </row>
    <row r="37" spans="1:18" ht="18" customHeight="1">
      <c r="A37" s="1203" t="s">
        <v>1075</v>
      </c>
      <c r="B37" s="347" t="s">
        <v>1454</v>
      </c>
      <c r="C37" s="24">
        <f ca="1">ROUND(C13*F37,1)</f>
        <v>0.6</v>
      </c>
      <c r="D37" s="2980" t="s">
        <v>1455</v>
      </c>
      <c r="E37" s="347" t="s">
        <v>1456</v>
      </c>
      <c r="F37" s="376">
        <f ca="1">INDIRECT("'数据-取费表'!Al"&amp;$G$1)</f>
        <v>1.5E-3</v>
      </c>
      <c r="G37" s="1853"/>
      <c r="H37" s="1861"/>
      <c r="I37" s="1862"/>
      <c r="J37" s="1863"/>
      <c r="K37" s="750"/>
      <c r="L37" s="1861"/>
      <c r="M37" s="1861"/>
    </row>
    <row r="38" spans="1:18" ht="18" customHeight="1" thickBot="1">
      <c r="A38" s="1341" t="s">
        <v>1393</v>
      </c>
      <c r="B38" s="1342" t="s">
        <v>1440</v>
      </c>
      <c r="C38" s="1343">
        <f ca="1">ROUND(C5*F38,1)</f>
        <v>0.2</v>
      </c>
      <c r="D38" s="1344" t="s">
        <v>1460</v>
      </c>
      <c r="E38" s="1342" t="s">
        <v>1456</v>
      </c>
      <c r="F38" s="1338">
        <f ca="1">INDIRECT("'数据-取费表'!Am"&amp;$G$1)</f>
        <v>0.01</v>
      </c>
      <c r="G38" s="1853"/>
      <c r="H38" s="1861"/>
      <c r="I38" s="1862"/>
      <c r="J38" s="1863"/>
      <c r="K38" s="1867"/>
      <c r="L38" s="1861"/>
      <c r="M38" s="1861"/>
    </row>
    <row r="39" spans="1:18" ht="24.6" customHeight="1" thickTop="1">
      <c r="A39" s="1331" t="s">
        <v>1031</v>
      </c>
      <c r="B39" s="1346" t="s">
        <v>1484</v>
      </c>
      <c r="C39" s="355">
        <f ca="1">C5-C30</f>
        <v>7</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14</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2.21</v>
      </c>
      <c r="G41" s="1853"/>
      <c r="H41" s="731"/>
      <c r="I41" s="1862"/>
      <c r="J41" s="1863"/>
      <c r="K41" s="750"/>
      <c r="L41" s="731"/>
      <c r="M41" s="731"/>
    </row>
    <row r="42" spans="1:18" ht="18" customHeight="1">
      <c r="A42" s="353"/>
      <c r="B42" s="354"/>
      <c r="C42" s="355"/>
      <c r="D42" s="373"/>
      <c r="E42" s="347" t="s">
        <v>1478</v>
      </c>
      <c r="F42" s="357">
        <f ca="1">INDIRECT("'数据-取费表'!v"&amp;$G$1)</f>
        <v>0.01</v>
      </c>
      <c r="G42" s="1853"/>
      <c r="H42" s="731"/>
      <c r="I42" s="1862"/>
      <c r="J42" s="1863"/>
      <c r="K42" s="750"/>
      <c r="L42" s="731"/>
      <c r="M42" s="731"/>
    </row>
    <row r="43" spans="1:18" ht="18" customHeight="1" thickBot="1">
      <c r="A43" s="380" t="s">
        <v>1033</v>
      </c>
      <c r="B43" s="381" t="s">
        <v>1488</v>
      </c>
      <c r="C43" s="382">
        <f ca="1">ROUND(C40*10000/F43,0)</f>
        <v>118</v>
      </c>
      <c r="D43" s="383" t="s">
        <v>1489</v>
      </c>
      <c r="E43" s="384" t="s">
        <v>1490</v>
      </c>
      <c r="F43" s="385">
        <f ca="1">INDIRECT("'数据-取费表'!k"&amp;$G$1)</f>
        <v>1189.19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1520</v>
      </c>
      <c r="P45" s="1841"/>
      <c r="Q45" s="1841"/>
      <c r="R45" s="1841"/>
    </row>
    <row r="46" spans="1:18" s="1844" customFormat="1" ht="13.5" thickBot="1">
      <c r="A46" s="1872" t="s">
        <v>1521</v>
      </c>
      <c r="C46" s="1873">
        <f ca="1">C68-C40</f>
        <v>113</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1"/>
      <c r="I47" s="1882" t="s">
        <v>1527</v>
      </c>
      <c r="J47" s="1883" t="s">
        <v>3077</v>
      </c>
      <c r="K47" s="1884" t="s">
        <v>1528</v>
      </c>
      <c r="L47" s="1885">
        <f ca="1">INDIRECT("'数据-取费表'!d"&amp;$G$1)</f>
        <v>40</v>
      </c>
      <c r="M47" s="1840" t="str">
        <f>IF(ISNUMBER(FIND("住宅",C1)),"住宅","非住宅")</f>
        <v>非住宅</v>
      </c>
      <c r="O47" s="1886" t="s">
        <v>1040</v>
      </c>
      <c r="P47" s="1887" t="s">
        <v>1529</v>
      </c>
      <c r="Q47" s="1888">
        <f ca="1">C40+J29</f>
        <v>1058</v>
      </c>
      <c r="R47" s="1888" t="s">
        <v>1530</v>
      </c>
    </row>
    <row r="48" spans="1:18" s="1844" customFormat="1" ht="28.5" thickBot="1">
      <c r="A48" s="1362" t="s">
        <v>1135</v>
      </c>
      <c r="B48" s="345" t="s">
        <v>1401</v>
      </c>
      <c r="C48" s="2964">
        <f ca="1">C49+C53+C55</f>
        <v>78</v>
      </c>
      <c r="D48" s="1364"/>
      <c r="E48" s="1365"/>
      <c r="F48" s="1183"/>
      <c r="G48" s="791"/>
      <c r="H48" s="792"/>
      <c r="I48" s="1889" t="s">
        <v>1531</v>
      </c>
      <c r="J48" s="1890" t="s">
        <v>3078</v>
      </c>
      <c r="K48" s="1891" t="s">
        <v>1532</v>
      </c>
      <c r="L48" s="1892">
        <f ca="1">INDIRECT("'数据-取费表'!f"&amp;$G$1)</f>
        <v>26.82</v>
      </c>
      <c r="O48" s="1886" t="s">
        <v>1041</v>
      </c>
      <c r="P48" s="1887" t="s">
        <v>1533</v>
      </c>
      <c r="Q48" s="1888" t="str">
        <f ca="1">J60</f>
        <v>0</v>
      </c>
      <c r="R48" s="1888" t="s">
        <v>1534</v>
      </c>
    </row>
    <row r="49" spans="1:18" s="1844" customFormat="1" ht="13.5" thickBot="1">
      <c r="A49" s="1196" t="s">
        <v>1136</v>
      </c>
      <c r="B49" s="1831" t="s">
        <v>1491</v>
      </c>
      <c r="C49" s="1366">
        <f ca="1">ROUND(F49*F51*F50*(1-F52)/10000,0)</f>
        <v>78</v>
      </c>
      <c r="D49" s="1278" t="s">
        <v>3037</v>
      </c>
      <c r="E49" s="1832" t="s">
        <v>1492</v>
      </c>
      <c r="F49" s="1283">
        <v>2</v>
      </c>
      <c r="G49" s="1893"/>
      <c r="H49" s="792"/>
      <c r="I49" s="1889" t="s">
        <v>1535</v>
      </c>
      <c r="J49" s="1894">
        <v>2007</v>
      </c>
      <c r="K49" s="1891" t="s">
        <v>1536</v>
      </c>
      <c r="L49" s="1895"/>
      <c r="O49" s="1896" t="s">
        <v>1042</v>
      </c>
      <c r="P49" s="1887" t="s">
        <v>1537</v>
      </c>
      <c r="Q49" s="1888">
        <f ca="1">C29</f>
        <v>486</v>
      </c>
      <c r="R49" s="1888" t="s">
        <v>1530</v>
      </c>
    </row>
    <row r="50" spans="1:18" s="1844" customFormat="1" ht="13.5" thickBot="1">
      <c r="A50" s="1197"/>
      <c r="B50" s="1200"/>
      <c r="C50" s="1370"/>
      <c r="D50" s="1174"/>
      <c r="E50" s="1279" t="s">
        <v>1406</v>
      </c>
      <c r="F50" s="1280">
        <f ca="1">F7</f>
        <v>1189.19</v>
      </c>
      <c r="H50" s="792"/>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49</v>
      </c>
      <c r="K51" s="1902" t="s">
        <v>1542</v>
      </c>
      <c r="L51" s="1903">
        <f ca="1">ROUND(-PV(INDIRECT("'数据-取费表'!h"&amp;$G$1),L48,(C39-C13*C76),0),0)</f>
        <v>-384</v>
      </c>
      <c r="M51" s="1904"/>
      <c r="O51" s="1896" t="s">
        <v>1044</v>
      </c>
      <c r="P51" s="1887" t="s">
        <v>1543</v>
      </c>
      <c r="Q51" s="1899">
        <f>J52</f>
        <v>8.5000000000000006E-2</v>
      </c>
      <c r="R51" s="1888"/>
    </row>
    <row r="52" spans="1:18" s="1844" customFormat="1" ht="13.5" thickBot="1">
      <c r="A52" s="1198"/>
      <c r="B52" s="1200"/>
      <c r="C52" s="1201"/>
      <c r="D52" s="1174"/>
      <c r="E52" s="1202" t="s">
        <v>1408</v>
      </c>
      <c r="F52" s="1277">
        <v>0.1</v>
      </c>
      <c r="I52" s="1905" t="s">
        <v>1544</v>
      </c>
      <c r="J52" s="1906">
        <v>8.5000000000000006E-2</v>
      </c>
      <c r="K52" s="1905" t="s">
        <v>1545</v>
      </c>
      <c r="L52" s="1906"/>
      <c r="O52" s="1896" t="s">
        <v>1045</v>
      </c>
      <c r="P52" s="1887" t="s">
        <v>1546</v>
      </c>
      <c r="Q52" s="1888">
        <f ca="1">J53</f>
        <v>26.82</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t="s">
        <v>3080</v>
      </c>
      <c r="I53" s="1907" t="s">
        <v>1548</v>
      </c>
      <c r="J53" s="1908">
        <f ca="1">IF(M47="住宅",J51,IF(D1="——",MIN(J51,L48),IF(D1="在建（套用方法）",MIN(J51,L48-'数据-取费表'!B24),IF(D1="土地（套用方法）",MIN(J51,L48-'数据-取费表'!B20)))))</f>
        <v>26.82</v>
      </c>
      <c r="K53" s="3198" t="s">
        <v>1549</v>
      </c>
      <c r="L53" s="3199"/>
      <c r="O53" s="1886" t="s">
        <v>1046</v>
      </c>
      <c r="P53" s="1887" t="s">
        <v>1550</v>
      </c>
      <c r="Q53" s="1888">
        <f ca="1">Q47+Q48</f>
        <v>1058</v>
      </c>
      <c r="R53" s="1888" t="s">
        <v>1047</v>
      </c>
    </row>
    <row r="54" spans="1:18" s="1844" customFormat="1" ht="13.5" thickBot="1">
      <c r="A54" s="1408"/>
      <c r="B54" s="1827" t="s">
        <v>1388</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69"/>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399</v>
      </c>
      <c r="D56" s="1916"/>
      <c r="E56" s="1917"/>
      <c r="F56" s="1909"/>
      <c r="I56" s="1918" t="s">
        <v>1555</v>
      </c>
      <c r="J56" s="1919" t="s">
        <v>3069</v>
      </c>
      <c r="K56" s="1889" t="s">
        <v>1556</v>
      </c>
      <c r="L56" s="1892" t="str">
        <f ca="1">IF(L48&lt;J51,"——",L48-J53)</f>
        <v>——</v>
      </c>
      <c r="O56" s="1886" t="s">
        <v>1040</v>
      </c>
      <c r="P56" s="1887" t="s">
        <v>1529</v>
      </c>
      <c r="Q56" s="1888">
        <f ca="1">C40+J29</f>
        <v>1058</v>
      </c>
      <c r="R56" s="1888" t="s">
        <v>1530</v>
      </c>
    </row>
    <row r="57" spans="1:18" s="1844" customFormat="1" ht="24.75" thickBot="1">
      <c r="A57" s="1920"/>
      <c r="B57" s="1171" t="s">
        <v>1479</v>
      </c>
      <c r="C57" s="282">
        <f ca="1">C29</f>
        <v>486</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17</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8.1999999999999993</v>
      </c>
      <c r="D59" s="1184" t="s">
        <v>1431</v>
      </c>
      <c r="E59" s="1185" t="s">
        <v>1432</v>
      </c>
      <c r="F59" s="368">
        <f ca="1">IF(项目基本情况!B11="企业","",IF(INDIRECT("'数据-取费表'!c"&amp;$G$1)="住宅",5%,IF(F49*F50*F51/12/(1+'数据-取费表'!C42)&gt;20000,12%,7%)))</f>
        <v>0.12</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4.09</v>
      </c>
      <c r="D60" s="1185" t="s">
        <v>1435</v>
      </c>
      <c r="E60" s="1171"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4.08</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v>
      </c>
      <c r="D62" s="1186" t="s">
        <v>1498</v>
      </c>
      <c r="E62" s="1171" t="s">
        <v>1499</v>
      </c>
      <c r="F62" s="371">
        <f t="shared" si="0"/>
        <v>1.5</v>
      </c>
      <c r="I62" s="1931" t="s">
        <v>1571</v>
      </c>
      <c r="J62" s="1932" t="s">
        <v>1572</v>
      </c>
      <c r="K62" s="1932" t="s">
        <v>1573</v>
      </c>
      <c r="L62" s="1932" t="s">
        <v>1574</v>
      </c>
      <c r="M62" s="1933" t="s">
        <v>1575</v>
      </c>
      <c r="O62" s="1886" t="s">
        <v>1046</v>
      </c>
      <c r="P62" s="1887" t="s">
        <v>1550</v>
      </c>
      <c r="Q62" s="1888">
        <f ca="1">Q56+Q57</f>
        <v>1058</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7.3</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0.6</v>
      </c>
      <c r="D65" s="1185" t="s">
        <v>1455</v>
      </c>
      <c r="E65" s="1171" t="s">
        <v>1456</v>
      </c>
      <c r="F65" s="376">
        <f t="shared" ca="1" si="0"/>
        <v>1.5E-3</v>
      </c>
      <c r="I65" s="1931" t="s">
        <v>1580</v>
      </c>
      <c r="J65" s="1932">
        <v>40</v>
      </c>
      <c r="K65" s="1932">
        <v>30</v>
      </c>
      <c r="L65" s="1932">
        <v>50</v>
      </c>
      <c r="M65" s="1934">
        <v>0.02</v>
      </c>
      <c r="O65" s="1886" t="s">
        <v>1040</v>
      </c>
      <c r="P65" s="1887" t="s">
        <v>1581</v>
      </c>
      <c r="Q65" s="1888">
        <f ca="1">C40+J29</f>
        <v>1058</v>
      </c>
      <c r="R65" s="1888" t="s">
        <v>1530</v>
      </c>
    </row>
    <row r="66" spans="1:18" s="1844" customFormat="1" ht="16.5" thickBot="1">
      <c r="A66" s="1203" t="s">
        <v>1505</v>
      </c>
      <c r="B66" s="1171" t="s">
        <v>1440</v>
      </c>
      <c r="C66" s="24">
        <f ca="1">ROUND(C48*F66,1)</f>
        <v>0.8</v>
      </c>
      <c r="D66" s="1185" t="s">
        <v>1506</v>
      </c>
      <c r="E66" s="1171" t="s">
        <v>1423</v>
      </c>
      <c r="F66" s="357">
        <f t="shared" ca="1" si="0"/>
        <v>0.01</v>
      </c>
      <c r="O66" s="1886" t="s">
        <v>1041</v>
      </c>
      <c r="P66" s="1887" t="s">
        <v>1559</v>
      </c>
      <c r="Q66" s="1888">
        <f ca="1">L60</f>
        <v>0</v>
      </c>
      <c r="R66" s="1888" t="s">
        <v>1582</v>
      </c>
    </row>
    <row r="67" spans="1:18" s="1844" customFormat="1" ht="16.5" thickBot="1">
      <c r="A67" s="1178" t="s">
        <v>1031</v>
      </c>
      <c r="B67" s="1188" t="s">
        <v>1464</v>
      </c>
      <c r="C67" s="361">
        <f ca="1">C48-C58</f>
        <v>61</v>
      </c>
      <c r="D67" s="1184" t="s">
        <v>1465</v>
      </c>
      <c r="E67" s="1189"/>
      <c r="F67" s="1190"/>
      <c r="O67" s="1896" t="s">
        <v>1042</v>
      </c>
      <c r="P67" s="1887" t="s">
        <v>1563</v>
      </c>
      <c r="Q67" s="1935">
        <f ca="1">L51</f>
        <v>-384</v>
      </c>
      <c r="R67" s="1888" t="s">
        <v>1583</v>
      </c>
    </row>
    <row r="68" spans="1:18" s="1844" customFormat="1" ht="16.5" thickBot="1">
      <c r="A68" s="1168" t="s">
        <v>1032</v>
      </c>
      <c r="B68" s="1169" t="s">
        <v>1486</v>
      </c>
      <c r="C68" s="346">
        <f ca="1">ROUND(C67*(1-((1+F70)/(1+F68))^F69)/(F68-F70),0)</f>
        <v>127</v>
      </c>
      <c r="D68" s="1186" t="s">
        <v>1470</v>
      </c>
      <c r="E68" s="1171" t="s">
        <v>1471</v>
      </c>
      <c r="F68" s="357">
        <f ca="1">F40</f>
        <v>0.05</v>
      </c>
      <c r="O68" s="1896" t="s">
        <v>1043</v>
      </c>
      <c r="P68" s="1936" t="s">
        <v>1584</v>
      </c>
      <c r="Q68" s="1888">
        <f ca="1">ROUND(Q69-Q70*Q71,0)</f>
        <v>-25</v>
      </c>
      <c r="R68" s="1888" t="s">
        <v>1051</v>
      </c>
    </row>
    <row r="69" spans="1:18" s="1844" customFormat="1" ht="13.5" thickBot="1">
      <c r="A69" s="1172"/>
      <c r="B69" s="1173"/>
      <c r="C69" s="351"/>
      <c r="D69" s="1191" t="s">
        <v>1474</v>
      </c>
      <c r="E69" s="1171" t="s">
        <v>1475</v>
      </c>
      <c r="F69" s="379">
        <f ca="1">F41</f>
        <v>2.21</v>
      </c>
      <c r="O69" s="1896" t="s">
        <v>1048</v>
      </c>
      <c r="P69" s="1936" t="s">
        <v>1585</v>
      </c>
      <c r="Q69" s="1888">
        <f ca="1">C39</f>
        <v>7</v>
      </c>
      <c r="R69" s="1888" t="s">
        <v>1530</v>
      </c>
    </row>
    <row r="70" spans="1:18" s="1844" customFormat="1" ht="13.5" thickBot="1">
      <c r="A70" s="1175"/>
      <c r="B70" s="1176"/>
      <c r="C70" s="355"/>
      <c r="D70" s="1187"/>
      <c r="E70" s="1171" t="s">
        <v>1478</v>
      </c>
      <c r="F70" s="1277">
        <v>2.5000000000000001E-2</v>
      </c>
      <c r="O70" s="1896" t="s">
        <v>1049</v>
      </c>
      <c r="P70" s="1936" t="s">
        <v>1586</v>
      </c>
      <c r="Q70" s="1888">
        <f ca="1">C13</f>
        <v>399</v>
      </c>
      <c r="R70" s="1888" t="s">
        <v>1530</v>
      </c>
    </row>
    <row r="71" spans="1:18" s="1844" customFormat="1" ht="13.5" thickBot="1">
      <c r="A71" s="1192" t="s">
        <v>1033</v>
      </c>
      <c r="B71" s="1193" t="s">
        <v>1488</v>
      </c>
      <c r="C71" s="382">
        <f ca="1">ROUND(C68*10000/F71,0)</f>
        <v>1068</v>
      </c>
      <c r="D71" s="1194" t="s">
        <v>1489</v>
      </c>
      <c r="E71" s="1195" t="s">
        <v>1490</v>
      </c>
      <c r="F71" s="385">
        <f ca="1">F43</f>
        <v>1189.19</v>
      </c>
      <c r="O71" s="1896" t="s">
        <v>1050</v>
      </c>
      <c r="P71" s="1936" t="s">
        <v>1587</v>
      </c>
      <c r="Q71" s="1899">
        <f ca="1">C76</f>
        <v>0.08</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32</v>
      </c>
      <c r="D75" s="1844"/>
      <c r="E75" s="1844"/>
      <c r="F75" s="1844"/>
      <c r="K75" s="1870"/>
      <c r="L75" s="1844"/>
      <c r="O75" s="1886" t="s">
        <v>1046</v>
      </c>
      <c r="P75" s="1887" t="s">
        <v>1550</v>
      </c>
      <c r="Q75" s="1888">
        <f ca="1">Q65+Q66</f>
        <v>1058</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-3.5709999999999997</v>
      </c>
    </row>
    <row r="80" spans="1:18">
      <c r="B80" s="386" t="s">
        <v>1512</v>
      </c>
      <c r="C80" s="318">
        <f ca="1">ROUND(C75/C39,3)</f>
        <v>4.5709999999999997</v>
      </c>
    </row>
    <row r="81" spans="2:3">
      <c r="B81" s="314" t="s">
        <v>1513</v>
      </c>
      <c r="C81" s="282"/>
    </row>
    <row r="82" spans="2:3">
      <c r="B82" s="317" t="s">
        <v>1514</v>
      </c>
      <c r="C82" s="319">
        <f ca="1">1-C83</f>
        <v>-27.5</v>
      </c>
    </row>
    <row r="83" spans="2:3">
      <c r="B83" s="317" t="s">
        <v>1515</v>
      </c>
      <c r="C83" s="318">
        <f ca="1">ROUND(C13/C40,3)</f>
        <v>28.5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32489</v>
      </c>
      <c r="C2" s="2" t="s">
        <v>133</v>
      </c>
      <c r="D2" s="243"/>
      <c r="E2" s="243"/>
      <c r="F2" s="243"/>
      <c r="G2" s="243"/>
    </row>
    <row r="3" spans="1:7" s="244" customFormat="1" ht="18" customHeight="1" thickBot="1">
      <c r="A3" s="247" t="s">
        <v>85</v>
      </c>
      <c r="B3" s="248">
        <f ca="1">ROUND(B2*10000/'数据-汇总表'!E3,0)</f>
        <v>47920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136</v>
      </c>
      <c r="D10" s="1034">
        <f>'数据-汇总表'!E6</f>
        <v>6779.85</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136</v>
      </c>
      <c r="D19" s="1038">
        <f>'数据-汇总表'!E3</f>
        <v>6779.85</v>
      </c>
      <c r="E19" s="255">
        <f>'数据-取费表'!B31</f>
        <v>200</v>
      </c>
      <c r="F19" s="275"/>
      <c r="G19" s="1" t="s">
        <v>1074</v>
      </c>
    </row>
    <row r="20" spans="1:7" s="258" customFormat="1" ht="13.5" customHeight="1">
      <c r="A20" s="950" t="s">
        <v>1057</v>
      </c>
      <c r="B20" s="254" t="s">
        <v>104</v>
      </c>
      <c r="C20" s="276">
        <f>ROUND((C5+C19)*F20,0)</f>
        <v>207</v>
      </c>
      <c r="D20" s="276"/>
      <c r="E20" s="276"/>
      <c r="F20" s="277">
        <f>'数据-取费表'!B37</f>
        <v>0.01</v>
      </c>
      <c r="G20" s="1291"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6">
        <f ca="1">ROUND(SUM(C23:C25),0)</f>
        <v>2027</v>
      </c>
      <c r="D22" s="279">
        <f ca="1">C26</f>
        <v>5.0000000000000001E-4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13</v>
      </c>
      <c r="D24" s="282"/>
      <c r="E24" s="282"/>
      <c r="F24" s="283"/>
      <c r="G24" s="284" t="s">
        <v>109</v>
      </c>
    </row>
    <row r="25" spans="1:7" s="258" customFormat="1" ht="24">
      <c r="A25" s="953" t="s">
        <v>793</v>
      </c>
      <c r="B25" s="259" t="s">
        <v>1058</v>
      </c>
      <c r="C25" s="1357">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5238</v>
      </c>
      <c r="D27" s="279">
        <f>C29</f>
        <v>2.5000000000000001E-3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5238</v>
      </c>
      <c r="D28" s="279"/>
      <c r="E28" s="280"/>
      <c r="F28" s="290"/>
      <c r="G28" s="291"/>
    </row>
    <row r="29" spans="1:7" s="258" customFormat="1" ht="13.5" customHeight="1">
      <c r="A29" s="953" t="s">
        <v>792</v>
      </c>
      <c r="B29" s="292" t="s">
        <v>1063</v>
      </c>
      <c r="C29" s="282">
        <f>ROUND(C21*F27*'数据-取费表'!B21/'数据-取费表'!B20,4)</f>
        <v>2.5000000000000001E-3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1978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1763</v>
      </c>
      <c r="D34" s="261"/>
      <c r="E34" s="264"/>
      <c r="F34" s="301">
        <f>IF('数据-取费表'!B24=0,1,'数据-取费表'!N16)</f>
        <v>1</v>
      </c>
      <c r="G34" s="263" t="s">
        <v>116</v>
      </c>
    </row>
    <row r="35" spans="1:7" ht="13.5" customHeight="1">
      <c r="A35" s="953" t="s">
        <v>796</v>
      </c>
      <c r="B35" s="259" t="s">
        <v>60</v>
      </c>
      <c r="C35" s="264">
        <f>ROUND(C34*F35,0)</f>
        <v>53</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136</v>
      </c>
      <c r="D37" s="261">
        <f>'数据-汇总表'!E3</f>
        <v>6779.85</v>
      </c>
      <c r="E37" s="293">
        <f>'数据-取费表'!B35</f>
        <v>200</v>
      </c>
      <c r="F37" s="303"/>
      <c r="G37" s="305" t="s">
        <v>119</v>
      </c>
    </row>
    <row r="38" spans="1:7" ht="13.5" customHeight="1">
      <c r="A38" s="953" t="s">
        <v>799</v>
      </c>
      <c r="B38" s="259" t="s">
        <v>63</v>
      </c>
      <c r="C38" s="264">
        <f>ROUND(C34*F38,0)</f>
        <v>26</v>
      </c>
      <c r="D38" s="264"/>
      <c r="E38" s="264"/>
      <c r="F38" s="303">
        <f>'数据-取费表'!B36</f>
        <v>1.4999999999999999E-2</v>
      </c>
      <c r="G38" s="263" t="s">
        <v>117</v>
      </c>
    </row>
    <row r="39" spans="1:7" s="258" customFormat="1" ht="13.5" customHeight="1">
      <c r="A39" s="950" t="s">
        <v>783</v>
      </c>
      <c r="B39" s="254" t="s">
        <v>104</v>
      </c>
      <c r="C39" s="276">
        <f>ROUND(C33*F20,0)</f>
        <v>20</v>
      </c>
      <c r="D39" s="276"/>
      <c r="E39" s="276"/>
      <c r="F39" s="277"/>
      <c r="G39" s="1291"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95</v>
      </c>
      <c r="D41" s="279">
        <f ca="1">C44</f>
        <v>5.0000000000000001E-4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94</v>
      </c>
      <c r="D42" s="282"/>
      <c r="E42" s="282"/>
      <c r="F42" s="283"/>
      <c r="G42" s="3192" t="s">
        <v>121</v>
      </c>
    </row>
    <row r="43" spans="1:7" ht="13.5" customHeight="1">
      <c r="A43" s="953" t="s">
        <v>792</v>
      </c>
      <c r="B43" s="259" t="s">
        <v>1064</v>
      </c>
      <c r="C43" s="282">
        <f ca="1">ROUND(IF('数据-取费表'!B22&lt;=1,C39*F22*'数据-取费表'!B21/2,C39*(POWER((1+F22),'数据-取费表'!B21/2)-1)),0)</f>
        <v>1</v>
      </c>
      <c r="D43" s="282"/>
      <c r="E43" s="282"/>
      <c r="F43" s="283"/>
      <c r="G43" s="3193"/>
    </row>
    <row r="44" spans="1:7" ht="13.5" customHeight="1">
      <c r="A44" s="953" t="s">
        <v>793</v>
      </c>
      <c r="B44" s="259" t="s">
        <v>1066</v>
      </c>
      <c r="C44" s="282">
        <f ca="1">ROUND(IF('数据-取费表'!B22&lt;=1,C40*F22*'数据-取费表'!B21/2,C40*(POWER((1+F22),'数据-取费表'!B21/2)-1)),4)</f>
        <v>5.0000000000000001E-4</v>
      </c>
      <c r="D44" s="282"/>
      <c r="E44" s="282"/>
      <c r="F44" s="283"/>
      <c r="G44" s="3194"/>
    </row>
    <row r="45" spans="1:7" s="258" customFormat="1" ht="13.5" customHeight="1">
      <c r="A45" s="950" t="s">
        <v>786</v>
      </c>
      <c r="B45" s="288" t="s">
        <v>112</v>
      </c>
      <c r="C45" s="289">
        <f>C46</f>
        <v>500</v>
      </c>
      <c r="D45" s="279">
        <f>C47</f>
        <v>2.5000000000000001E-3</v>
      </c>
      <c r="E45" s="280" t="s">
        <v>129</v>
      </c>
      <c r="F45" s="290"/>
      <c r="G45" s="291" t="s">
        <v>1072</v>
      </c>
    </row>
    <row r="46" spans="1:7" s="258" customFormat="1" ht="13.5" customHeight="1">
      <c r="A46" s="953" t="s">
        <v>794</v>
      </c>
      <c r="B46" s="292" t="s">
        <v>1065</v>
      </c>
      <c r="C46" s="293">
        <f>ROUND((C33+C39)*F27,0)</f>
        <v>500</v>
      </c>
      <c r="D46" s="307"/>
      <c r="E46" s="280"/>
      <c r="F46" s="290"/>
      <c r="G46" s="291"/>
    </row>
    <row r="47" spans="1:7" s="258" customFormat="1" ht="13.5" customHeight="1">
      <c r="A47" s="953" t="s">
        <v>792</v>
      </c>
      <c r="B47" s="292" t="s">
        <v>1067</v>
      </c>
      <c r="C47" s="282">
        <f>ROUND(C40*F27,4)</f>
        <v>2.5000000000000001E-3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2774</v>
      </c>
      <c r="D49" s="276"/>
      <c r="E49" s="276"/>
      <c r="F49" s="308"/>
      <c r="G49" s="278" t="s">
        <v>1073</v>
      </c>
    </row>
    <row r="50" spans="1:7" s="302" customFormat="1" ht="24">
      <c r="A50" s="950" t="s">
        <v>789</v>
      </c>
      <c r="B50" s="254" t="s">
        <v>124</v>
      </c>
      <c r="C50" s="276"/>
      <c r="D50" s="276"/>
      <c r="E50" s="276"/>
      <c r="F50" s="308">
        <f>IF('数据-取费表'!B24=0,'数据-取费表'!N16,1)</f>
        <v>0.82799999999999996</v>
      </c>
      <c r="G50" s="291" t="s">
        <v>125</v>
      </c>
    </row>
    <row r="51" spans="1:7" ht="16.5" customHeight="1">
      <c r="A51" s="950" t="s">
        <v>790</v>
      </c>
      <c r="B51" s="254" t="s">
        <v>132</v>
      </c>
      <c r="C51" s="276">
        <f ca="1">ROUND(C49*F50,0)</f>
        <v>2297</v>
      </c>
      <c r="D51" s="276"/>
      <c r="E51" s="276"/>
      <c r="F51" s="308"/>
      <c r="G51" s="278" t="s">
        <v>64</v>
      </c>
    </row>
    <row r="52" spans="1:7" s="252" customFormat="1" ht="16.5" thickBot="1">
      <c r="A52" s="309" t="s">
        <v>65</v>
      </c>
      <c r="B52" s="310"/>
      <c r="C52" s="311">
        <f ca="1">C31+C51</f>
        <v>32489</v>
      </c>
      <c r="D52" s="310"/>
      <c r="E52" s="310"/>
      <c r="F52" s="310"/>
      <c r="G52" s="312"/>
    </row>
    <row r="55" spans="1:7" ht="15">
      <c r="B55" s="314" t="s">
        <v>66</v>
      </c>
      <c r="C55" s="315"/>
    </row>
    <row r="56" spans="1:7">
      <c r="B56" s="317" t="s">
        <v>67</v>
      </c>
      <c r="C56" s="318">
        <f ca="1">ROUND(C51/C52,3)</f>
        <v>7.0999999999999994E-2</v>
      </c>
    </row>
    <row r="57" spans="1:7">
      <c r="B57" s="317" t="s">
        <v>68</v>
      </c>
      <c r="C57" s="319">
        <f ca="1">1-C56</f>
        <v>0.92900000000000005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43172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1642</v>
      </c>
      <c r="B2" s="3023" t="s">
        <v>1643</v>
      </c>
      <c r="C2" s="3023" t="s">
        <v>1644</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46" t="s">
        <v>1639</v>
      </c>
      <c r="E3" s="1046" t="s">
        <v>1645</v>
      </c>
      <c r="F3" s="1046" t="s">
        <v>1639</v>
      </c>
      <c r="G3" s="1046" t="s">
        <v>1640</v>
      </c>
      <c r="H3" s="1046" t="s">
        <v>1639</v>
      </c>
      <c r="I3" s="1046" t="s">
        <v>1640</v>
      </c>
    </row>
    <row r="4" spans="1:9" ht="45">
      <c r="A4" s="1975" t="str">
        <f>项目基本情况!S2</f>
        <v>北京市大兴区兴华园48号楼46号、201号及11幢3套商业用房房地产</v>
      </c>
      <c r="B4" s="1046">
        <f>项目基本情况!C17</f>
        <v>6779.85</v>
      </c>
      <c r="C4" s="1046">
        <f>项目基本情况!C18</f>
        <v>0</v>
      </c>
      <c r="D4" s="1046" t="e">
        <f ca="1">结果表!D118</f>
        <v>#REF!</v>
      </c>
      <c r="E4" s="1046" t="e">
        <f ca="1">结果表!E118</f>
        <v>#REF!</v>
      </c>
      <c r="F4" s="1046" t="e">
        <f ca="1">结果表!F118</f>
        <v>#REF!</v>
      </c>
      <c r="G4" s="1046" t="e">
        <f ca="1">结果表!G118</f>
        <v>#REF!</v>
      </c>
      <c r="H4" s="1046">
        <f ca="1">结果表!H118</f>
        <v>24718</v>
      </c>
      <c r="I4" s="1046">
        <f ca="1">结果表!I118</f>
        <v>44213</v>
      </c>
    </row>
    <row r="5" spans="1:9" ht="30" customHeight="1">
      <c r="A5" s="3017" t="s">
        <v>1641</v>
      </c>
      <c r="B5" s="3017"/>
      <c r="C5" s="3017"/>
      <c r="D5" s="3018" t="e">
        <f ca="1">结果表!D119</f>
        <v>#REF!</v>
      </c>
      <c r="E5" s="3018"/>
      <c r="F5" s="3018" t="e">
        <f ca="1">结果表!F119</f>
        <v>#REF!</v>
      </c>
      <c r="G5" s="3018"/>
      <c r="H5" s="3018" t="str">
        <f ca="1">结果表!H119</f>
        <v>贰亿肆仟柒佰壹拾捌万元整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1641</v>
      </c>
      <c r="B7" s="3017"/>
      <c r="C7" s="3017"/>
      <c r="D7" s="3019" t="str">
        <f>结果表!D121</f>
        <v>零元整</v>
      </c>
      <c r="E7" s="3020"/>
      <c r="F7" s="3020"/>
      <c r="G7" s="3020"/>
      <c r="H7" s="3020"/>
      <c r="I7" s="3021"/>
    </row>
    <row r="8" spans="1:9" ht="15.75">
      <c r="A8" s="3016" t="str">
        <f>结果表!A122</f>
        <v>房地产抵押价值</v>
      </c>
      <c r="B8" s="3016"/>
      <c r="C8" s="3016"/>
      <c r="D8" s="3016">
        <f ca="1">结果表!D122</f>
        <v>24718</v>
      </c>
      <c r="E8" s="3016"/>
      <c r="F8" s="3016"/>
      <c r="G8" s="3016"/>
      <c r="H8" s="3016"/>
      <c r="I8" s="3016"/>
    </row>
    <row r="9" spans="1:9" ht="15">
      <c r="A9" s="3017" t="s">
        <v>1641</v>
      </c>
      <c r="B9" s="3017"/>
      <c r="C9" s="3017"/>
      <c r="D9" s="3018" t="str">
        <f ca="1">结果表!D123</f>
        <v>贰亿肆仟柒佰壹拾捌万元整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1641</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1641</v>
      </c>
      <c r="B13" s="3013"/>
      <c r="C13" s="3013"/>
      <c r="D13" s="3014" t="e">
        <f>结果表!D127</f>
        <v>#VALUE!</v>
      </c>
      <c r="E13" s="3014"/>
      <c r="F13" s="3014"/>
      <c r="G13" s="3014"/>
      <c r="H13" s="3014"/>
      <c r="I13" s="3014"/>
    </row>
    <row r="14" spans="1:9" ht="15" thickTop="1">
      <c r="A14" s="3015" t="s">
        <v>1646</v>
      </c>
      <c r="B14" s="3015"/>
      <c r="C14" s="3015"/>
      <c r="D14" s="3015"/>
      <c r="E14" s="3015"/>
      <c r="F14" s="3015"/>
      <c r="G14" s="3015"/>
      <c r="H14" s="3015"/>
      <c r="I14" s="3015"/>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3"/>
  <sheetViews>
    <sheetView topLeftCell="A7" workbookViewId="0">
      <selection activeCell="C1" sqref="C1"/>
    </sheetView>
  </sheetViews>
  <sheetFormatPr defaultRowHeight="13.5"/>
  <sheetData>
    <row r="1" spans="3:3">
      <c r="C1">
        <v>73293</v>
      </c>
    </row>
    <row r="2" spans="3:3">
      <c r="C2">
        <v>74444</v>
      </c>
    </row>
    <row r="3" spans="3:3">
      <c r="C3">
        <v>65789</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30" t="s">
        <v>1663</v>
      </c>
      <c r="B1" s="3030"/>
      <c r="C1" s="3030"/>
      <c r="D1" s="3030"/>
    </row>
    <row r="2" spans="1:4" ht="18">
      <c r="A2" s="3031" t="s">
        <v>1647</v>
      </c>
      <c r="B2" s="3031"/>
      <c r="C2" s="3031"/>
      <c r="D2" s="3031"/>
    </row>
    <row r="3" spans="1:4" ht="18.75">
      <c r="A3" s="1979" t="s">
        <v>1648</v>
      </c>
      <c r="B3" s="1979" t="s">
        <v>1649</v>
      </c>
      <c r="C3" s="1979" t="s">
        <v>1650</v>
      </c>
      <c r="D3" s="1979" t="s">
        <v>1651</v>
      </c>
    </row>
    <row r="4" spans="1:4" ht="56.25" customHeight="1">
      <c r="A4" s="1980" t="str">
        <f>项目基本情况!B4</f>
        <v>刘梅</v>
      </c>
      <c r="B4" s="1981">
        <f ca="1">项目基本情况!C4</f>
        <v>1120140022</v>
      </c>
      <c r="C4" s="1982"/>
      <c r="D4" s="1983" t="s">
        <v>1652</v>
      </c>
    </row>
    <row r="5" spans="1:4" ht="56.25" customHeight="1">
      <c r="A5" s="1980" t="str">
        <f>项目基本情况!D4</f>
        <v>吴薇</v>
      </c>
      <c r="B5" s="1981">
        <f ca="1">项目基本情况!E4</f>
        <v>1419970001</v>
      </c>
      <c r="C5" s="1984"/>
      <c r="D5" s="1983" t="s">
        <v>1652</v>
      </c>
    </row>
    <row r="6" spans="1:4" ht="18">
      <c r="A6" s="3031" t="s">
        <v>1653</v>
      </c>
      <c r="B6" s="3031"/>
      <c r="C6" s="3031"/>
      <c r="D6" s="3031"/>
    </row>
    <row r="7" spans="1:4" ht="18.75">
      <c r="A7" s="1979" t="s">
        <v>1648</v>
      </c>
      <c r="B7" s="1981" t="s">
        <v>1654</v>
      </c>
      <c r="C7" s="1979" t="s">
        <v>1650</v>
      </c>
      <c r="D7" s="1979" t="s">
        <v>1651</v>
      </c>
    </row>
    <row r="8" spans="1:4" ht="56.25" customHeight="1">
      <c r="A8" s="1985" t="s">
        <v>869</v>
      </c>
      <c r="B8" s="1985" t="s">
        <v>1</v>
      </c>
      <c r="C8" s="1982"/>
      <c r="D8" s="1983" t="s">
        <v>1652</v>
      </c>
    </row>
    <row r="9" spans="1:4">
      <c r="A9" s="727"/>
      <c r="B9" s="727"/>
      <c r="C9" s="727"/>
      <c r="D9" s="727"/>
    </row>
    <row r="10" spans="1:4" ht="18.75">
      <c r="A10" s="1986" t="s">
        <v>1655</v>
      </c>
      <c r="B10" s="727"/>
      <c r="C10" s="727"/>
      <c r="D10" s="727"/>
    </row>
    <row r="11" spans="1:4" ht="30" customHeight="1">
      <c r="A11" s="3032" t="s">
        <v>1656</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1657</v>
      </c>
      <c r="B16" s="3026"/>
      <c r="C16" s="3026"/>
      <c r="D16" s="3026"/>
    </row>
    <row r="17" spans="1:4" ht="144" customHeight="1">
      <c r="A17" s="3026" t="s">
        <v>1658</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1659</v>
      </c>
      <c r="B22" s="3028"/>
      <c r="C22" s="3028"/>
      <c r="D22" s="3028"/>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38" t="s">
        <v>1670</v>
      </c>
      <c r="B15" s="3033" t="s">
        <v>136</v>
      </c>
      <c r="C15" s="3034"/>
    </row>
    <row r="16" spans="1:7" ht="13.5">
      <c r="A16" s="3039"/>
      <c r="B16" s="3033" t="s">
        <v>69</v>
      </c>
      <c r="C16" s="3034"/>
    </row>
    <row r="17" spans="1:3" ht="13.5">
      <c r="A17" s="3039"/>
      <c r="B17" s="3036" t="s">
        <v>1671</v>
      </c>
      <c r="C17" s="2002" t="s">
        <v>1670</v>
      </c>
    </row>
    <row r="18" spans="1:3" ht="13.5">
      <c r="A18" s="3039"/>
      <c r="B18" s="3036"/>
      <c r="C18" s="2002" t="s">
        <v>1672</v>
      </c>
    </row>
    <row r="19" spans="1:3" ht="13.5">
      <c r="A19" s="3039"/>
      <c r="B19" s="3036"/>
      <c r="C19" s="2002" t="s">
        <v>1673</v>
      </c>
    </row>
    <row r="20" spans="1:3" ht="13.5">
      <c r="A20" s="3040"/>
      <c r="B20" s="3035" t="s">
        <v>1674</v>
      </c>
      <c r="C20" s="3034"/>
    </row>
    <row r="21" spans="1:3" ht="13.5">
      <c r="A21" s="2003" t="s">
        <v>1675</v>
      </c>
      <c r="B21" s="2004"/>
      <c r="C21" s="2005"/>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2002" t="s">
        <v>1681</v>
      </c>
    </row>
    <row r="26" spans="1:3" ht="13.5">
      <c r="A26" s="3037"/>
      <c r="B26" s="3036"/>
      <c r="C26" s="2002" t="s">
        <v>1682</v>
      </c>
    </row>
    <row r="27" spans="1:3" ht="13.5">
      <c r="A27" s="3037"/>
      <c r="B27" s="3036"/>
      <c r="C27" s="2002" t="s">
        <v>1683</v>
      </c>
    </row>
    <row r="28" spans="1:3" ht="13.5">
      <c r="A28" s="3037"/>
      <c r="B28" s="3036"/>
      <c r="C28" s="2002" t="s">
        <v>1684</v>
      </c>
    </row>
    <row r="29" spans="1:3" ht="13.5">
      <c r="A29" s="3037"/>
      <c r="B29" s="3036"/>
      <c r="C29" s="2002" t="s">
        <v>1685</v>
      </c>
    </row>
    <row r="30" spans="1:3" ht="13.5">
      <c r="A30" s="3037"/>
      <c r="B30" s="3036"/>
      <c r="C30" s="2002" t="s">
        <v>1686</v>
      </c>
    </row>
    <row r="31" spans="1:3" ht="13.5">
      <c r="A31" s="3037"/>
      <c r="B31" s="3036"/>
      <c r="C31" s="2002" t="s">
        <v>1687</v>
      </c>
    </row>
    <row r="32" spans="1:3" ht="13.5">
      <c r="A32" s="3037"/>
      <c r="B32" s="3036"/>
      <c r="C32" s="2002" t="s">
        <v>1688</v>
      </c>
    </row>
    <row r="33" spans="1:3" ht="13.5">
      <c r="A33" s="3037"/>
      <c r="B33" s="3036"/>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43178</v>
      </c>
      <c r="C2" s="1021" t="s">
        <v>826</v>
      </c>
      <c r="D2" s="1021"/>
    </row>
    <row r="3" spans="1:6" ht="24" customHeight="1">
      <c r="A3" s="1022" t="s">
        <v>827</v>
      </c>
      <c r="B3" s="1023" t="s">
        <v>828</v>
      </c>
      <c r="C3" s="2348" t="s">
        <v>829</v>
      </c>
      <c r="D3" s="2351" t="s">
        <v>830</v>
      </c>
      <c r="E3" s="1024" t="s">
        <v>831</v>
      </c>
      <c r="F3" s="1023" t="s">
        <v>829</v>
      </c>
    </row>
    <row r="4" spans="1:6" ht="24" customHeight="1">
      <c r="A4" s="1704" t="s">
        <v>832</v>
      </c>
      <c r="B4" s="1024">
        <f ca="1">IF(C4&lt;B2,"已过期",1119970066)</f>
        <v>1119970066</v>
      </c>
      <c r="C4" s="2349">
        <v>43849</v>
      </c>
      <c r="D4" s="2352" t="s">
        <v>832</v>
      </c>
      <c r="E4" s="1024">
        <f ca="1">IF(F4&lt;B2,"已过期",96010014)</f>
        <v>96010014</v>
      </c>
      <c r="F4" s="1032">
        <v>47118</v>
      </c>
    </row>
    <row r="5" spans="1:6" ht="24" customHeight="1">
      <c r="A5" s="1704" t="s">
        <v>833</v>
      </c>
      <c r="B5" s="1024">
        <f ca="1">IF(C5&lt;B2,"已过期",1119970074)</f>
        <v>1119970074</v>
      </c>
      <c r="C5" s="2349">
        <v>43849</v>
      </c>
      <c r="D5" s="2352" t="s">
        <v>833</v>
      </c>
      <c r="E5" s="1024">
        <f ca="1">IF(F5&lt;B2,"已过期",2002110027)</f>
        <v>2002110027</v>
      </c>
      <c r="F5" s="1032">
        <v>46752</v>
      </c>
    </row>
    <row r="6" spans="1:6" ht="24" customHeight="1">
      <c r="A6" s="1704" t="s">
        <v>834</v>
      </c>
      <c r="B6" s="1024">
        <f ca="1">IF(C6&lt;B2,"已过期",1119970111)</f>
        <v>1119970111</v>
      </c>
      <c r="C6" s="2349">
        <v>43849</v>
      </c>
      <c r="D6" s="2352" t="s">
        <v>834</v>
      </c>
      <c r="E6" s="1024">
        <f ca="1">IF(F6&lt;B2,"已过期",94010078)</f>
        <v>94010078</v>
      </c>
      <c r="F6" s="1032">
        <v>46387</v>
      </c>
    </row>
    <row r="7" spans="1:6" ht="24" customHeight="1">
      <c r="A7" s="1704" t="s">
        <v>835</v>
      </c>
      <c r="B7" s="1024">
        <f ca="1">IF(C7&lt;B2,"已过期",1120050019)</f>
        <v>1120050019</v>
      </c>
      <c r="C7" s="2349">
        <v>43359</v>
      </c>
      <c r="D7" s="2352" t="s">
        <v>835</v>
      </c>
      <c r="E7" s="1024">
        <f ca="1">IF(F7&lt;B2,"已过期",2002110030)</f>
        <v>2002110030</v>
      </c>
      <c r="F7" s="1032">
        <v>46387</v>
      </c>
    </row>
    <row r="8" spans="1:6" ht="24" customHeight="1">
      <c r="A8" s="1704" t="s">
        <v>836</v>
      </c>
      <c r="B8" s="1024">
        <f ca="1">IF(C8&lt;B2,"已过期",1120000080)</f>
        <v>1120000080</v>
      </c>
      <c r="C8" s="2349">
        <v>43849</v>
      </c>
      <c r="D8" s="2352" t="s">
        <v>836</v>
      </c>
      <c r="E8" s="1024">
        <f ca="1">IF(F8&lt;B2,"已过期",2000110082)</f>
        <v>2000110082</v>
      </c>
      <c r="F8" s="1032">
        <v>46387</v>
      </c>
    </row>
    <row r="9" spans="1:6" ht="24" customHeight="1">
      <c r="A9" s="1704" t="s">
        <v>837</v>
      </c>
      <c r="B9" s="1024">
        <f ca="1">IF(C9&lt;B2,"已过期",1419970001)</f>
        <v>1419970001</v>
      </c>
      <c r="C9" s="2349">
        <v>43867</v>
      </c>
      <c r="D9" s="2352" t="s">
        <v>837</v>
      </c>
      <c r="E9" s="1024">
        <f ca="1">IF(F9&lt;B2,"已过期",2002110125)</f>
        <v>2002110125</v>
      </c>
      <c r="F9" s="1032">
        <v>47118</v>
      </c>
    </row>
    <row r="10" spans="1:6" ht="24" customHeight="1">
      <c r="A10" s="1704" t="s">
        <v>838</v>
      </c>
      <c r="B10" s="1024">
        <f ca="1">IF(C10&lt;B2,"已过期",1120060040)</f>
        <v>1120060040</v>
      </c>
      <c r="C10" s="2349">
        <v>43483</v>
      </c>
      <c r="D10" s="2352" t="s">
        <v>838</v>
      </c>
      <c r="E10" s="1024">
        <f ca="1">IF(F10&lt;B2,"已过期",2004110096)</f>
        <v>2004110096</v>
      </c>
      <c r="F10" s="1032">
        <v>47118</v>
      </c>
    </row>
    <row r="11" spans="1:6" ht="24" customHeight="1">
      <c r="A11" s="1704" t="s">
        <v>839</v>
      </c>
      <c r="B11" s="1024">
        <f ca="1">IF(C11&lt;B2,"已过期",1120100036)</f>
        <v>1120100036</v>
      </c>
      <c r="C11" s="2349">
        <v>43622</v>
      </c>
      <c r="D11" s="2352" t="s">
        <v>839</v>
      </c>
      <c r="E11" s="1024">
        <f ca="1">IF(F11&lt;B2,"已过期",2010110070)</f>
        <v>2010110070</v>
      </c>
      <c r="F11" s="1032">
        <v>47907</v>
      </c>
    </row>
    <row r="12" spans="1:6" ht="24" customHeight="1">
      <c r="A12" s="1704"/>
      <c r="B12" s="1024"/>
      <c r="C12" s="2349"/>
      <c r="D12" s="2352"/>
      <c r="E12" s="1024"/>
      <c r="F12" s="1024"/>
    </row>
    <row r="13" spans="1:6" ht="24" customHeight="1">
      <c r="A13" s="1704" t="s">
        <v>840</v>
      </c>
      <c r="B13" s="1024">
        <f ca="1">IF(C13&lt;B2,"已过期",1120070131)</f>
        <v>1120070131</v>
      </c>
      <c r="C13" s="2349">
        <v>43814</v>
      </c>
      <c r="D13" s="2352" t="s">
        <v>840</v>
      </c>
      <c r="E13" s="1024">
        <v>2014110011</v>
      </c>
      <c r="F13" s="1032">
        <v>49302</v>
      </c>
    </row>
    <row r="14" spans="1:6" ht="24" customHeight="1">
      <c r="A14" s="1704" t="s">
        <v>841</v>
      </c>
      <c r="B14" s="1024">
        <f ca="1">IF(C14&lt;B2,"已过期",1120130020)</f>
        <v>1120130020</v>
      </c>
      <c r="C14" s="2349">
        <v>43622</v>
      </c>
      <c r="D14" s="2352"/>
      <c r="E14" s="1024"/>
      <c r="F14" s="1024"/>
    </row>
    <row r="15" spans="1:6" ht="24" customHeight="1">
      <c r="A15" s="1705" t="s">
        <v>1149</v>
      </c>
      <c r="B15" s="1024">
        <v>1120070085</v>
      </c>
      <c r="C15" s="2349">
        <v>43814</v>
      </c>
      <c r="D15" s="2353" t="s">
        <v>1149</v>
      </c>
      <c r="E15" s="1024">
        <v>2004110128</v>
      </c>
      <c r="F15" s="1025">
        <v>47118</v>
      </c>
    </row>
    <row r="16" spans="1:6" ht="24" customHeight="1">
      <c r="A16" s="1704" t="s">
        <v>842</v>
      </c>
      <c r="B16" s="1024">
        <f ca="1">IF(C16&lt;B2,"已过期",1120140022)</f>
        <v>1120140022</v>
      </c>
      <c r="C16" s="2349">
        <v>44029</v>
      </c>
      <c r="D16" s="2352" t="s">
        <v>842</v>
      </c>
      <c r="E16" s="1024">
        <f ca="1">IF(F16&lt;B2,"已过期",2008110059)</f>
        <v>2008110059</v>
      </c>
      <c r="F16" s="1032">
        <v>47177</v>
      </c>
    </row>
    <row r="17" spans="1:7" ht="24" customHeight="1">
      <c r="A17" s="1704"/>
      <c r="B17" s="1024"/>
      <c r="C17" s="2349"/>
      <c r="D17" s="2352"/>
      <c r="E17" s="1024"/>
      <c r="F17" s="1032"/>
    </row>
    <row r="18" spans="1:7" ht="24" customHeight="1">
      <c r="A18" s="1704"/>
      <c r="B18" s="1024"/>
      <c r="C18" s="2349"/>
      <c r="D18" s="2352"/>
      <c r="E18" s="1024"/>
      <c r="F18" s="1032"/>
    </row>
    <row r="19" spans="1:7" ht="24" customHeight="1">
      <c r="A19" s="1704"/>
      <c r="B19" s="1024"/>
      <c r="C19" s="2349"/>
      <c r="D19" s="2352"/>
      <c r="E19" s="1024"/>
      <c r="F19" s="1024"/>
    </row>
    <row r="20" spans="1:7" ht="24" customHeight="1">
      <c r="A20" s="1704"/>
      <c r="B20" s="1024"/>
      <c r="C20" s="2349"/>
      <c r="D20" s="2352"/>
      <c r="E20" s="1024"/>
      <c r="F20" s="1024"/>
    </row>
    <row r="21" spans="1:7" ht="24" customHeight="1">
      <c r="A21" s="1704"/>
      <c r="B21" s="1024"/>
      <c r="C21" s="2349"/>
      <c r="D21" s="2352" t="s">
        <v>843</v>
      </c>
      <c r="E21" s="1024">
        <f ca="1">IF(F21&lt;B2,"已过期",2011110090)</f>
        <v>2011110090</v>
      </c>
      <c r="F21" s="1032">
        <v>48302</v>
      </c>
    </row>
    <row r="22" spans="1:7" ht="24" customHeight="1">
      <c r="A22" s="1704" t="s">
        <v>844</v>
      </c>
      <c r="B22" s="1024">
        <f ca="1">IF(C22&lt;B2,"已过期",1120020033)</f>
        <v>1120020033</v>
      </c>
      <c r="C22" s="2349">
        <v>43304</v>
      </c>
      <c r="D22" s="2352" t="s">
        <v>844</v>
      </c>
      <c r="E22" s="1024">
        <f ca="1">IF(F22&lt;B2,"已过期",2000110137)</f>
        <v>2000110137</v>
      </c>
      <c r="F22" s="1032">
        <v>46387</v>
      </c>
    </row>
    <row r="23" spans="1:7" ht="24" customHeight="1">
      <c r="A23" s="1704" t="s">
        <v>845</v>
      </c>
      <c r="B23" s="1024">
        <f ca="1">IF(C23&lt;B2,"已过期",1120130048)</f>
        <v>1120130048</v>
      </c>
      <c r="C23" s="2349">
        <v>43686</v>
      </c>
      <c r="D23" s="2352"/>
      <c r="E23" s="1024"/>
      <c r="F23" s="1024"/>
    </row>
    <row r="24" spans="1:7" s="1026" customFormat="1" ht="24" customHeight="1">
      <c r="A24" s="1705" t="s">
        <v>1333</v>
      </c>
      <c r="B24" s="1705" t="s">
        <v>1333</v>
      </c>
      <c r="C24" s="2350" t="s">
        <v>1333</v>
      </c>
      <c r="D24" s="2353" t="s">
        <v>1333</v>
      </c>
      <c r="E24" s="1705" t="s">
        <v>1333</v>
      </c>
      <c r="F24" s="1705" t="s">
        <v>1333</v>
      </c>
    </row>
    <row r="25" spans="1:7" ht="24" customHeight="1">
      <c r="A25" s="3041" t="s">
        <v>846</v>
      </c>
      <c r="B25" s="3041"/>
      <c r="C25" s="3041"/>
      <c r="D25" s="3041"/>
      <c r="E25" s="3041"/>
      <c r="F25" s="3041"/>
      <c r="G25" s="3041"/>
    </row>
    <row r="26" spans="1:7" s="1027" customFormat="1" ht="24" customHeight="1">
      <c r="A26" s="3042" t="s">
        <v>847</v>
      </c>
      <c r="B26" s="3042"/>
      <c r="C26" s="3043"/>
      <c r="D26" s="3044" t="s">
        <v>848</v>
      </c>
      <c r="E26" s="3042"/>
      <c r="F26" s="3042"/>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8" priority="55">
      <formula>AND($C28-TODAY()&lt;30,TODAY()&lt;$C28)</formula>
    </cfRule>
  </conditionalFormatting>
  <conditionalFormatting sqref="C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F28">
    <cfRule type="expression" dxfId="202" priority="12">
      <formula>AND($E28-TODAY()&lt;30,TODAY()&lt;$E28)</formula>
    </cfRule>
  </conditionalFormatting>
  <conditionalFormatting sqref="F28">
    <cfRule type="cellIs" dxfId="201" priority="13" stopIfTrue="1" operator="lessThan">
      <formula>$B$2</formula>
    </cfRule>
  </conditionalFormatting>
  <conditionalFormatting sqref="F29">
    <cfRule type="expression" dxfId="200" priority="8" stopIfTrue="1">
      <formula>AND($E29-TODAY()&lt;30,TODAY()&lt;$E29)</formula>
    </cfRule>
  </conditionalFormatting>
  <conditionalFormatting sqref="F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163</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结果表-会所</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vt:lpstr>
      <vt:lpstr>典型户型修正-48</vt:lpstr>
      <vt:lpstr>比较法-会所</vt:lpstr>
      <vt:lpstr>比较法-会所1</vt:lpstr>
      <vt:lpstr>收益法-会所</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'比较法-会所'!商业层高</vt:lpstr>
      <vt:lpstr>'比较法-会所1'!商业层高</vt:lpstr>
      <vt:lpstr>商业层高</vt:lpstr>
      <vt:lpstr>'比较法-会所'!商业成新度</vt:lpstr>
      <vt:lpstr>'比较法-会所1'!商业成新度</vt:lpstr>
      <vt:lpstr>商业成新度</vt:lpstr>
      <vt:lpstr>商业繁华度</vt:lpstr>
      <vt:lpstr>'比较法-会所'!商业公共部分装修</vt:lpstr>
      <vt:lpstr>'比较法-会所1'!商业公共部分装修</vt:lpstr>
      <vt:lpstr>商业公共部分装修</vt:lpstr>
      <vt:lpstr>'比较法-会所'!商业基础设施水平</vt:lpstr>
      <vt:lpstr>'比较法-会所1'!商业基础设施水平</vt:lpstr>
      <vt:lpstr>商业基础设施水平</vt:lpstr>
      <vt:lpstr>'比较法-会所'!商业建筑结构</vt:lpstr>
      <vt:lpstr>'比较法-会所1'!商业建筑结构</vt:lpstr>
      <vt:lpstr>商业建筑结构</vt:lpstr>
      <vt:lpstr>'比较法-会所'!商业交易情况</vt:lpstr>
      <vt:lpstr>'比较法-会所1'!商业交易情况</vt:lpstr>
      <vt:lpstr>商业交易情况</vt:lpstr>
      <vt:lpstr>商业街名称</vt:lpstr>
      <vt:lpstr>'比较法-会所'!商业进深比</vt:lpstr>
      <vt:lpstr>'比较法-会所1'!商业进深比</vt:lpstr>
      <vt:lpstr>商业进深比</vt:lpstr>
      <vt:lpstr>'比较法-会所'!商业类型</vt:lpstr>
      <vt:lpstr>'比较法-会所1'!商业类型</vt:lpstr>
      <vt:lpstr>商业类型</vt:lpstr>
      <vt:lpstr>'比较法-会所'!商业临街状况</vt:lpstr>
      <vt:lpstr>'比较法-会所1'!商业临街状况</vt:lpstr>
      <vt:lpstr>商业临街状况</vt:lpstr>
      <vt:lpstr>'比较法-会所'!商业楼层</vt:lpstr>
      <vt:lpstr>'比较法-会所1'!商业楼层</vt:lpstr>
      <vt:lpstr>商业楼层</vt:lpstr>
      <vt:lpstr>'比较法-会所'!商业内部装修</vt:lpstr>
      <vt:lpstr>'比较法-会所1'!商业内部装修</vt:lpstr>
      <vt:lpstr>商业内部装修</vt:lpstr>
      <vt:lpstr>'比较法-会所'!商业人流量</vt:lpstr>
      <vt:lpstr>'比较法-会所1'!商业人流量</vt:lpstr>
      <vt:lpstr>商业人流量</vt:lpstr>
      <vt:lpstr>'比较法-会所'!商业业态</vt:lpstr>
      <vt:lpstr>'比较法-会所1'!商业业态</vt:lpstr>
      <vt:lpstr>商业业态</vt:lpstr>
      <vt:lpstr>'比较法-会所'!商业用途</vt:lpstr>
      <vt:lpstr>'比较法-会所1'!商业用途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2018-03-19T02:19:31Z</dcterms:modified>
</cp:coreProperties>
</file>