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062绿城中交门头沟项目-5成贷8亿\全部在建价值\2018-1-0062-F03DYGJ1-西山燕庐市场价值报告\分测算及报告\"/>
    </mc:Choice>
  </mc:AlternateContent>
  <bookViews>
    <workbookView xWindow="8130" yWindow="-165" windowWidth="13605" windowHeight="10050" tabRatio="895" firstSheet="9" activeTab="1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工程进度" sheetId="77"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商业" sheetId="78" r:id="rId24"/>
    <sheet name="收益法-仓储" sheetId="15"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'收益法-仓储'!$A$1:$AK$69</definedName>
    <definedName name="_xlnm.Print_Area" localSheetId="23">'收益法-商业'!$A$1:$AK$69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5" i="77" l="1"/>
  <c r="K20" i="35" l="1"/>
  <c r="K16" i="35"/>
  <c r="AF24" i="3" l="1"/>
  <c r="AD24" i="3"/>
  <c r="AF23" i="3"/>
  <c r="AD23" i="3"/>
  <c r="D15" i="77" l="1"/>
  <c r="D14" i="77"/>
  <c r="D12" i="77"/>
  <c r="D11" i="77"/>
  <c r="D10" i="77"/>
  <c r="D9" i="77"/>
  <c r="D8" i="77"/>
  <c r="E18" i="35"/>
  <c r="G18" i="35"/>
  <c r="G6" i="35"/>
  <c r="G5" i="35"/>
  <c r="Q72" i="78"/>
  <c r="Q59" i="78"/>
  <c r="K59" i="78"/>
  <c r="P74" i="78" s="1"/>
  <c r="F59" i="78"/>
  <c r="Q58" i="78"/>
  <c r="Q51" i="78"/>
  <c r="J50" i="78"/>
  <c r="M47" i="78"/>
  <c r="D46" i="78"/>
  <c r="F33" i="78"/>
  <c r="F61" i="78" s="1"/>
  <c r="F31" i="78"/>
  <c r="F23" i="78"/>
  <c r="F21" i="78"/>
  <c r="F20" i="78"/>
  <c r="M19" i="78"/>
  <c r="F18" i="78"/>
  <c r="M17" i="78"/>
  <c r="F17" i="78"/>
  <c r="F15" i="78"/>
  <c r="P61" i="78" l="1"/>
  <c r="D23" i="78"/>
  <c r="D22" i="78"/>
  <c r="D24" i="78"/>
  <c r="C38" i="39" l="1"/>
  <c r="AT34" i="3"/>
  <c r="AF34" i="3"/>
  <c r="D3" i="4" l="1"/>
  <c r="I31" i="3" l="1"/>
  <c r="D6" i="77" l="1"/>
  <c r="D4" i="77"/>
  <c r="C11" i="4" l="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2" i="76"/>
  <c r="B11" i="76"/>
  <c r="E8" i="76"/>
  <c r="E7" i="76"/>
  <c r="B8" i="76"/>
  <c r="B9" i="76"/>
  <c r="E12" i="76"/>
  <c r="E9" i="76"/>
  <c r="E13" i="76"/>
  <c r="E11" i="76"/>
  <c r="E10" i="76"/>
  <c r="B10" i="76"/>
  <c r="B13"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3" i="73"/>
  <c r="D3" i="73"/>
  <c r="F5" i="73"/>
  <c r="F4" i="73"/>
  <c r="I1" i="73" l="1"/>
  <c r="B39" i="1" s="1"/>
  <c r="D7" i="73"/>
  <c r="D4" i="73"/>
  <c r="D5" i="73"/>
  <c r="D6"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2" i="1"/>
  <c r="AO10" i="1"/>
  <c r="AO9"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AX28" i="3"/>
  <c r="AW28" i="3"/>
  <c r="AV28" i="3"/>
  <c r="AC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F8" i="1" s="1"/>
  <c r="G15" i="4"/>
  <c r="F9"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B104" i="39"/>
  <c r="D97" i="39"/>
  <c r="D95" i="39"/>
  <c r="E95" i="39" s="1"/>
  <c r="F95" i="39" s="1"/>
  <c r="D93" i="39"/>
  <c r="E93" i="39" s="1"/>
  <c r="D91" i="39"/>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AA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AB34" i="35" s="1"/>
  <c r="B77" i="35"/>
  <c r="F25" i="35" s="1"/>
  <c r="S25" i="35" s="1"/>
  <c r="B75" i="35"/>
  <c r="J24" i="35" s="1"/>
  <c r="AC24" i="35" s="1"/>
  <c r="B73" i="35"/>
  <c r="F23" i="35" s="1"/>
  <c r="AA23" i="35" s="1"/>
  <c r="B57" i="35"/>
  <c r="B61" i="35"/>
  <c r="B59" i="35"/>
  <c r="H12" i="35" s="1"/>
  <c r="U12" i="35" s="1"/>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S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G15" i="21" s="1"/>
  <c r="I15" i="21" s="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B98" i="21"/>
  <c r="B96" i="21"/>
  <c r="B94" i="21"/>
  <c r="B92" i="21"/>
  <c r="B90" i="21"/>
  <c r="B74" i="21"/>
  <c r="B72" i="21"/>
  <c r="H13" i="21" s="1"/>
  <c r="B70" i="21"/>
  <c r="H12" i="21" s="1"/>
  <c r="AB12" i="21" s="1"/>
  <c r="C19" i="21"/>
  <c r="C17" i="21"/>
  <c r="G17" i="21" s="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F21"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0" i="6" s="1"/>
  <c r="N5" i="3"/>
  <c r="O5" i="3"/>
  <c r="G22" i="6" s="1"/>
  <c r="E22" i="6" s="1"/>
  <c r="P5" i="3"/>
  <c r="Q5" i="3"/>
  <c r="G21" i="6" s="1"/>
  <c r="R5" i="3"/>
  <c r="S5" i="3"/>
  <c r="G20" i="6" s="1"/>
  <c r="E57" i="39" s="1"/>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H36" i="21"/>
  <c r="U36" i="21" s="1"/>
  <c r="F35" i="21"/>
  <c r="AA35" i="21" s="1"/>
  <c r="J10" i="21"/>
  <c r="AC10" i="21" s="1"/>
  <c r="H26" i="21"/>
  <c r="AB26" i="21" s="1"/>
  <c r="J26" i="21"/>
  <c r="W26" i="21" s="1"/>
  <c r="F26" i="21"/>
  <c r="S26" i="21" s="1"/>
  <c r="F45" i="39"/>
  <c r="S45" i="39" s="1"/>
  <c r="W40" i="39"/>
  <c r="U30" i="37"/>
  <c r="W31" i="37"/>
  <c r="E103" i="37"/>
  <c r="F103" i="37" s="1"/>
  <c r="G103" i="37" s="1"/>
  <c r="H103" i="37" s="1"/>
  <c r="I103" i="37" s="1"/>
  <c r="J103" i="37" s="1"/>
  <c r="K103" i="37" s="1"/>
  <c r="L103" i="37" s="1"/>
  <c r="M103" i="37" s="1"/>
  <c r="F29" i="36"/>
  <c r="AA29" i="36" s="1"/>
  <c r="F16" i="36"/>
  <c r="AA16" i="36" s="1"/>
  <c r="AA31" i="36"/>
  <c r="W31" i="36"/>
  <c r="J33" i="36"/>
  <c r="W33" i="36" s="1"/>
  <c r="H22" i="35"/>
  <c r="AB22" i="35" s="1"/>
  <c r="AC27" i="35"/>
  <c r="U31" i="35"/>
  <c r="U34" i="35"/>
  <c r="F36" i="34"/>
  <c r="J35" i="34"/>
  <c r="U34" i="34"/>
  <c r="H39" i="33"/>
  <c r="AB39" i="33" s="1"/>
  <c r="U33" i="33"/>
  <c r="U35" i="33"/>
  <c r="W39" i="33"/>
  <c r="H39" i="37"/>
  <c r="AB39" i="37" s="1"/>
  <c r="F11" i="40"/>
  <c r="AA11" i="40" s="1"/>
  <c r="H11" i="40"/>
  <c r="AB11" i="40" s="1"/>
  <c r="AC9" i="40"/>
  <c r="U40" i="40"/>
  <c r="H40" i="39"/>
  <c r="AB40" i="39" s="1"/>
  <c r="H39" i="39"/>
  <c r="U39" i="39" s="1"/>
  <c r="H34" i="39"/>
  <c r="U34" i="39" s="1"/>
  <c r="F19" i="39"/>
  <c r="AA19" i="39" s="1"/>
  <c r="J23" i="40"/>
  <c r="AC23" i="40" s="1"/>
  <c r="F21" i="40"/>
  <c r="AA21" i="40" s="1"/>
  <c r="J21" i="40"/>
  <c r="W21" i="40" s="1"/>
  <c r="J34" i="39"/>
  <c r="AC34" i="39" s="1"/>
  <c r="J19" i="39"/>
  <c r="AC19" i="39" s="1"/>
  <c r="C25" i="39"/>
  <c r="C15" i="39"/>
  <c r="H32" i="33"/>
  <c r="AB32" i="33" s="1"/>
  <c r="H37" i="40"/>
  <c r="U37" i="40" s="1"/>
  <c r="H36" i="40"/>
  <c r="AB36" i="40" s="1"/>
  <c r="F35" i="40"/>
  <c r="AA35" i="40" s="1"/>
  <c r="H23" i="40"/>
  <c r="AB23" i="40" s="1"/>
  <c r="H17" i="40"/>
  <c r="U17" i="40" s="1"/>
  <c r="J15" i="40"/>
  <c r="W15" i="40" s="1"/>
  <c r="J11" i="40"/>
  <c r="W11" i="40" s="1"/>
  <c r="AB8" i="39"/>
  <c r="AB12" i="35"/>
  <c r="F37" i="39"/>
  <c r="AA37" i="39" s="1"/>
  <c r="J34" i="36"/>
  <c r="W34" i="36" s="1"/>
  <c r="U30" i="36"/>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F34" i="36"/>
  <c r="S34" i="36" s="1"/>
  <c r="AB8" i="36"/>
  <c r="U8" i="35"/>
  <c r="F14" i="35"/>
  <c r="AA14" i="35" s="1"/>
  <c r="J32" i="35"/>
  <c r="AC32" i="35" s="1"/>
  <c r="J16" i="35"/>
  <c r="AC16" i="35" s="1"/>
  <c r="H16" i="35"/>
  <c r="U16" i="35" s="1"/>
  <c r="F16" i="35"/>
  <c r="S16" i="35" s="1"/>
  <c r="H14" i="35"/>
  <c r="AB14" i="35" s="1"/>
  <c r="J29" i="35"/>
  <c r="H33" i="35"/>
  <c r="AB33" i="35" s="1"/>
  <c r="AC8" i="35"/>
  <c r="J20" i="35"/>
  <c r="W20" i="35" s="1"/>
  <c r="F35" i="37"/>
  <c r="S35"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AC34" i="36"/>
  <c r="U30" i="35"/>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AC11" i="36" s="1"/>
  <c r="H11" i="36"/>
  <c r="U11" i="36" s="1"/>
  <c r="F11" i="36"/>
  <c r="AA11" i="36" s="1"/>
  <c r="H13" i="36"/>
  <c r="AB13" i="36" s="1"/>
  <c r="J13" i="36"/>
  <c r="AC13" i="36" s="1"/>
  <c r="F13" i="36"/>
  <c r="S13" i="36" s="1"/>
  <c r="J29" i="37"/>
  <c r="W29" i="37" s="1"/>
  <c r="F29" i="37"/>
  <c r="S29" i="37" s="1"/>
  <c r="F105" i="37"/>
  <c r="G105" i="37" s="1"/>
  <c r="H36" i="37"/>
  <c r="AB36" i="37" s="1"/>
  <c r="F107" i="37"/>
  <c r="J37" i="37"/>
  <c r="AC37" i="37" s="1"/>
  <c r="H37" i="37"/>
  <c r="U37" i="37" s="1"/>
  <c r="H40" i="37"/>
  <c r="U40" i="37" s="1"/>
  <c r="J40" i="37"/>
  <c r="AC40" i="37" s="1"/>
  <c r="F40" i="37"/>
  <c r="AA40" i="37" s="1"/>
  <c r="J14" i="33"/>
  <c r="H44" i="33"/>
  <c r="F46" i="33"/>
  <c r="AA46" i="33" s="1"/>
  <c r="F13" i="34"/>
  <c r="AA13" i="34" s="1"/>
  <c r="J31" i="34"/>
  <c r="AC31" i="34" s="1"/>
  <c r="J45" i="34"/>
  <c r="W45" i="34" s="1"/>
  <c r="J47" i="34"/>
  <c r="AC47" i="34" s="1"/>
  <c r="J25" i="35"/>
  <c r="W25" i="35" s="1"/>
  <c r="F35" i="35"/>
  <c r="AA35" i="35" s="1"/>
  <c r="J25" i="36"/>
  <c r="W25" i="36" s="1"/>
  <c r="H25" i="36"/>
  <c r="AB25" i="36" s="1"/>
  <c r="F13" i="37"/>
  <c r="S13" i="37" s="1"/>
  <c r="F28" i="37"/>
  <c r="AA28" i="37" s="1"/>
  <c r="J28" i="37"/>
  <c r="AC28" i="37" s="1"/>
  <c r="H28" i="37"/>
  <c r="U28" i="37" s="1"/>
  <c r="F43" i="39"/>
  <c r="AA43" i="39" s="1"/>
  <c r="H43" i="39"/>
  <c r="J14" i="39"/>
  <c r="AC14" i="39" s="1"/>
  <c r="H12" i="40"/>
  <c r="AB12" i="40" s="1"/>
  <c r="H30" i="40"/>
  <c r="AB30" i="40" s="1"/>
  <c r="F33" i="40"/>
  <c r="AA33" i="40" s="1"/>
  <c r="J35" i="40"/>
  <c r="AC35" i="40" s="1"/>
  <c r="J37" i="40"/>
  <c r="AC37" i="40" s="1"/>
  <c r="H13" i="40"/>
  <c r="U13" i="40" s="1"/>
  <c r="J13" i="40"/>
  <c r="W13" i="40" s="1"/>
  <c r="F13" i="40"/>
  <c r="AA13" i="40" s="1"/>
  <c r="F27" i="37"/>
  <c r="AA27" i="37" s="1"/>
  <c r="F13" i="39"/>
  <c r="J13" i="39"/>
  <c r="W13" i="39" s="1"/>
  <c r="H13" i="39"/>
  <c r="H14" i="40"/>
  <c r="AB14" i="40" s="1"/>
  <c r="J27" i="37"/>
  <c r="AC27" i="37" s="1"/>
  <c r="AA14" i="33"/>
  <c r="J36" i="37"/>
  <c r="AC36" i="37" s="1"/>
  <c r="J10" i="36"/>
  <c r="AC10" i="36" s="1"/>
  <c r="AB30" i="21"/>
  <c r="W13" i="36"/>
  <c r="W11" i="36"/>
  <c r="W11" i="35"/>
  <c r="AC30" i="34"/>
  <c r="S45" i="33"/>
  <c r="AB31" i="33"/>
  <c r="W29" i="33"/>
  <c r="AC28" i="21"/>
  <c r="S44" i="34"/>
  <c r="BA585" i="3"/>
  <c r="F17" i="21"/>
  <c r="AA17" i="21" s="1"/>
  <c r="H17" i="21"/>
  <c r="AB17" i="21" s="1"/>
  <c r="F15" i="21"/>
  <c r="S15" i="21" s="1"/>
  <c r="G544" i="3"/>
  <c r="G540" i="3"/>
  <c r="G536" i="3"/>
  <c r="G535" i="3"/>
  <c r="G532" i="3"/>
  <c r="G531" i="3"/>
  <c r="G528" i="3"/>
  <c r="G527" i="3"/>
  <c r="G523" i="3"/>
  <c r="G518" i="3"/>
  <c r="G514" i="3"/>
  <c r="G510" i="3"/>
  <c r="G508" i="3"/>
  <c r="G504" i="3"/>
  <c r="G500" i="3"/>
  <c r="G496" i="3"/>
  <c r="G580" i="3"/>
  <c r="G572" i="3"/>
  <c r="G568" i="3"/>
  <c r="G564" i="3"/>
  <c r="G560" i="3"/>
  <c r="G554" i="3"/>
  <c r="G550" i="3"/>
  <c r="BL584" i="3"/>
  <c r="BL576" i="3"/>
  <c r="BL568" i="3"/>
  <c r="BL564" i="3"/>
  <c r="BL560" i="3"/>
  <c r="BL554" i="3"/>
  <c r="BL546" i="3"/>
  <c r="BL542" i="3"/>
  <c r="BL538" i="3"/>
  <c r="BL534" i="3"/>
  <c r="BL530" i="3"/>
  <c r="BL526" i="3"/>
  <c r="BL522" i="3"/>
  <c r="BL516" i="3"/>
  <c r="BL512" i="3"/>
  <c r="BL506" i="3"/>
  <c r="BL502" i="3"/>
  <c r="BL498" i="3"/>
  <c r="BL494" i="3"/>
  <c r="BL578" i="3"/>
  <c r="BL570" i="3"/>
  <c r="BL566" i="3"/>
  <c r="BL562" i="3"/>
  <c r="BL556" i="3"/>
  <c r="BL552" i="3"/>
  <c r="BL544" i="3"/>
  <c r="BL540" i="3"/>
  <c r="BL536" i="3"/>
  <c r="G533" i="3"/>
  <c r="BL532" i="3"/>
  <c r="G529" i="3"/>
  <c r="BL528" i="3"/>
  <c r="G525" i="3"/>
  <c r="BL524" i="3"/>
  <c r="BL518" i="3"/>
  <c r="BL514" i="3"/>
  <c r="BL510" i="3"/>
  <c r="BL504" i="3"/>
  <c r="BL500" i="3"/>
  <c r="BL496" i="3"/>
  <c r="G493" i="3"/>
  <c r="BA582" i="3"/>
  <c r="BA578" i="3"/>
  <c r="BA574" i="3"/>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BA583" i="3"/>
  <c r="BA579"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9" i="3"/>
  <c r="G567" i="3"/>
  <c r="G565" i="3"/>
  <c r="G563" i="3"/>
  <c r="G561" i="3"/>
  <c r="BL558" i="3"/>
  <c r="BA557" i="3"/>
  <c r="AC557" i="3"/>
  <c r="G557" i="3" s="1"/>
  <c r="BQ557" i="3"/>
  <c r="BL557" i="3" s="1"/>
  <c r="BQ583" i="3"/>
  <c r="BL583" i="3" s="1"/>
  <c r="AZ583" i="3" s="1"/>
  <c r="BQ581" i="3"/>
  <c r="BL581" i="3"/>
  <c r="BQ579" i="3"/>
  <c r="BL579" i="3"/>
  <c r="AZ579" i="3" s="1"/>
  <c r="BQ577" i="3"/>
  <c r="BQ575" i="3"/>
  <c r="BL575" i="3" s="1"/>
  <c r="AZ575" i="3" s="1"/>
  <c r="BQ573" i="3"/>
  <c r="BQ571" i="3"/>
  <c r="BL571" i="3" s="1"/>
  <c r="AZ571" i="3" s="1"/>
  <c r="BQ569" i="3"/>
  <c r="BL569" i="3" s="1"/>
  <c r="BQ567" i="3"/>
  <c r="BL567" i="3" s="1"/>
  <c r="BQ565" i="3"/>
  <c r="BL565" i="3" s="1"/>
  <c r="BQ563" i="3"/>
  <c r="BL563" i="3" s="1"/>
  <c r="AZ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BQ517" i="3"/>
  <c r="BL517" i="3" s="1"/>
  <c r="AZ517" i="3" s="1"/>
  <c r="BQ515" i="3"/>
  <c r="BL515" i="3" s="1"/>
  <c r="BQ513" i="3"/>
  <c r="BL513" i="3" s="1"/>
  <c r="AZ513" i="3" s="1"/>
  <c r="BQ511" i="3"/>
  <c r="BL511" i="3"/>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C33" i="36"/>
  <c r="AB28" i="37"/>
  <c r="U39" i="37"/>
  <c r="AC8" i="37"/>
  <c r="U26" i="37"/>
  <c r="W47" i="34"/>
  <c r="W37" i="34"/>
  <c r="AB37" i="34"/>
  <c r="AC36" i="34"/>
  <c r="AC31" i="33"/>
  <c r="W44" i="33"/>
  <c r="U11" i="33"/>
  <c r="W44" i="21"/>
  <c r="U26" i="21"/>
  <c r="AC46" i="21"/>
  <c r="U12"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88" i="40"/>
  <c r="G88" i="40" s="1"/>
  <c r="F19" i="40"/>
  <c r="S19" i="40" s="1"/>
  <c r="AC13" i="40"/>
  <c r="AC43" i="39"/>
  <c r="W43" i="39"/>
  <c r="H37" i="39"/>
  <c r="AB37" i="39" s="1"/>
  <c r="AC37" i="39"/>
  <c r="W37" i="39"/>
  <c r="H25" i="39"/>
  <c r="AB25" i="39" s="1"/>
  <c r="J25" i="39"/>
  <c r="F25" i="39"/>
  <c r="AA25" i="39" s="1"/>
  <c r="F15" i="39"/>
  <c r="AA15" i="39" s="1"/>
  <c r="H15" i="39"/>
  <c r="U15" i="39" s="1"/>
  <c r="J15" i="39"/>
  <c r="W15" i="39" s="1"/>
  <c r="H41" i="39"/>
  <c r="AB3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AZ502" i="3"/>
  <c r="AZ514" i="3"/>
  <c r="AZ522"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AZ144" i="3" s="1"/>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AZ199" i="3" s="1"/>
  <c r="BL200" i="3"/>
  <c r="G201" i="3"/>
  <c r="BA203" i="3"/>
  <c r="BL204" i="3"/>
  <c r="AZ136"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AZ303" i="3" s="1"/>
  <c r="G304" i="3"/>
  <c r="BA306" i="3"/>
  <c r="AZ306" i="3" s="1"/>
  <c r="BL307" i="3"/>
  <c r="G308" i="3"/>
  <c r="BA310" i="3"/>
  <c r="AZ310" i="3" s="1"/>
  <c r="BL311" i="3"/>
  <c r="G312" i="3"/>
  <c r="BA314" i="3"/>
  <c r="BL315" i="3"/>
  <c r="G316" i="3"/>
  <c r="BA318" i="3"/>
  <c r="AZ318" i="3" s="1"/>
  <c r="BL319" i="3"/>
  <c r="G320" i="3"/>
  <c r="BA322" i="3"/>
  <c r="AZ322" i="3" s="1"/>
  <c r="BL323" i="3"/>
  <c r="G324" i="3"/>
  <c r="BA326" i="3"/>
  <c r="BL327" i="3"/>
  <c r="AZ327" i="3" s="1"/>
  <c r="G328" i="3"/>
  <c r="BA330" i="3"/>
  <c r="BL331" i="3"/>
  <c r="G332" i="3"/>
  <c r="BA334" i="3"/>
  <c r="AZ334" i="3"/>
  <c r="BL335" i="3"/>
  <c r="G336" i="3"/>
  <c r="BA338" i="3"/>
  <c r="AZ338" i="3"/>
  <c r="BL339" i="3"/>
  <c r="G340" i="3"/>
  <c r="BL343" i="3"/>
  <c r="G344" i="3"/>
  <c r="G348" i="3"/>
  <c r="G355" i="3"/>
  <c r="G342" i="3"/>
  <c r="BL345" i="3"/>
  <c r="AZ345" i="3" s="1"/>
  <c r="G346" i="3"/>
  <c r="AZ348" i="3"/>
  <c r="BL349" i="3"/>
  <c r="AZ349" i="3" s="1"/>
  <c r="BL352" i="3"/>
  <c r="G353" i="3"/>
  <c r="BA357" i="3"/>
  <c r="AZ357" i="3" s="1"/>
  <c r="BL358" i="3"/>
  <c r="G359" i="3"/>
  <c r="BA361" i="3"/>
  <c r="BL362" i="3"/>
  <c r="G363" i="3"/>
  <c r="BA365" i="3"/>
  <c r="AZ365" i="3" s="1"/>
  <c r="BL366" i="3"/>
  <c r="AZ366" i="3" s="1"/>
  <c r="G367" i="3"/>
  <c r="BA369" i="3"/>
  <c r="BL370" i="3"/>
  <c r="G371" i="3"/>
  <c r="BA373" i="3"/>
  <c r="AZ373" i="3" s="1"/>
  <c r="BL374" i="3"/>
  <c r="AZ374" i="3" s="1"/>
  <c r="G375" i="3"/>
  <c r="BA377" i="3"/>
  <c r="AZ249" i="3"/>
  <c r="AZ253" i="3"/>
  <c r="AZ370" i="3"/>
  <c r="BA379" i="3"/>
  <c r="AZ379" i="3"/>
  <c r="BL380" i="3"/>
  <c r="G381" i="3"/>
  <c r="BA383" i="3"/>
  <c r="BL384" i="3"/>
  <c r="G385" i="3"/>
  <c r="BA387" i="3"/>
  <c r="AZ387" i="3" s="1"/>
  <c r="BL388" i="3"/>
  <c r="G389" i="3"/>
  <c r="BA391" i="3"/>
  <c r="BL392" i="3"/>
  <c r="G393" i="3"/>
  <c r="AZ283" i="3"/>
  <c r="AZ299" i="3"/>
  <c r="BQ5" i="3"/>
  <c r="AZ549" i="3"/>
  <c r="AZ506" i="3"/>
  <c r="AZ496" i="3"/>
  <c r="G548" i="3"/>
  <c r="G538" i="3"/>
  <c r="G520" i="3"/>
  <c r="G502" i="3"/>
  <c r="BA17" i="3"/>
  <c r="BA15" i="3"/>
  <c r="AZ380" i="3"/>
  <c r="AZ509" i="3"/>
  <c r="BL493" i="3"/>
  <c r="AZ493" i="3" s="1"/>
  <c r="U36" i="40"/>
  <c r="N4" i="43"/>
  <c r="F36" i="43"/>
  <c r="F81" i="43"/>
  <c r="H83" i="43" s="1"/>
  <c r="H113" i="43"/>
  <c r="F48" i="43"/>
  <c r="H52" i="43" s="1"/>
  <c r="N7" i="43"/>
  <c r="F70" i="43"/>
  <c r="H73" i="43" s="1"/>
  <c r="M6" i="43"/>
  <c r="M11" i="43"/>
  <c r="E17" i="43"/>
  <c r="F39" i="43"/>
  <c r="I17" i="43"/>
  <c r="F35" i="43"/>
  <c r="J17" i="43"/>
  <c r="U35" i="21"/>
  <c r="U10" i="21"/>
  <c r="G8" i="1"/>
  <c r="G9" i="1"/>
  <c r="G10" i="1"/>
  <c r="F48" i="9"/>
  <c r="O52" i="9" s="1"/>
  <c r="W37" i="37"/>
  <c r="W44" i="34"/>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8" i="3"/>
  <c r="AZ251" i="3"/>
  <c r="AZ117" i="3"/>
  <c r="AZ130" i="3"/>
  <c r="H75" i="43"/>
  <c r="H74" i="43"/>
  <c r="H50" i="43"/>
  <c r="H49" i="43"/>
  <c r="H48" i="43"/>
  <c r="I20" i="43"/>
  <c r="F23" i="39"/>
  <c r="AA23" i="39" s="1"/>
  <c r="H27" i="36"/>
  <c r="U27" i="36" s="1"/>
  <c r="F27" i="36"/>
  <c r="AA27" i="36" s="1"/>
  <c r="H33" i="34"/>
  <c r="U33" i="34" s="1"/>
  <c r="F32" i="37"/>
  <c r="AA32" i="37" s="1"/>
  <c r="F20" i="36"/>
  <c r="AA20" i="36" s="1"/>
  <c r="J33" i="34"/>
  <c r="AC33" i="34" s="1"/>
  <c r="D48" i="9"/>
  <c r="M52" i="9" s="1"/>
  <c r="H86" i="43"/>
  <c r="H82" i="43"/>
  <c r="H87" i="43"/>
  <c r="AE9" i="1"/>
  <c r="AZ391" i="3" l="1"/>
  <c r="AZ371" i="3"/>
  <c r="AZ394" i="3"/>
  <c r="AZ378" i="3"/>
  <c r="AZ376" i="3"/>
  <c r="AZ360" i="3"/>
  <c r="G570" i="3"/>
  <c r="G556" i="3"/>
  <c r="G446" i="3"/>
  <c r="G450" i="3"/>
  <c r="G452" i="3"/>
  <c r="BA453" i="3"/>
  <c r="BL455" i="3"/>
  <c r="BA457" i="3"/>
  <c r="BA459" i="3"/>
  <c r="G462" i="3"/>
  <c r="G466" i="3"/>
  <c r="BL467" i="3"/>
  <c r="G470" i="3"/>
  <c r="BL471" i="3"/>
  <c r="BA473" i="3"/>
  <c r="AA41" i="34"/>
  <c r="AZ561" i="3"/>
  <c r="U13" i="33"/>
  <c r="AB45" i="33"/>
  <c r="AA14" i="34"/>
  <c r="AB46" i="34"/>
  <c r="AB11" i="36"/>
  <c r="E21" i="6"/>
  <c r="F12" i="35"/>
  <c r="J34" i="35"/>
  <c r="G474" i="3"/>
  <c r="BL475" i="3"/>
  <c r="G476" i="3"/>
  <c r="BA477" i="3"/>
  <c r="G478" i="3"/>
  <c r="BL479" i="3"/>
  <c r="G480" i="3"/>
  <c r="BA481" i="3"/>
  <c r="G482" i="3"/>
  <c r="BL483" i="3"/>
  <c r="BA484" i="3"/>
  <c r="AZ484" i="3" s="1"/>
  <c r="BA485" i="3"/>
  <c r="AZ485" i="3" s="1"/>
  <c r="BA487" i="3"/>
  <c r="BL487" i="3"/>
  <c r="BA488" i="3"/>
  <c r="AZ488" i="3" s="1"/>
  <c r="BA489" i="3"/>
  <c r="AZ489" i="3" s="1"/>
  <c r="BA491" i="3"/>
  <c r="BL491" i="3"/>
  <c r="BA492" i="3"/>
  <c r="AZ492" i="3" s="1"/>
  <c r="BA307" i="3"/>
  <c r="AZ307" i="3" s="1"/>
  <c r="BL317" i="3"/>
  <c r="G214" i="3"/>
  <c r="G216" i="3"/>
  <c r="BA217" i="3"/>
  <c r="BL219" i="3"/>
  <c r="G154" i="3"/>
  <c r="BA157" i="3"/>
  <c r="BL159" i="3"/>
  <c r="AZ159" i="3" s="1"/>
  <c r="G162" i="3"/>
  <c r="G170" i="3"/>
  <c r="G178" i="3"/>
  <c r="BA181" i="3"/>
  <c r="BL183" i="3"/>
  <c r="AZ183" i="3" s="1"/>
  <c r="G186" i="3"/>
  <c r="BA189" i="3"/>
  <c r="G190" i="3"/>
  <c r="BL191" i="3"/>
  <c r="AZ191" i="3" s="1"/>
  <c r="BA193" i="3"/>
  <c r="AZ193" i="3" s="1"/>
  <c r="BL193" i="3"/>
  <c r="BL195" i="3"/>
  <c r="AZ195" i="3" s="1"/>
  <c r="G196" i="3"/>
  <c r="BA198" i="3"/>
  <c r="AZ198" i="3" s="1"/>
  <c r="BL198" i="3"/>
  <c r="BA200" i="3"/>
  <c r="AZ200" i="3" s="1"/>
  <c r="BA202" i="3"/>
  <c r="G203" i="3"/>
  <c r="G205" i="3"/>
  <c r="BL206" i="3"/>
  <c r="G207" i="3"/>
  <c r="G21" i="3"/>
  <c r="G31" i="3"/>
  <c r="E5" i="77" s="1"/>
  <c r="G33" i="3"/>
  <c r="E14" i="77" s="1"/>
  <c r="G39" i="3"/>
  <c r="G51" i="3"/>
  <c r="G55" i="3"/>
  <c r="G63" i="3"/>
  <c r="G77" i="3"/>
  <c r="BL78" i="3"/>
  <c r="BA80" i="3"/>
  <c r="BL82" i="3"/>
  <c r="BA84" i="3"/>
  <c r="BA86" i="3"/>
  <c r="BA88" i="3"/>
  <c r="BL90" i="3"/>
  <c r="G101" i="3"/>
  <c r="G103" i="3"/>
  <c r="BA104" i="3"/>
  <c r="K100" i="43"/>
  <c r="BN5" i="3"/>
  <c r="AZ361" i="3"/>
  <c r="AZ382" i="3"/>
  <c r="AZ355" i="3"/>
  <c r="AZ351" i="3"/>
  <c r="AZ515" i="3"/>
  <c r="AZ519" i="3"/>
  <c r="AZ555" i="3"/>
  <c r="AZ565" i="3"/>
  <c r="AZ504" i="3"/>
  <c r="AZ528" i="3"/>
  <c r="AZ566" i="3"/>
  <c r="AZ578" i="3"/>
  <c r="AZ500" i="3"/>
  <c r="AZ494" i="3"/>
  <c r="AZ530" i="3"/>
  <c r="B74" i="43"/>
  <c r="C27" i="39"/>
  <c r="H9" i="36"/>
  <c r="J9" i="36"/>
  <c r="AC9" i="36" s="1"/>
  <c r="F93" i="39"/>
  <c r="G93" i="39" s="1"/>
  <c r="H19" i="39"/>
  <c r="AB19" i="39" s="1"/>
  <c r="E101" i="39"/>
  <c r="F101" i="39" s="1"/>
  <c r="G101" i="39" s="1"/>
  <c r="H27" i="39"/>
  <c r="U27" i="39" s="1"/>
  <c r="F27" i="39"/>
  <c r="AA38" i="39"/>
  <c r="S38" i="39"/>
  <c r="S9" i="40"/>
  <c r="AA9" i="40"/>
  <c r="AA34" i="40"/>
  <c r="S34" i="40"/>
  <c r="AZ343" i="3"/>
  <c r="I17" i="21"/>
  <c r="G14" i="35"/>
  <c r="F81" i="21"/>
  <c r="J19" i="21" s="1"/>
  <c r="W19" i="21" s="1"/>
  <c r="F19" i="21"/>
  <c r="AA19" i="21" s="1"/>
  <c r="F64" i="35"/>
  <c r="G64" i="35" s="1"/>
  <c r="J14" i="35"/>
  <c r="W14" i="35" s="1"/>
  <c r="AC22" i="35"/>
  <c r="W22" i="35"/>
  <c r="W41" i="33"/>
  <c r="AC41" i="33"/>
  <c r="S31" i="35"/>
  <c r="AA31" i="35"/>
  <c r="J35" i="39"/>
  <c r="F35" i="39"/>
  <c r="BL585" i="3"/>
  <c r="BA584" i="3"/>
  <c r="AZ584" i="3" s="1"/>
  <c r="G584" i="3"/>
  <c r="BL582" i="3"/>
  <c r="BA581" i="3"/>
  <c r="G581" i="3"/>
  <c r="BL580" i="3"/>
  <c r="BA580" i="3"/>
  <c r="G578" i="3"/>
  <c r="BA577" i="3"/>
  <c r="G577" i="3"/>
  <c r="BA576" i="3"/>
  <c r="AZ576" i="3" s="1"/>
  <c r="G576" i="3"/>
  <c r="BL574" i="3"/>
  <c r="G574" i="3"/>
  <c r="BA573" i="3"/>
  <c r="G573" i="3"/>
  <c r="BL572" i="3"/>
  <c r="BA572" i="3"/>
  <c r="G542" i="3"/>
  <c r="BA165" i="3"/>
  <c r="G166" i="3"/>
  <c r="BL167" i="3"/>
  <c r="AZ167" i="3" s="1"/>
  <c r="BA169" i="3"/>
  <c r="AZ169" i="3" s="1"/>
  <c r="BL169" i="3"/>
  <c r="BA173" i="3"/>
  <c r="G174" i="3"/>
  <c r="BL175" i="3"/>
  <c r="AZ175" i="3" s="1"/>
  <c r="BA177" i="3"/>
  <c r="BL177" i="3"/>
  <c r="BL179" i="3"/>
  <c r="AZ179" i="3" s="1"/>
  <c r="G180" i="3"/>
  <c r="BA182" i="3"/>
  <c r="BL182" i="3"/>
  <c r="BA184" i="3"/>
  <c r="AZ184" i="3" s="1"/>
  <c r="BA186" i="3"/>
  <c r="G187" i="3"/>
  <c r="G191" i="3"/>
  <c r="G202" i="3"/>
  <c r="G20" i="3"/>
  <c r="G22" i="3"/>
  <c r="BL25" i="3"/>
  <c r="G32" i="3"/>
  <c r="BA35" i="3"/>
  <c r="BL35" i="3"/>
  <c r="BL36" i="3"/>
  <c r="G37" i="3"/>
  <c r="BA38" i="3"/>
  <c r="AZ38" i="3" s="1"/>
  <c r="BL38" i="3"/>
  <c r="BL40" i="3"/>
  <c r="G41" i="3"/>
  <c r="BA42" i="3"/>
  <c r="G43" i="3"/>
  <c r="BL44" i="3"/>
  <c r="BA46" i="3"/>
  <c r="M20" i="15"/>
  <c r="F34" i="78"/>
  <c r="F62" i="78" s="1"/>
  <c r="M20" i="78"/>
  <c r="F7" i="1"/>
  <c r="G7" i="1" s="1"/>
  <c r="BL398" i="3"/>
  <c r="G399" i="3"/>
  <c r="BL400" i="3"/>
  <c r="G403" i="3"/>
  <c r="G409" i="3"/>
  <c r="BL410" i="3"/>
  <c r="BA412" i="3"/>
  <c r="G413" i="3"/>
  <c r="BL414" i="3"/>
  <c r="G415" i="3"/>
  <c r="BL416" i="3"/>
  <c r="G419" i="3"/>
  <c r="G438" i="3"/>
  <c r="BA441" i="3"/>
  <c r="G442" i="3"/>
  <c r="BA443" i="3"/>
  <c r="G444" i="3"/>
  <c r="BA445" i="3"/>
  <c r="BL445" i="3"/>
  <c r="BL447" i="3"/>
  <c r="G448" i="3"/>
  <c r="BA449" i="3"/>
  <c r="BL449" i="3"/>
  <c r="BA451" i="3"/>
  <c r="BL451" i="3"/>
  <c r="BA452" i="3"/>
  <c r="AZ452" i="3" s="1"/>
  <c r="BA454" i="3"/>
  <c r="BL454" i="3"/>
  <c r="BA455" i="3"/>
  <c r="AZ455" i="3" s="1"/>
  <c r="BA456" i="3"/>
  <c r="AZ456" i="3" s="1"/>
  <c r="BA458" i="3"/>
  <c r="BL458" i="3"/>
  <c r="BL460" i="3"/>
  <c r="G461" i="3"/>
  <c r="BA462" i="3"/>
  <c r="G463" i="3"/>
  <c r="BL464" i="3"/>
  <c r="G465" i="3"/>
  <c r="BL466" i="3"/>
  <c r="BA468" i="3"/>
  <c r="G469" i="3"/>
  <c r="BL470" i="3"/>
  <c r="BL472" i="3"/>
  <c r="G477" i="3"/>
  <c r="G481" i="3"/>
  <c r="BL312" i="3"/>
  <c r="AZ312" i="3" s="1"/>
  <c r="BL314" i="3"/>
  <c r="AZ314" i="3" s="1"/>
  <c r="G315" i="3"/>
  <c r="BA317" i="3"/>
  <c r="AZ317" i="3" s="1"/>
  <c r="G323" i="3"/>
  <c r="BL324" i="3"/>
  <c r="AZ324" i="3" s="1"/>
  <c r="G327" i="3"/>
  <c r="BL333" i="3"/>
  <c r="BA335" i="3"/>
  <c r="AZ335" i="3" s="1"/>
  <c r="BA339" i="3"/>
  <c r="AZ339" i="3" s="1"/>
  <c r="BA352" i="3"/>
  <c r="AZ352" i="3" s="1"/>
  <c r="BL354" i="3"/>
  <c r="BA358" i="3"/>
  <c r="AZ358" i="3" s="1"/>
  <c r="G382" i="3"/>
  <c r="G384" i="3"/>
  <c r="BL385" i="3"/>
  <c r="BA395" i="3"/>
  <c r="G396" i="3"/>
  <c r="BL397" i="3"/>
  <c r="G210" i="3"/>
  <c r="BA211" i="3"/>
  <c r="G212" i="3"/>
  <c r="BA213" i="3"/>
  <c r="BL213" i="3"/>
  <c r="BA215" i="3"/>
  <c r="BL215" i="3"/>
  <c r="BA216" i="3"/>
  <c r="AZ216" i="3" s="1"/>
  <c r="BA218" i="3"/>
  <c r="BL218" i="3"/>
  <c r="BA219" i="3"/>
  <c r="AZ219" i="3" s="1"/>
  <c r="BL221" i="3"/>
  <c r="G222" i="3"/>
  <c r="BL223" i="3"/>
  <c r="G224" i="3"/>
  <c r="BL225" i="3"/>
  <c r="G228" i="3"/>
  <c r="BL229" i="3"/>
  <c r="G230" i="3"/>
  <c r="BL231" i="3"/>
  <c r="BL233" i="3"/>
  <c r="G236" i="3"/>
  <c r="BL237" i="3"/>
  <c r="G259" i="3"/>
  <c r="G263" i="3"/>
  <c r="G267" i="3"/>
  <c r="BL268" i="3"/>
  <c r="BA270" i="3"/>
  <c r="G271" i="3"/>
  <c r="BL272" i="3"/>
  <c r="BA274" i="3"/>
  <c r="G275" i="3"/>
  <c r="BL276" i="3"/>
  <c r="G287" i="3"/>
  <c r="G289" i="3"/>
  <c r="BA290" i="3"/>
  <c r="G291" i="3"/>
  <c r="BL292" i="3"/>
  <c r="BA149" i="3"/>
  <c r="G150" i="3"/>
  <c r="BL151" i="3"/>
  <c r="AZ151" i="3" s="1"/>
  <c r="BA153" i="3"/>
  <c r="BL153" i="3"/>
  <c r="BL155" i="3"/>
  <c r="AZ155" i="3" s="1"/>
  <c r="G156" i="3"/>
  <c r="BA158" i="3"/>
  <c r="BL158" i="3"/>
  <c r="BA160" i="3"/>
  <c r="AZ160" i="3" s="1"/>
  <c r="BA162" i="3"/>
  <c r="G163" i="3"/>
  <c r="G100" i="43"/>
  <c r="G47" i="3"/>
  <c r="BL48" i="3"/>
  <c r="BA50" i="3"/>
  <c r="BL50" i="3"/>
  <c r="BL52" i="3"/>
  <c r="G53" i="3"/>
  <c r="BA54" i="3"/>
  <c r="BL54" i="3"/>
  <c r="BL56" i="3"/>
  <c r="G57" i="3"/>
  <c r="BA58" i="3"/>
  <c r="G59" i="3"/>
  <c r="BL60" i="3"/>
  <c r="BA62" i="3"/>
  <c r="BL62"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BL100" i="3"/>
  <c r="BA102" i="3"/>
  <c r="BL102" i="3"/>
  <c r="BA103" i="3"/>
  <c r="AZ103" i="3" s="1"/>
  <c r="BA105" i="3"/>
  <c r="BL105" i="3"/>
  <c r="BL106" i="3"/>
  <c r="G107" i="3"/>
  <c r="G1" i="78"/>
  <c r="K8" i="1"/>
  <c r="M8" i="1" s="1"/>
  <c r="E7" i="12"/>
  <c r="D3" i="35"/>
  <c r="K9" i="1"/>
  <c r="M9" i="1" s="1"/>
  <c r="F7" i="12"/>
  <c r="BI5" i="3"/>
  <c r="G18" i="3"/>
  <c r="AC14" i="35"/>
  <c r="S14" i="35"/>
  <c r="U33" i="35"/>
  <c r="BA24" i="3"/>
  <c r="BA30" i="3"/>
  <c r="BA32" i="3"/>
  <c r="BJ5" i="3"/>
  <c r="BO5" i="3"/>
  <c r="BE5" i="3"/>
  <c r="BT5" i="3"/>
  <c r="BM5" i="3"/>
  <c r="G34" i="3"/>
  <c r="BF5" i="3"/>
  <c r="BL29" i="3"/>
  <c r="BL27" i="3"/>
  <c r="BL28" i="3"/>
  <c r="G27" i="3"/>
  <c r="E12" i="77" s="1"/>
  <c r="G26" i="3"/>
  <c r="E11" i="77" s="1"/>
  <c r="G24" i="3"/>
  <c r="E9" i="77" s="1"/>
  <c r="BA23" i="3"/>
  <c r="BL23" i="3"/>
  <c r="BG5" i="3"/>
  <c r="BK5" i="3"/>
  <c r="BP5" i="3"/>
  <c r="G29" i="6" s="1"/>
  <c r="BR5" i="3"/>
  <c r="G28" i="6" s="1"/>
  <c r="BA19" i="3"/>
  <c r="BA21" i="3"/>
  <c r="BL18" i="3"/>
  <c r="AZ580" i="3"/>
  <c r="AZ572" i="3"/>
  <c r="AZ574" i="3"/>
  <c r="S12" i="36"/>
  <c r="AA12" i="36"/>
  <c r="F40" i="21"/>
  <c r="H40" i="21"/>
  <c r="AB40" i="21" s="1"/>
  <c r="J40" i="21"/>
  <c r="W40" i="21" s="1"/>
  <c r="E119" i="21"/>
  <c r="F119" i="21" s="1"/>
  <c r="G119" i="21" s="1"/>
  <c r="H119" i="21" s="1"/>
  <c r="I119" i="21" s="1"/>
  <c r="J119" i="21" s="1"/>
  <c r="K119" i="21" s="1"/>
  <c r="L119" i="21" s="1"/>
  <c r="M119" i="21" s="1"/>
  <c r="B71" i="43"/>
  <c r="C21" i="39"/>
  <c r="AA8" i="33"/>
  <c r="S8" i="33"/>
  <c r="H30" i="33"/>
  <c r="AB30" i="33" s="1"/>
  <c r="J30" i="33"/>
  <c r="J46" i="33"/>
  <c r="AC46" i="33" s="1"/>
  <c r="H46" i="33"/>
  <c r="J29" i="34"/>
  <c r="H29" i="34"/>
  <c r="AB29" i="34" s="1"/>
  <c r="H45" i="34"/>
  <c r="U45" i="34" s="1"/>
  <c r="F45" i="34"/>
  <c r="S45" i="34" s="1"/>
  <c r="F13" i="35"/>
  <c r="H13" i="35"/>
  <c r="U13" i="35" s="1"/>
  <c r="J35" i="35"/>
  <c r="AC35" i="35" s="1"/>
  <c r="H35" i="35"/>
  <c r="AA8" i="36"/>
  <c r="S8" i="36"/>
  <c r="AC8" i="36"/>
  <c r="W8" i="36"/>
  <c r="AC25" i="37"/>
  <c r="W25" i="37"/>
  <c r="H14" i="37"/>
  <c r="F14" i="37"/>
  <c r="J14" i="37"/>
  <c r="H38" i="37"/>
  <c r="AB38" i="37" s="1"/>
  <c r="F38" i="37"/>
  <c r="S38" i="37" s="1"/>
  <c r="H25" i="37"/>
  <c r="F25" i="37"/>
  <c r="AA25" i="37" s="1"/>
  <c r="AA44" i="39"/>
  <c r="S44" i="39"/>
  <c r="E91" i="39"/>
  <c r="F17" i="39" s="1"/>
  <c r="F31" i="39"/>
  <c r="J31" i="39"/>
  <c r="E126" i="39"/>
  <c r="F126" i="39" s="1"/>
  <c r="G126" i="39" s="1"/>
  <c r="H126" i="39" s="1"/>
  <c r="I126" i="39" s="1"/>
  <c r="J126" i="39" s="1"/>
  <c r="K126" i="39" s="1"/>
  <c r="L126" i="39" s="1"/>
  <c r="M126" i="39" s="1"/>
  <c r="F42" i="39"/>
  <c r="AA42" i="39" s="1"/>
  <c r="H42" i="39"/>
  <c r="AB42" i="39" s="1"/>
  <c r="H44" i="39"/>
  <c r="J44" i="39"/>
  <c r="AC8" i="40"/>
  <c r="W8" i="40"/>
  <c r="AB34" i="40"/>
  <c r="U34" i="40"/>
  <c r="J12" i="40"/>
  <c r="F12" i="40"/>
  <c r="H36" i="39"/>
  <c r="J36" i="39"/>
  <c r="H23" i="39"/>
  <c r="U23" i="39" s="1"/>
  <c r="G509" i="3"/>
  <c r="AZ377" i="3"/>
  <c r="AZ369" i="3"/>
  <c r="AZ390" i="3"/>
  <c r="AZ364" i="3"/>
  <c r="AZ356" i="3"/>
  <c r="AZ342" i="3"/>
  <c r="AZ336" i="3"/>
  <c r="AZ329" i="3"/>
  <c r="AZ321" i="3"/>
  <c r="AZ341" i="3"/>
  <c r="AZ325" i="3"/>
  <c r="AZ309" i="3"/>
  <c r="W14" i="39"/>
  <c r="W40" i="37"/>
  <c r="AC45" i="33"/>
  <c r="AA13" i="33"/>
  <c r="U33" i="37"/>
  <c r="AZ495" i="3"/>
  <c r="AZ499" i="3"/>
  <c r="AZ503" i="3"/>
  <c r="AZ553" i="3"/>
  <c r="AZ559" i="3"/>
  <c r="AZ567" i="3"/>
  <c r="BL573" i="3"/>
  <c r="AZ573" i="3" s="1"/>
  <c r="BL577" i="3"/>
  <c r="AZ518" i="3"/>
  <c r="AZ538" i="3"/>
  <c r="AZ552" i="3"/>
  <c r="AZ560" i="3"/>
  <c r="AZ568" i="3"/>
  <c r="J41" i="39"/>
  <c r="W41" i="39" s="1"/>
  <c r="W31" i="34"/>
  <c r="U31" i="34"/>
  <c r="F14" i="40"/>
  <c r="H14" i="39"/>
  <c r="AB14" i="39" s="1"/>
  <c r="J38" i="37"/>
  <c r="AC38" i="37" s="1"/>
  <c r="H25" i="35"/>
  <c r="AB25" i="35" s="1"/>
  <c r="J13" i="35"/>
  <c r="AC13" i="35" s="1"/>
  <c r="H47" i="34"/>
  <c r="U47" i="34" s="1"/>
  <c r="F31" i="34"/>
  <c r="S31" i="34" s="1"/>
  <c r="F29" i="34"/>
  <c r="S29" i="34" s="1"/>
  <c r="H13" i="34"/>
  <c r="F44" i="33"/>
  <c r="S44" i="33" s="1"/>
  <c r="F30" i="33"/>
  <c r="H14" i="33"/>
  <c r="U14" i="33" s="1"/>
  <c r="AA29" i="35"/>
  <c r="U23" i="34"/>
  <c r="AB23" i="34"/>
  <c r="AC33" i="37"/>
  <c r="W33" i="37"/>
  <c r="S40" i="39"/>
  <c r="J17" i="39"/>
  <c r="H31" i="39"/>
  <c r="AB31" i="39" s="1"/>
  <c r="S34" i="39"/>
  <c r="F41" i="39"/>
  <c r="F36" i="39"/>
  <c r="BL587" i="3"/>
  <c r="AZ587" i="3" s="1"/>
  <c r="BA586" i="3"/>
  <c r="G23" i="21"/>
  <c r="G20" i="35" s="1"/>
  <c r="I23" i="21"/>
  <c r="G19" i="21"/>
  <c r="G16" i="35" s="1"/>
  <c r="I19" i="2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E117" i="21"/>
  <c r="F117" i="21" s="1"/>
  <c r="G117" i="21" s="1"/>
  <c r="J39" i="21"/>
  <c r="AC39" i="21" s="1"/>
  <c r="H12" i="33"/>
  <c r="AC40" i="33"/>
  <c r="W40" i="33"/>
  <c r="H9" i="33"/>
  <c r="AB9" i="33" s="1"/>
  <c r="F9" i="33"/>
  <c r="H28" i="33"/>
  <c r="U28" i="33" s="1"/>
  <c r="J28" i="33"/>
  <c r="W28" i="33" s="1"/>
  <c r="AC28" i="36"/>
  <c r="W28" i="36"/>
  <c r="H23" i="36"/>
  <c r="AB23" i="36" s="1"/>
  <c r="J23" i="36"/>
  <c r="AC23" i="36" s="1"/>
  <c r="F32" i="36"/>
  <c r="H32" i="36"/>
  <c r="AB32" i="36" s="1"/>
  <c r="J26" i="37"/>
  <c r="H13" i="37"/>
  <c r="J13" i="37"/>
  <c r="W13" i="37" s="1"/>
  <c r="J39" i="37"/>
  <c r="AC39" i="37" s="1"/>
  <c r="F39" i="37"/>
  <c r="J33" i="40"/>
  <c r="H33" i="40"/>
  <c r="F38" i="40"/>
  <c r="J38" i="40"/>
  <c r="AC38" i="40" s="1"/>
  <c r="J40" i="40"/>
  <c r="W40" i="40" s="1"/>
  <c r="F40" i="40"/>
  <c r="AA40" i="40" s="1"/>
  <c r="U42" i="34"/>
  <c r="AB42" i="34"/>
  <c r="G562" i="3"/>
  <c r="G558" i="3"/>
  <c r="C5" i="11"/>
  <c r="G17" i="3"/>
  <c r="G15" i="3"/>
  <c r="A15" i="62"/>
  <c r="B61" i="72"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16" i="3"/>
  <c r="AZ16" i="3" s="1"/>
  <c r="BA437" i="3"/>
  <c r="BL437" i="3"/>
  <c r="BL439" i="3"/>
  <c r="G440" i="3"/>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BL386" i="3"/>
  <c r="G392" i="3"/>
  <c r="BL393" i="3"/>
  <c r="AZ393" i="3" s="1"/>
  <c r="BA396" i="3"/>
  <c r="BL396" i="3"/>
  <c r="BA397" i="3"/>
  <c r="AZ397" i="3" s="1"/>
  <c r="BA209" i="3"/>
  <c r="BL209" i="3"/>
  <c r="BA210" i="3"/>
  <c r="AZ210" i="3" s="1"/>
  <c r="BL212" i="3"/>
  <c r="G213" i="3"/>
  <c r="G215" i="3"/>
  <c r="G218" i="3"/>
  <c r="G221" i="3"/>
  <c r="BL222" i="3"/>
  <c r="G223" i="3"/>
  <c r="BA224" i="3"/>
  <c r="BL224" i="3"/>
  <c r="BA225" i="3"/>
  <c r="AZ225" i="3" s="1"/>
  <c r="BA227" i="3"/>
  <c r="BL227" i="3"/>
  <c r="BL228" i="3"/>
  <c r="G229" i="3"/>
  <c r="BA230" i="3"/>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BA124" i="3"/>
  <c r="AZ124" i="3" s="1"/>
  <c r="G134" i="3"/>
  <c r="G136" i="3"/>
  <c r="BL137" i="3"/>
  <c r="G138" i="3"/>
  <c r="G140" i="3"/>
  <c r="BL141" i="3"/>
  <c r="G142" i="3"/>
  <c r="G144" i="3"/>
  <c r="BL145" i="3"/>
  <c r="G146" i="3"/>
  <c r="BL147" i="3"/>
  <c r="AZ147" i="3" s="1"/>
  <c r="G148" i="3"/>
  <c r="BA150" i="3"/>
  <c r="BL150" i="3"/>
  <c r="BA152" i="3"/>
  <c r="AZ152" i="3" s="1"/>
  <c r="G155" i="3"/>
  <c r="G158" i="3"/>
  <c r="BA161" i="3"/>
  <c r="BL161" i="3"/>
  <c r="BL163" i="3"/>
  <c r="AZ163" i="3" s="1"/>
  <c r="G164" i="3"/>
  <c r="BA166" i="3"/>
  <c r="BL166" i="3"/>
  <c r="BA168" i="3"/>
  <c r="AZ168" i="3" s="1"/>
  <c r="G171" i="3"/>
  <c r="G50" i="3"/>
  <c r="G52" i="3"/>
  <c r="BL53" i="3"/>
  <c r="G54" i="3"/>
  <c r="G56" i="3"/>
  <c r="BA57" i="3"/>
  <c r="BL57" i="3"/>
  <c r="BA59" i="3"/>
  <c r="BL59" i="3"/>
  <c r="BA60" i="3"/>
  <c r="AZ60" i="3" s="1"/>
  <c r="BA61"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1" i="1"/>
  <c r="M100" i="43"/>
  <c r="I100" i="43"/>
  <c r="E100" i="43"/>
  <c r="BL171" i="3"/>
  <c r="AZ171" i="3" s="1"/>
  <c r="G172" i="3"/>
  <c r="BA174" i="3"/>
  <c r="BL174" i="3"/>
  <c r="BA176" i="3"/>
  <c r="AZ176" i="3" s="1"/>
  <c r="G179" i="3"/>
  <c r="G182" i="3"/>
  <c r="BA185" i="3"/>
  <c r="BL185" i="3"/>
  <c r="BL187" i="3"/>
  <c r="AZ187" i="3" s="1"/>
  <c r="G188" i="3"/>
  <c r="BA190" i="3"/>
  <c r="BL190" i="3"/>
  <c r="BA192" i="3"/>
  <c r="AZ192" i="3" s="1"/>
  <c r="G195" i="3"/>
  <c r="G198" i="3"/>
  <c r="BA201" i="3"/>
  <c r="BL201" i="3"/>
  <c r="BL203" i="3"/>
  <c r="AZ203" i="3" s="1"/>
  <c r="G204" i="3"/>
  <c r="BL205" i="3"/>
  <c r="G206" i="3"/>
  <c r="BA207" i="3"/>
  <c r="BL207" i="3"/>
  <c r="BA18" i="3"/>
  <c r="AZ18" i="3" s="1"/>
  <c r="BA20" i="3"/>
  <c r="BL20" i="3"/>
  <c r="BL22" i="3"/>
  <c r="G23" i="3"/>
  <c r="E8" i="77" s="1"/>
  <c r="G25" i="3"/>
  <c r="E10" i="77" s="1"/>
  <c r="BA26" i="3"/>
  <c r="BL26" i="3"/>
  <c r="BA27" i="3"/>
  <c r="BA29" i="3"/>
  <c r="AZ29" i="3" s="1"/>
  <c r="BA31" i="3"/>
  <c r="AZ31" i="3" s="1"/>
  <c r="BL31" i="3"/>
  <c r="BA33" i="3"/>
  <c r="AZ33" i="3" s="1"/>
  <c r="BL33" i="3"/>
  <c r="BL34" i="3"/>
  <c r="G35" i="3"/>
  <c r="E13" i="77" s="1"/>
  <c r="BL37" i="3"/>
  <c r="G38" i="3"/>
  <c r="G40" i="3"/>
  <c r="BA41" i="3"/>
  <c r="BL41" i="3"/>
  <c r="BA43" i="3"/>
  <c r="BL43" i="3"/>
  <c r="BA44" i="3"/>
  <c r="AZ44" i="3" s="1"/>
  <c r="BA45" i="3"/>
  <c r="AZ45" i="3" s="1"/>
  <c r="BA47" i="3"/>
  <c r="BL47" i="3"/>
  <c r="BA48" i="3"/>
  <c r="AZ48" i="3" s="1"/>
  <c r="J51" i="15"/>
  <c r="S42" i="21"/>
  <c r="AC35" i="21"/>
  <c r="U34" i="21"/>
  <c r="U43" i="21"/>
  <c r="G81" i="21"/>
  <c r="H19" i="21"/>
  <c r="F6" i="1"/>
  <c r="E20" i="6"/>
  <c r="D7" i="12" s="1"/>
  <c r="J27" i="39"/>
  <c r="J23" i="39"/>
  <c r="S42" i="39"/>
  <c r="U40" i="39"/>
  <c r="U9" i="39"/>
  <c r="BC5" i="3"/>
  <c r="BH5" i="3"/>
  <c r="BD5" i="3"/>
  <c r="BL16" i="3"/>
  <c r="BS5" i="3"/>
  <c r="F28" i="6" s="1"/>
  <c r="F29" i="6"/>
  <c r="AZ326" i="3"/>
  <c r="AZ311" i="3"/>
  <c r="AZ372" i="3"/>
  <c r="AZ347" i="3"/>
  <c r="AZ344" i="3"/>
  <c r="AZ337" i="3"/>
  <c r="AZ320" i="3"/>
  <c r="AZ313" i="3"/>
  <c r="AZ305" i="3"/>
  <c r="AZ362" i="3"/>
  <c r="AZ569" i="3"/>
  <c r="AZ577" i="3"/>
  <c r="AZ557" i="3"/>
  <c r="AZ516" i="3"/>
  <c r="AZ524" i="3"/>
  <c r="AZ532" i="3"/>
  <c r="AZ536" i="3"/>
  <c r="AZ544" i="3"/>
  <c r="AZ554" i="3"/>
  <c r="AZ558" i="3"/>
  <c r="AZ582" i="3"/>
  <c r="S11" i="36"/>
  <c r="AB26" i="33"/>
  <c r="AB11" i="35"/>
  <c r="AA44" i="33"/>
  <c r="S10" i="37"/>
  <c r="S10" i="36"/>
  <c r="F33" i="36"/>
  <c r="AA33" i="36" s="1"/>
  <c r="W32" i="40"/>
  <c r="AC40" i="40"/>
  <c r="W33" i="33"/>
  <c r="S34" i="34"/>
  <c r="S41" i="21"/>
  <c r="F12" i="21"/>
  <c r="J12" i="21"/>
  <c r="AC12" i="21" s="1"/>
  <c r="J26" i="33"/>
  <c r="AC26" i="33" s="1"/>
  <c r="F26" i="33"/>
  <c r="F9" i="34"/>
  <c r="J12" i="34"/>
  <c r="F12" i="34"/>
  <c r="H36" i="35"/>
  <c r="AB36" i="35" s="1"/>
  <c r="J36" i="35"/>
  <c r="AA27" i="35"/>
  <c r="S27" i="35"/>
  <c r="F9" i="36"/>
  <c r="AA9" i="36" s="1"/>
  <c r="J12" i="36"/>
  <c r="H12" i="36"/>
  <c r="H35" i="39"/>
  <c r="AB35" i="39" s="1"/>
  <c r="AB9" i="40"/>
  <c r="U9" i="40"/>
  <c r="AB38" i="40"/>
  <c r="U38" i="40"/>
  <c r="AZ521" i="3"/>
  <c r="AZ581" i="3"/>
  <c r="BL586" i="3"/>
  <c r="AZ586" i="3" s="1"/>
  <c r="AZ585" i="3"/>
  <c r="AC9" i="34"/>
  <c r="W9" i="34"/>
  <c r="AC28" i="35"/>
  <c r="W28" i="35"/>
  <c r="AA34" i="35"/>
  <c r="S34" i="35"/>
  <c r="H23" i="35"/>
  <c r="J23" i="35"/>
  <c r="AB9" i="36"/>
  <c r="U9" i="36"/>
  <c r="J24" i="36"/>
  <c r="H24" i="36"/>
  <c r="AB24" i="36" s="1"/>
  <c r="AB31" i="36"/>
  <c r="U31" i="36"/>
  <c r="AB14" i="37"/>
  <c r="U14" i="37"/>
  <c r="H45" i="39"/>
  <c r="J45" i="39"/>
  <c r="AC31" i="40"/>
  <c r="W31" i="40"/>
  <c r="AA38" i="40"/>
  <c r="S38" i="40"/>
  <c r="J39" i="40"/>
  <c r="AC39" i="40" s="1"/>
  <c r="H39" i="40"/>
  <c r="U41" i="21"/>
  <c r="AB41" i="21"/>
  <c r="AA40" i="33"/>
  <c r="S40" i="33"/>
  <c r="AA30" i="36"/>
  <c r="S30" i="36"/>
  <c r="AZ402" i="3"/>
  <c r="AZ418" i="3"/>
  <c r="AZ434"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582" i="3"/>
  <c r="G566" i="3"/>
  <c r="G552" i="3"/>
  <c r="BA551" i="3"/>
  <c r="G551" i="3"/>
  <c r="BL550" i="3"/>
  <c r="BA550" i="3"/>
  <c r="BL548" i="3"/>
  <c r="AZ548" i="3" s="1"/>
  <c r="G526" i="3"/>
  <c r="G14" i="3"/>
  <c r="BL15" i="3"/>
  <c r="AZ15" i="3" s="1"/>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G428" i="3"/>
  <c r="BL428" i="3"/>
  <c r="BA429" i="3"/>
  <c r="AZ429" i="3" s="1"/>
  <c r="BA430" i="3"/>
  <c r="AZ430" i="3" s="1"/>
  <c r="G433" i="3"/>
  <c r="BL433" i="3"/>
  <c r="AZ433" i="3" s="1"/>
  <c r="BL435" i="3"/>
  <c r="AZ435" i="3" s="1"/>
  <c r="BA436" i="3"/>
  <c r="AZ436" i="3" s="1"/>
  <c r="BL438" i="3"/>
  <c r="AZ438" i="3" s="1"/>
  <c r="BA439" i="3"/>
  <c r="AZ439" i="3" s="1"/>
  <c r="BA440" i="3"/>
  <c r="AZ440" i="3" s="1"/>
  <c r="AZ442" i="3"/>
  <c r="AZ451" i="3"/>
  <c r="AZ454" i="3"/>
  <c r="AZ458" i="3"/>
  <c r="AZ468" i="3"/>
  <c r="AZ469" i="3"/>
  <c r="AZ487" i="3"/>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AZ274" i="3"/>
  <c r="AZ293"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AZ172" i="3" s="1"/>
  <c r="BL173" i="3"/>
  <c r="AZ173" i="3" s="1"/>
  <c r="G176" i="3"/>
  <c r="BL178" i="3"/>
  <c r="AZ178" i="3" s="1"/>
  <c r="BA180" i="3"/>
  <c r="AZ180" i="3" s="1"/>
  <c r="BL181" i="3"/>
  <c r="G184" i="3"/>
  <c r="BL186" i="3"/>
  <c r="AZ186" i="3" s="1"/>
  <c r="BA188" i="3"/>
  <c r="AZ188" i="3" s="1"/>
  <c r="BL189" i="3"/>
  <c r="AZ189" i="3" s="1"/>
  <c r="G192" i="3"/>
  <c r="BL194" i="3"/>
  <c r="AZ194" i="3" s="1"/>
  <c r="BA196" i="3"/>
  <c r="AZ196" i="3" s="1"/>
  <c r="BL197" i="3"/>
  <c r="G200" i="3"/>
  <c r="BL202" i="3"/>
  <c r="AZ202" i="3" s="1"/>
  <c r="BA204" i="3"/>
  <c r="AZ204" i="3" s="1"/>
  <c r="BA205" i="3"/>
  <c r="AZ205" i="3" s="1"/>
  <c r="BA206" i="3"/>
  <c r="AZ206" i="3" s="1"/>
  <c r="G19" i="3"/>
  <c r="BL19" i="3"/>
  <c r="AZ19" i="3" s="1"/>
  <c r="BL21" i="3"/>
  <c r="AZ21" i="3" s="1"/>
  <c r="BA22" i="3"/>
  <c r="BL24" i="3"/>
  <c r="AZ24" i="3" s="1"/>
  <c r="BA25" i="3"/>
  <c r="AZ25" i="3" s="1"/>
  <c r="G29" i="3"/>
  <c r="G30" i="3"/>
  <c r="BL30" i="3"/>
  <c r="AZ30" i="3" s="1"/>
  <c r="BL32" i="3"/>
  <c r="AZ32" i="3" s="1"/>
  <c r="BA34" i="3"/>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49"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W26" i="33"/>
  <c r="W27" i="34"/>
  <c r="AC27" i="34"/>
  <c r="AB34" i="36"/>
  <c r="U34" i="36"/>
  <c r="AB33" i="36"/>
  <c r="U33" i="36"/>
  <c r="AC12" i="39"/>
  <c r="W12" i="39"/>
  <c r="W39" i="40"/>
  <c r="AZ412" i="3"/>
  <c r="AZ428" i="3"/>
  <c r="AZ465" i="3"/>
  <c r="W12" i="33"/>
  <c r="AC12" i="33"/>
  <c r="AA32" i="36"/>
  <c r="S32" i="36"/>
  <c r="AZ551" i="3"/>
  <c r="AZ408" i="3"/>
  <c r="AZ437" i="3"/>
  <c r="AZ441" i="3"/>
  <c r="AZ457" i="3"/>
  <c r="AZ490" i="3"/>
  <c r="AA39" i="34"/>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65" i="3"/>
  <c r="AZ181" i="3"/>
  <c r="AZ197" i="3"/>
  <c r="AZ35" i="3"/>
  <c r="AZ41" i="3"/>
  <c r="S12" i="1"/>
  <c r="R12" i="1"/>
  <c r="B12" i="1"/>
  <c r="E12" i="1" s="1"/>
  <c r="S10" i="1"/>
  <c r="R10" i="1"/>
  <c r="B10" i="1"/>
  <c r="E10" i="1" s="1"/>
  <c r="D1" i="66"/>
  <c r="E10" i="66" s="1"/>
  <c r="AZ80" i="3"/>
  <c r="AZ84" i="3"/>
  <c r="AZ107" i="3"/>
  <c r="AZ111" i="3"/>
  <c r="K12" i="1"/>
  <c r="M12" i="1" s="1"/>
  <c r="O12" i="1" s="1"/>
  <c r="P12" i="1" s="1"/>
  <c r="S13" i="1"/>
  <c r="R13" i="1"/>
  <c r="S11" i="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BL17" i="3"/>
  <c r="AZ17" i="3" s="1"/>
  <c r="BL13" i="3"/>
  <c r="J56" i="9"/>
  <c r="J57" i="9" s="1"/>
  <c r="A24" i="51"/>
  <c r="B18" i="72" s="1"/>
  <c r="U29" i="34"/>
  <c r="P10" i="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7" i="15"/>
  <c r="F6" i="67"/>
  <c r="M9" i="67"/>
  <c r="M24" i="67"/>
  <c r="F37" i="15"/>
  <c r="M22" i="67"/>
  <c r="F7" i="78"/>
  <c r="F38" i="15"/>
  <c r="M23" i="67"/>
  <c r="F36" i="67"/>
  <c r="F37" i="67"/>
  <c r="G1" i="73"/>
  <c r="F13" i="67"/>
  <c r="F16" i="67"/>
  <c r="J15" i="67"/>
  <c r="F9" i="15"/>
  <c r="F36" i="15"/>
  <c r="F9" i="67"/>
  <c r="F16" i="15"/>
  <c r="M26" i="15"/>
  <c r="F13" i="15"/>
  <c r="L47" i="67"/>
  <c r="M29" i="78"/>
  <c r="F6" i="15"/>
  <c r="M9" i="15"/>
  <c r="M26" i="67"/>
  <c r="M28" i="15"/>
  <c r="F43" i="67"/>
  <c r="F8" i="15"/>
  <c r="F43" i="78"/>
  <c r="F26" i="15"/>
  <c r="C76" i="67"/>
  <c r="AA17" i="39" l="1"/>
  <c r="S17" i="39"/>
  <c r="AZ550" i="3"/>
  <c r="AZ26" i="3"/>
  <c r="AC34" i="35"/>
  <c r="W34" i="35"/>
  <c r="C7" i="43"/>
  <c r="AZ102" i="3"/>
  <c r="AZ100" i="3"/>
  <c r="AZ89" i="3"/>
  <c r="AZ76" i="3"/>
  <c r="AZ54" i="3"/>
  <c r="AZ50" i="3"/>
  <c r="AZ158" i="3"/>
  <c r="AZ153" i="3"/>
  <c r="AZ215" i="3"/>
  <c r="AZ449" i="3"/>
  <c r="AZ445" i="3"/>
  <c r="AZ491" i="3"/>
  <c r="S12" i="35"/>
  <c r="AA12" i="35"/>
  <c r="AZ27" i="3"/>
  <c r="F53" i="9"/>
  <c r="F32" i="78"/>
  <c r="F60" i="78" s="1"/>
  <c r="F28" i="78"/>
  <c r="C28" i="78" s="1"/>
  <c r="M18" i="78"/>
  <c r="E3" i="77"/>
  <c r="S40" i="40"/>
  <c r="AZ20" i="3"/>
  <c r="AZ190" i="3"/>
  <c r="AZ185" i="3"/>
  <c r="AZ59" i="3"/>
  <c r="AZ57" i="3"/>
  <c r="AZ150" i="3"/>
  <c r="AZ291" i="3"/>
  <c r="AZ262" i="3"/>
  <c r="AZ258" i="3"/>
  <c r="AZ230" i="3"/>
  <c r="AZ227" i="3"/>
  <c r="AZ396" i="3"/>
  <c r="AZ386" i="3"/>
  <c r="AZ480" i="3"/>
  <c r="AZ476" i="3"/>
  <c r="E4" i="77"/>
  <c r="E6" i="77"/>
  <c r="AZ182" i="3"/>
  <c r="AZ177" i="3"/>
  <c r="AC35" i="39"/>
  <c r="W35" i="39"/>
  <c r="AZ105" i="3"/>
  <c r="AZ85" i="3"/>
  <c r="AZ62" i="3"/>
  <c r="AZ218" i="3"/>
  <c r="AA35" i="39"/>
  <c r="S35" i="39"/>
  <c r="F71" i="78"/>
  <c r="M7" i="78"/>
  <c r="F50" i="78"/>
  <c r="AZ34" i="3"/>
  <c r="AZ23" i="3"/>
  <c r="T12" i="1"/>
  <c r="AZ22" i="3"/>
  <c r="E28" i="6"/>
  <c r="F30" i="6"/>
  <c r="E29" i="6"/>
  <c r="U33" i="40"/>
  <c r="AB33" i="40"/>
  <c r="S39" i="37"/>
  <c r="AA39" i="37"/>
  <c r="AC26" i="37"/>
  <c r="W26" i="37"/>
  <c r="S41" i="39"/>
  <c r="AA41" i="39"/>
  <c r="AC36" i="39"/>
  <c r="W36" i="39"/>
  <c r="S12" i="40"/>
  <c r="AA12" i="40"/>
  <c r="AC44" i="39"/>
  <c r="W44" i="39"/>
  <c r="AA31" i="39"/>
  <c r="S31" i="39"/>
  <c r="F91" i="39"/>
  <c r="G91" i="39" s="1"/>
  <c r="H17" i="39"/>
  <c r="U25" i="37"/>
  <c r="AB25" i="37"/>
  <c r="S14" i="37"/>
  <c r="AA14" i="37"/>
  <c r="AB35" i="35"/>
  <c r="U35" i="35"/>
  <c r="AB46" i="33"/>
  <c r="U46" i="33"/>
  <c r="AZ47" i="3"/>
  <c r="AZ43" i="3"/>
  <c r="AZ207" i="3"/>
  <c r="AZ201" i="3"/>
  <c r="AZ174" i="3"/>
  <c r="AZ95" i="3"/>
  <c r="AZ71" i="3"/>
  <c r="AZ67" i="3"/>
  <c r="AZ65" i="3"/>
  <c r="AZ61" i="3"/>
  <c r="AZ166" i="3"/>
  <c r="AZ161" i="3"/>
  <c r="AZ288" i="3"/>
  <c r="AZ275" i="3"/>
  <c r="AZ271" i="3"/>
  <c r="AZ235" i="3"/>
  <c r="AZ209" i="3"/>
  <c r="AZ461" i="3"/>
  <c r="AZ415" i="3"/>
  <c r="W33" i="40"/>
  <c r="AC33" i="40"/>
  <c r="AB13" i="37"/>
  <c r="U13" i="37"/>
  <c r="AA9" i="33"/>
  <c r="S9" i="33"/>
  <c r="U12" i="33"/>
  <c r="AB12" i="33"/>
  <c r="AA34" i="21"/>
  <c r="S34" i="21"/>
  <c r="S36" i="39"/>
  <c r="AA36" i="39"/>
  <c r="U13" i="34"/>
  <c r="AB13" i="34"/>
  <c r="AA14" i="40"/>
  <c r="S14" i="40"/>
  <c r="AB36" i="39"/>
  <c r="U36" i="39"/>
  <c r="W12" i="40"/>
  <c r="AC12" i="40"/>
  <c r="U44" i="39"/>
  <c r="AB44" i="39"/>
  <c r="AC14" i="37"/>
  <c r="W14" i="37"/>
  <c r="S13" i="35"/>
  <c r="AA13" i="35"/>
  <c r="AA40" i="21"/>
  <c r="S40" i="21"/>
  <c r="AB19" i="21"/>
  <c r="U19" i="21"/>
  <c r="W17" i="21"/>
  <c r="AC27" i="39"/>
  <c r="W27" i="39"/>
  <c r="AC23" i="39"/>
  <c r="W23" i="39"/>
  <c r="T10" i="1"/>
  <c r="G30" i="6"/>
  <c r="G31" i="6" s="1"/>
  <c r="C4" i="4"/>
  <c r="B4" i="62" s="1"/>
  <c r="B71" i="72" s="1"/>
  <c r="E4" i="4"/>
  <c r="B5" i="62" s="1"/>
  <c r="B73" i="72" s="1"/>
  <c r="U39" i="40"/>
  <c r="AB39" i="40"/>
  <c r="W45" i="39"/>
  <c r="AC45" i="39"/>
  <c r="AC23" i="35"/>
  <c r="W23" i="35"/>
  <c r="U12" i="36"/>
  <c r="AB12" i="36"/>
  <c r="W12" i="34"/>
  <c r="AC12" i="34"/>
  <c r="AA26" i="33"/>
  <c r="S26" i="33"/>
  <c r="AB45" i="39"/>
  <c r="U45" i="39"/>
  <c r="AC24" i="36"/>
  <c r="W24" i="36"/>
  <c r="U23" i="35"/>
  <c r="AB23" i="35"/>
  <c r="AC12" i="36"/>
  <c r="W12" i="36"/>
  <c r="AC36" i="35"/>
  <c r="W36" i="35"/>
  <c r="S12" i="34"/>
  <c r="AA12" i="34"/>
  <c r="AA9" i="34"/>
  <c r="S9" i="34"/>
  <c r="S12" i="21"/>
  <c r="AA12" i="21"/>
  <c r="N59" i="67"/>
  <c r="L59" i="67" s="1"/>
  <c r="M59" i="67"/>
  <c r="M59" i="15"/>
  <c r="J53" i="67"/>
  <c r="N59" i="15"/>
  <c r="F30" i="68"/>
  <c r="C30" i="68" s="1"/>
  <c r="F30" i="11"/>
  <c r="C48" i="11" s="1"/>
  <c r="F28" i="67"/>
  <c r="C28" i="67" s="1"/>
  <c r="F31" i="12"/>
  <c r="F52" i="9"/>
  <c r="M18" i="67"/>
  <c r="F32" i="67"/>
  <c r="F60" i="67" s="1"/>
  <c r="F30" i="69"/>
  <c r="C48" i="69" s="1"/>
  <c r="F32" i="15"/>
  <c r="F60" i="15" s="1"/>
  <c r="M18" i="15"/>
  <c r="F28" i="15"/>
  <c r="C28" i="15" s="1"/>
  <c r="T11" i="1"/>
  <c r="D68" i="39"/>
  <c r="D70" i="39" s="1"/>
  <c r="P24" i="43"/>
  <c r="B66" i="40" s="1"/>
  <c r="T13" i="1"/>
  <c r="C77" i="9"/>
  <c r="C74" i="9" s="1"/>
  <c r="C30" i="69"/>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L5" i="3"/>
  <c r="P21" i="43"/>
  <c r="M20" i="43"/>
  <c r="C19" i="43" s="1"/>
  <c r="J59" i="9"/>
  <c r="J61" i="9" s="1"/>
  <c r="R22" i="31"/>
  <c r="B21" i="31" s="1"/>
  <c r="B40" i="1"/>
  <c r="F24" i="78"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F71" i="67"/>
  <c r="Q71" i="67"/>
  <c r="F64" i="67"/>
  <c r="F65" i="67"/>
  <c r="C27" i="15"/>
  <c r="F64" i="15"/>
  <c r="F51" i="15"/>
  <c r="F65" i="15"/>
  <c r="F66" i="15"/>
  <c r="C10" i="67"/>
  <c r="AP7" i="1"/>
  <c r="M7" i="1"/>
  <c r="AB45" i="21"/>
  <c r="AC33" i="21"/>
  <c r="W33" i="21"/>
  <c r="S33" i="21"/>
  <c r="AA33" i="21"/>
  <c r="W32" i="21"/>
  <c r="AC32" i="21"/>
  <c r="AB9" i="21"/>
  <c r="U9" i="21"/>
  <c r="AA32" i="21"/>
  <c r="S32" i="21"/>
  <c r="W9" i="21"/>
  <c r="AC9" i="21"/>
  <c r="AB32" i="21"/>
  <c r="U32" i="21"/>
  <c r="AA10" i="21"/>
  <c r="S10" i="21"/>
  <c r="M17" i="67"/>
  <c r="F59" i="67"/>
  <c r="M17" i="15"/>
  <c r="F31" i="15"/>
  <c r="F59" i="15"/>
  <c r="F31" i="67"/>
  <c r="M27" i="78"/>
  <c r="F37" i="78"/>
  <c r="F26" i="78"/>
  <c r="M8" i="78"/>
  <c r="M29" i="67"/>
  <c r="F6" i="78"/>
  <c r="F38" i="78"/>
  <c r="L47" i="78"/>
  <c r="F8" i="78"/>
  <c r="M26" i="78"/>
  <c r="F40" i="67"/>
  <c r="F36" i="78"/>
  <c r="F42" i="67"/>
  <c r="C76" i="15"/>
  <c r="F40" i="15"/>
  <c r="C16" i="67"/>
  <c r="M6" i="78"/>
  <c r="C76" i="78"/>
  <c r="M22" i="78"/>
  <c r="F7" i="15"/>
  <c r="F7" i="67"/>
  <c r="F8" i="67"/>
  <c r="M8" i="15"/>
  <c r="M24" i="15"/>
  <c r="F42" i="15"/>
  <c r="J15" i="15"/>
  <c r="F38" i="67"/>
  <c r="L48" i="67"/>
  <c r="F9" i="78"/>
  <c r="M23" i="15"/>
  <c r="J15" i="78"/>
  <c r="F40" i="78"/>
  <c r="F13" i="78"/>
  <c r="M28" i="78"/>
  <c r="M24" i="78"/>
  <c r="M29" i="15"/>
  <c r="M6" i="67"/>
  <c r="F42" i="78"/>
  <c r="L48" i="15"/>
  <c r="M28" i="67"/>
  <c r="M23" i="78"/>
  <c r="M22" i="15"/>
  <c r="L48" i="78"/>
  <c r="F16" i="78"/>
  <c r="F26" i="67"/>
  <c r="M9" i="78"/>
  <c r="C16" i="15"/>
  <c r="M8" i="67"/>
  <c r="F43" i="15"/>
  <c r="M6" i="15"/>
  <c r="L57" i="78" l="1"/>
  <c r="J53" i="78"/>
  <c r="L60" i="78"/>
  <c r="L56" i="78"/>
  <c r="J60" i="78"/>
  <c r="Q48" i="78" s="1"/>
  <c r="J59" i="78"/>
  <c r="I54" i="78"/>
  <c r="J57" i="78"/>
  <c r="J55" i="78" s="1"/>
  <c r="J58" i="78" s="1"/>
  <c r="Q50" i="78" s="1"/>
  <c r="L58" i="78"/>
  <c r="N59" i="78"/>
  <c r="M59" i="78"/>
  <c r="L59" i="78" s="1"/>
  <c r="C27" i="78"/>
  <c r="F65" i="78"/>
  <c r="C6" i="78"/>
  <c r="C10" i="78"/>
  <c r="F66" i="78"/>
  <c r="Q71" i="78"/>
  <c r="F68" i="78"/>
  <c r="F51" i="78"/>
  <c r="F64" i="78"/>
  <c r="C49" i="78"/>
  <c r="C48" i="78" s="1"/>
  <c r="C60" i="78" s="1"/>
  <c r="J6" i="78"/>
  <c r="J10" i="78"/>
  <c r="C10" i="15"/>
  <c r="C24" i="78"/>
  <c r="K15" i="1"/>
  <c r="E30" i="6"/>
  <c r="K14" i="1"/>
  <c r="M14" i="1" s="1"/>
  <c r="C27" i="67"/>
  <c r="L58" i="67"/>
  <c r="Q73" i="67" s="1"/>
  <c r="I54" i="67"/>
  <c r="J57" i="67"/>
  <c r="J55" i="67" s="1"/>
  <c r="J58" i="67" s="1"/>
  <c r="Q50" i="67" s="1"/>
  <c r="L56" i="67"/>
  <c r="I54" i="15"/>
  <c r="J57" i="15"/>
  <c r="J55" i="15" s="1"/>
  <c r="J58" i="15" s="1"/>
  <c r="Q50" i="15" s="1"/>
  <c r="L58" i="15"/>
  <c r="Q73" i="15" s="1"/>
  <c r="J53" i="15"/>
  <c r="L56" i="15" s="1"/>
  <c r="F68" i="67"/>
  <c r="F68" i="15"/>
  <c r="Q71" i="15"/>
  <c r="F50" i="67"/>
  <c r="M7" i="67"/>
  <c r="J6" i="67" s="1"/>
  <c r="F70" i="67"/>
  <c r="F51" i="67"/>
  <c r="C6" i="67"/>
  <c r="C5" i="67" s="1"/>
  <c r="C32" i="67" s="1"/>
  <c r="F66" i="67"/>
  <c r="M7" i="15"/>
  <c r="J10" i="15" s="1"/>
  <c r="C6" i="15"/>
  <c r="C5" i="15" s="1"/>
  <c r="C32" i="15" s="1"/>
  <c r="F50" i="15"/>
  <c r="C49" i="15" s="1"/>
  <c r="F71" i="15"/>
  <c r="AB17" i="39"/>
  <c r="U17" i="39"/>
  <c r="C48" i="68"/>
  <c r="K4" i="4"/>
  <c r="B46" i="48" s="1"/>
  <c r="B4" i="72" s="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67"/>
  <c r="Q74" i="67"/>
  <c r="F1" i="67"/>
  <c r="Q52" i="67"/>
  <c r="C16" i="78"/>
  <c r="C5" i="78" l="1"/>
  <c r="C38" i="78" s="1"/>
  <c r="C66" i="78"/>
  <c r="C32" i="78"/>
  <c r="Q74" i="78"/>
  <c r="Q61" i="78"/>
  <c r="Q73" i="78"/>
  <c r="Q60" i="78"/>
  <c r="Q52" i="78"/>
  <c r="F1" i="78"/>
  <c r="L46" i="78"/>
  <c r="Q57" i="78"/>
  <c r="Q66" i="78"/>
  <c r="J5" i="78"/>
  <c r="J18" i="78" s="1"/>
  <c r="J6" i="15"/>
  <c r="J5" i="15" s="1"/>
  <c r="Q52" i="15"/>
  <c r="Q60" i="67"/>
  <c r="Q60" i="15"/>
  <c r="F1" i="15"/>
  <c r="C49" i="67"/>
  <c r="Q61" i="15"/>
  <c r="E37" i="43"/>
  <c r="AA7" i="36"/>
  <c r="R36" i="36" s="1"/>
  <c r="E36" i="36" s="1"/>
  <c r="E40" i="36" s="1"/>
  <c r="F40" i="36" s="1"/>
  <c r="AC11" i="37"/>
  <c r="W11" i="37"/>
  <c r="AB7" i="37"/>
  <c r="T42" i="37" s="1"/>
  <c r="G42" i="37" s="1"/>
  <c r="G46" i="37" s="1"/>
  <c r="H46" i="37" s="1"/>
  <c r="W11" i="34"/>
  <c r="AC11" i="34"/>
  <c r="J5" i="67"/>
  <c r="AB7" i="36"/>
  <c r="T36" i="36" s="1"/>
  <c r="C38" i="15"/>
  <c r="E38" i="4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F50" i="11"/>
  <c r="F50" i="69"/>
  <c r="F50" i="68"/>
  <c r="J26" i="78" l="1"/>
  <c r="J24" i="78"/>
  <c r="J24" i="67"/>
  <c r="J18" i="67"/>
  <c r="J24" i="15"/>
  <c r="J18" i="15"/>
  <c r="G36" i="36"/>
  <c r="R37" i="36"/>
  <c r="AB7" i="34"/>
  <c r="T49" i="34" s="1"/>
  <c r="G49" i="34" s="1"/>
  <c r="G53" i="34" s="1"/>
  <c r="H53" i="34" s="1"/>
  <c r="W7" i="21"/>
  <c r="AA7" i="21"/>
  <c r="U7" i="2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G54" i="34" l="1"/>
  <c r="H54" i="34" s="1"/>
  <c r="C37" i="36"/>
  <c r="C36" i="36"/>
  <c r="G40" i="36"/>
  <c r="H40" i="36" s="1"/>
  <c r="E41" i="36"/>
  <c r="F41" i="36" s="1"/>
  <c r="G41" i="36"/>
  <c r="H41" i="36" s="1"/>
  <c r="C19"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M21" i="67"/>
  <c r="F35" i="67"/>
  <c r="F63" i="67" l="1"/>
  <c r="C62" i="67" s="1"/>
  <c r="C34" i="67"/>
  <c r="J20" i="67"/>
  <c r="C24" i="68"/>
  <c r="I63" i="40"/>
  <c r="H65" i="40"/>
  <c r="I70" i="39"/>
  <c r="J63" i="40" l="1"/>
  <c r="I65" i="40"/>
  <c r="J70" i="39"/>
  <c r="K63" i="40" l="1"/>
  <c r="J65" i="40"/>
  <c r="K70" i="39"/>
  <c r="L63" i="40" l="1"/>
  <c r="K65" i="40"/>
  <c r="L70" i="39"/>
  <c r="C17" i="67"/>
  <c r="M63" i="40" l="1"/>
  <c r="L65" i="40"/>
  <c r="M70" i="39"/>
  <c r="N63" i="40" l="1"/>
  <c r="M65" i="40"/>
  <c r="O70" i="39"/>
  <c r="N70" i="39"/>
  <c r="O63" i="40" l="1"/>
  <c r="O65" i="40" s="1"/>
  <c r="N65" i="40"/>
  <c r="C14" i="67"/>
  <c r="F7" i="40" l="1"/>
  <c r="H7" i="40"/>
  <c r="J7" i="40"/>
  <c r="C15" i="67"/>
  <c r="C18" i="67"/>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B57" i="40"/>
  <c r="B58" i="40"/>
  <c r="B59" i="40"/>
  <c r="B52" i="40"/>
  <c r="F52" i="40" s="1"/>
  <c r="B56" i="40"/>
  <c r="B51" i="40"/>
  <c r="B54" i="40"/>
  <c r="F54" i="40" s="1"/>
  <c r="C64" i="67" l="1"/>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F41" i="78"/>
  <c r="F69" i="78" l="1"/>
  <c r="J29" i="78"/>
  <c r="Q66" i="67"/>
  <c r="Q57" i="67"/>
  <c r="C58" i="67"/>
  <c r="C67" i="67" s="1"/>
  <c r="AE6" i="1" l="1"/>
  <c r="AE8" i="1"/>
  <c r="AG6" i="1" l="1"/>
  <c r="L57" i="15"/>
  <c r="L60" i="15" s="1"/>
  <c r="F41" i="67"/>
  <c r="F41" i="15"/>
  <c r="M27" i="15"/>
  <c r="M27" i="67"/>
  <c r="J26" i="15" l="1"/>
  <c r="J29" i="15" s="1"/>
  <c r="J26" i="67"/>
  <c r="J29" i="67" s="1"/>
  <c r="F69" i="15"/>
  <c r="Q57" i="15"/>
  <c r="Q66" i="15"/>
  <c r="F69" i="67"/>
  <c r="C68" i="67" s="1"/>
  <c r="C71" i="67" s="1"/>
  <c r="C40" i="67"/>
  <c r="C83" i="67" s="1"/>
  <c r="C82" i="67" s="1"/>
  <c r="C43" i="67" l="1"/>
  <c r="C45" i="67"/>
  <c r="C46" i="67" s="1"/>
  <c r="Q65" i="67"/>
  <c r="Q75" i="67" s="1"/>
  <c r="Q56" i="67"/>
  <c r="Q62" i="67" s="1"/>
  <c r="Q47" i="67"/>
  <c r="Q53" i="67" s="1"/>
  <c r="D2" i="67"/>
  <c r="B2" i="67" s="1"/>
  <c r="E2" i="69"/>
  <c r="AO6" i="1"/>
  <c r="B6" i="70" l="1"/>
  <c r="B3" i="67"/>
  <c r="D2" i="35"/>
  <c r="F20" i="31"/>
  <c r="E2" i="68"/>
  <c r="D2" i="37"/>
  <c r="D2" i="36"/>
  <c r="D2" i="33"/>
  <c r="D2" i="21"/>
  <c r="D2" i="34"/>
  <c r="B20" i="31" l="1"/>
  <c r="B2" i="36"/>
  <c r="B3" i="36" s="1"/>
  <c r="B2" i="35"/>
  <c r="B3" i="35" l="1"/>
  <c r="F6" i="12" s="1"/>
  <c r="F8" i="12"/>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F7" i="39"/>
  <c r="S7" i="39" s="1"/>
  <c r="H7" i="39"/>
  <c r="AB7" i="39" s="1"/>
  <c r="W7" i="39" l="1"/>
  <c r="U7" i="39"/>
  <c r="AA7" i="39"/>
  <c r="H112" i="9" l="1"/>
  <c r="D21" i="53" s="1"/>
  <c r="B39" i="72" s="1"/>
  <c r="H111" i="9"/>
  <c r="D126" i="9" s="1"/>
  <c r="D59" i="9"/>
  <c r="M55" i="9" s="1"/>
  <c r="D19" i="53" l="1"/>
  <c r="B38" i="72" s="1"/>
  <c r="I14" i="74"/>
  <c r="B8" i="74" s="1"/>
  <c r="D127" i="9"/>
  <c r="D13" i="52" s="1"/>
  <c r="D12" i="52"/>
  <c r="C48" i="15"/>
  <c r="C60" i="15" s="1"/>
  <c r="J60" i="15"/>
  <c r="J59" i="15"/>
  <c r="C66" i="15" l="1"/>
  <c r="D20" i="53"/>
  <c r="B40" i="72" s="1"/>
  <c r="L46" i="15"/>
  <c r="Q48" i="15"/>
  <c r="H13" i="3"/>
  <c r="G13" i="3" s="1"/>
  <c r="I28" i="3" l="1"/>
  <c r="BB13" i="3"/>
  <c r="I5" i="3"/>
  <c r="BA13" i="3" l="1"/>
  <c r="I4" i="6"/>
  <c r="F19" i="6"/>
  <c r="BB28" i="3"/>
  <c r="BA28" i="3" s="1"/>
  <c r="AZ28" i="3" s="1"/>
  <c r="H28" i="3"/>
  <c r="G3" i="43" l="1"/>
  <c r="C11" i="39"/>
  <c r="BA5" i="3"/>
  <c r="AZ13" i="3"/>
  <c r="AZ5" i="3" s="1"/>
  <c r="G28" i="3"/>
  <c r="E2" i="77" s="1"/>
  <c r="H5" i="3"/>
  <c r="E19" i="6"/>
  <c r="BB5" i="3"/>
  <c r="F17" i="77" l="1"/>
  <c r="E17" i="77"/>
  <c r="E19" i="77" s="1"/>
  <c r="E3" i="6"/>
  <c r="H11" i="39"/>
  <c r="J11" i="39"/>
  <c r="F11" i="39"/>
  <c r="C11" i="21"/>
  <c r="E32" i="6"/>
  <c r="C7" i="12"/>
  <c r="D3" i="21"/>
  <c r="L19" i="6"/>
  <c r="L27" i="6" s="1"/>
  <c r="E27" i="6"/>
  <c r="K19" i="6" s="1"/>
  <c r="K6" i="1"/>
  <c r="B29" i="1" s="1"/>
  <c r="E10" i="6"/>
  <c r="E11" i="6"/>
  <c r="E14" i="6"/>
  <c r="E12" i="6"/>
  <c r="E8" i="6"/>
  <c r="E15" i="6"/>
  <c r="E13" i="6"/>
  <c r="E5" i="6"/>
  <c r="G5" i="3"/>
  <c r="B3" i="3" s="1"/>
  <c r="J22" i="43"/>
  <c r="H22" i="43"/>
  <c r="G22" i="43"/>
  <c r="L101" i="43"/>
  <c r="E101" i="43"/>
  <c r="H101" i="43"/>
  <c r="N101" i="43"/>
  <c r="J101" i="43"/>
  <c r="M101" i="43"/>
  <c r="Z7" i="43"/>
  <c r="F22" i="43"/>
  <c r="N104" i="46"/>
  <c r="I101" i="43"/>
  <c r="K101" i="43"/>
  <c r="C101" i="43"/>
  <c r="G101" i="43"/>
  <c r="F101" i="43"/>
  <c r="D101" i="43"/>
  <c r="S5" i="43"/>
  <c r="T5" i="43" s="1"/>
  <c r="V5" i="43" s="1"/>
  <c r="S6" i="43"/>
  <c r="T6" i="43" s="1"/>
  <c r="V6" i="43" s="1"/>
  <c r="AF11" i="43"/>
  <c r="AF13" i="43" s="1"/>
  <c r="S7" i="43"/>
  <c r="T7" i="43" s="1"/>
  <c r="V7" i="43" s="1"/>
  <c r="Z11" i="43"/>
  <c r="Z13" i="43" s="1"/>
  <c r="AJ11" i="43"/>
  <c r="AJ13" i="43" s="1"/>
  <c r="AD11" i="43"/>
  <c r="AD13" i="43" s="1"/>
  <c r="Y11" i="43"/>
  <c r="Y13" i="43" s="1"/>
  <c r="AA11" i="43"/>
  <c r="AA13" i="43" s="1"/>
  <c r="AE11" i="43"/>
  <c r="AE13" i="43" s="1"/>
  <c r="S3" i="43"/>
  <c r="T3" i="43" s="1"/>
  <c r="V3" i="43" s="1"/>
  <c r="AC11" i="43"/>
  <c r="AC13" i="43" s="1"/>
  <c r="AG11" i="43"/>
  <c r="AG13" i="43" s="1"/>
  <c r="S4" i="43"/>
  <c r="T4" i="43" s="1"/>
  <c r="V4" i="43" s="1"/>
  <c r="AH11" i="43"/>
  <c r="AH13" i="43" s="1"/>
  <c r="AI11" i="43"/>
  <c r="AI13" i="43" s="1"/>
  <c r="AB11" i="43"/>
  <c r="AB13" i="43" s="1"/>
  <c r="E22" i="43"/>
  <c r="B113" i="43"/>
  <c r="S2" i="43"/>
  <c r="T2" i="43" s="1"/>
  <c r="V2" i="43" s="1"/>
  <c r="C23" i="43"/>
  <c r="C21" i="43" s="1"/>
  <c r="N6" i="1" l="1"/>
  <c r="N9" i="1" s="1"/>
  <c r="O9" i="1" s="1"/>
  <c r="P9" i="1" s="1"/>
  <c r="N7" i="1"/>
  <c r="O7" i="1" s="1"/>
  <c r="P7" i="1" s="1"/>
  <c r="N8" i="1"/>
  <c r="O8" i="1" s="1"/>
  <c r="P8" i="1" s="1"/>
  <c r="D22" i="43"/>
  <c r="M19" i="6"/>
  <c r="S6" i="1"/>
  <c r="D109" i="43"/>
  <c r="D105" i="43"/>
  <c r="D107" i="43"/>
  <c r="D103" i="43"/>
  <c r="D102" i="43"/>
  <c r="D106" i="43"/>
  <c r="D104" i="43"/>
  <c r="G104" i="43"/>
  <c r="G103" i="43"/>
  <c r="G102" i="43"/>
  <c r="G106" i="43"/>
  <c r="G109" i="43"/>
  <c r="G107" i="43"/>
  <c r="G105" i="43"/>
  <c r="K105" i="43"/>
  <c r="K104" i="43"/>
  <c r="K102" i="43"/>
  <c r="K109" i="43"/>
  <c r="K103" i="43"/>
  <c r="K106" i="43"/>
  <c r="K107" i="43"/>
  <c r="E215" i="3"/>
  <c r="E239" i="3"/>
  <c r="E581" i="3"/>
  <c r="E387" i="3"/>
  <c r="E404" i="3"/>
  <c r="E486" i="3"/>
  <c r="E232" i="3"/>
  <c r="E410" i="3"/>
  <c r="E41" i="3"/>
  <c r="E203" i="3"/>
  <c r="E403" i="3"/>
  <c r="E69" i="3"/>
  <c r="AI6" i="3"/>
  <c r="E514" i="3"/>
  <c r="E388" i="3"/>
  <c r="E288" i="3"/>
  <c r="E149" i="3"/>
  <c r="E315" i="3"/>
  <c r="E428" i="3"/>
  <c r="E294" i="3"/>
  <c r="E525" i="3"/>
  <c r="E579" i="3"/>
  <c r="E291" i="3"/>
  <c r="E409" i="3"/>
  <c r="E384" i="3"/>
  <c r="E555" i="3"/>
  <c r="E135" i="3"/>
  <c r="E27" i="3"/>
  <c r="E202" i="3"/>
  <c r="E190" i="3"/>
  <c r="E199" i="3"/>
  <c r="E102" i="3"/>
  <c r="E393" i="3"/>
  <c r="E137" i="3"/>
  <c r="E96" i="3"/>
  <c r="E407" i="3"/>
  <c r="E329" i="3"/>
  <c r="E153" i="3"/>
  <c r="E474" i="3"/>
  <c r="E336" i="3"/>
  <c r="E209" i="3"/>
  <c r="E169" i="3"/>
  <c r="E243" i="3"/>
  <c r="E105" i="3"/>
  <c r="E459" i="3"/>
  <c r="E445" i="3"/>
  <c r="E528" i="3"/>
  <c r="E306" i="3"/>
  <c r="E146" i="3"/>
  <c r="E543" i="3"/>
  <c r="E282" i="3"/>
  <c r="E152" i="3"/>
  <c r="AN6" i="3"/>
  <c r="E162" i="3"/>
  <c r="E171" i="3"/>
  <c r="E372" i="3"/>
  <c r="E415" i="3"/>
  <c r="E128" i="3"/>
  <c r="E172" i="3"/>
  <c r="E324" i="3"/>
  <c r="E380" i="3"/>
  <c r="E186" i="3"/>
  <c r="E201" i="3"/>
  <c r="E572" i="3"/>
  <c r="E123" i="3"/>
  <c r="E455" i="3"/>
  <c r="E564" i="3"/>
  <c r="E289" i="3"/>
  <c r="E104" i="3"/>
  <c r="E551" i="3"/>
  <c r="E448" i="3"/>
  <c r="E223" i="3"/>
  <c r="E277" i="3"/>
  <c r="E490" i="3"/>
  <c r="E383" i="3"/>
  <c r="E533" i="3"/>
  <c r="E157" i="3"/>
  <c r="E370" i="3"/>
  <c r="E571" i="3"/>
  <c r="E198" i="3"/>
  <c r="E256" i="3"/>
  <c r="E260" i="3"/>
  <c r="E111" i="3"/>
  <c r="E32" i="3"/>
  <c r="E276" i="3"/>
  <c r="AM6" i="3"/>
  <c r="E477" i="3"/>
  <c r="AO6" i="3"/>
  <c r="E177" i="3"/>
  <c r="E130" i="3"/>
  <c r="E265" i="3"/>
  <c r="E452" i="3"/>
  <c r="E501" i="3"/>
  <c r="E227" i="3"/>
  <c r="E121" i="3"/>
  <c r="E502" i="3"/>
  <c r="N6" i="3"/>
  <c r="E241" i="3"/>
  <c r="E290" i="3"/>
  <c r="E438" i="3"/>
  <c r="E258" i="3"/>
  <c r="E391" i="3"/>
  <c r="E224" i="3"/>
  <c r="E566" i="3"/>
  <c r="E34" i="3"/>
  <c r="O6" i="3"/>
  <c r="AE6" i="3"/>
  <c r="E107" i="3"/>
  <c r="E309" i="3"/>
  <c r="T6" i="3"/>
  <c r="E225" i="3"/>
  <c r="E90" i="3"/>
  <c r="E353" i="3"/>
  <c r="E64" i="3"/>
  <c r="E46" i="3"/>
  <c r="E326" i="3"/>
  <c r="E457" i="3"/>
  <c r="E26" i="3"/>
  <c r="E185" i="3"/>
  <c r="E71" i="3"/>
  <c r="E507" i="3"/>
  <c r="E317" i="3"/>
  <c r="E296" i="3"/>
  <c r="Z6" i="3"/>
  <c r="E542" i="3"/>
  <c r="E587" i="3"/>
  <c r="E371" i="3"/>
  <c r="E101" i="3"/>
  <c r="M6" i="3"/>
  <c r="E35" i="3"/>
  <c r="E210" i="3"/>
  <c r="E189" i="3"/>
  <c r="E441" i="3"/>
  <c r="AS6" i="3"/>
  <c r="AF6" i="3"/>
  <c r="E273" i="3"/>
  <c r="E421" i="3"/>
  <c r="E270" i="3"/>
  <c r="E362" i="3"/>
  <c r="E505" i="3"/>
  <c r="E176" i="3"/>
  <c r="E580" i="3"/>
  <c r="E119" i="3"/>
  <c r="E263" i="3"/>
  <c r="E155" i="3"/>
  <c r="E308" i="3"/>
  <c r="E340" i="3"/>
  <c r="E40" i="3"/>
  <c r="E144" i="3"/>
  <c r="E511" i="3"/>
  <c r="E83" i="3"/>
  <c r="E420" i="3"/>
  <c r="E395" i="3"/>
  <c r="E508" i="3"/>
  <c r="E266" i="3"/>
  <c r="E417" i="3"/>
  <c r="E150" i="3"/>
  <c r="E356" i="3"/>
  <c r="E456" i="3"/>
  <c r="E461" i="3"/>
  <c r="E159" i="3"/>
  <c r="E321" i="3"/>
  <c r="E426" i="3"/>
  <c r="E494" i="3"/>
  <c r="E530" i="3"/>
  <c r="E72" i="3"/>
  <c r="E247" i="3"/>
  <c r="E373" i="3"/>
  <c r="E249" i="3"/>
  <c r="E302" i="3"/>
  <c r="E402" i="3"/>
  <c r="E284" i="3"/>
  <c r="E499" i="3"/>
  <c r="E17" i="3"/>
  <c r="E212" i="3"/>
  <c r="E292" i="3"/>
  <c r="E547" i="3"/>
  <c r="E334" i="3"/>
  <c r="E141" i="3"/>
  <c r="E313" i="3"/>
  <c r="E51" i="3"/>
  <c r="E570" i="3"/>
  <c r="E161" i="3"/>
  <c r="E37" i="3"/>
  <c r="E106" i="3"/>
  <c r="E540" i="3"/>
  <c r="E348" i="3"/>
  <c r="E100" i="3"/>
  <c r="E50" i="3"/>
  <c r="E463" i="3"/>
  <c r="E381" i="3"/>
  <c r="E52" i="3"/>
  <c r="E178" i="3"/>
  <c r="E142" i="3"/>
  <c r="X6" i="3"/>
  <c r="E19" i="3"/>
  <c r="E436" i="3"/>
  <c r="E522" i="3"/>
  <c r="E503" i="3"/>
  <c r="E343" i="3"/>
  <c r="E136" i="3"/>
  <c r="E183" i="3"/>
  <c r="AR6" i="3"/>
  <c r="E331" i="3"/>
  <c r="E527" i="3"/>
  <c r="L6" i="3"/>
  <c r="E179" i="3"/>
  <c r="E170" i="3"/>
  <c r="E39" i="3"/>
  <c r="E91" i="3"/>
  <c r="E517" i="3"/>
  <c r="E165" i="3"/>
  <c r="E31" i="3"/>
  <c r="E498" i="3"/>
  <c r="E563" i="3"/>
  <c r="AQ6" i="3"/>
  <c r="E346" i="3"/>
  <c r="E569" i="3"/>
  <c r="E335" i="3"/>
  <c r="E538" i="3"/>
  <c r="Q6" i="3"/>
  <c r="E70" i="3"/>
  <c r="E347" i="3"/>
  <c r="E433" i="3"/>
  <c r="E434" i="3"/>
  <c r="E394" i="3"/>
  <c r="E414" i="3"/>
  <c r="E377" i="3"/>
  <c r="E286" i="3"/>
  <c r="E99" i="3"/>
  <c r="E586" i="3"/>
  <c r="E213" i="3"/>
  <c r="E465" i="3"/>
  <c r="E181" i="3"/>
  <c r="E554" i="3"/>
  <c r="E299" i="3"/>
  <c r="E20" i="3"/>
  <c r="E63" i="3"/>
  <c r="E489" i="3"/>
  <c r="E280" i="3"/>
  <c r="E233" i="3"/>
  <c r="E550" i="3"/>
  <c r="E531" i="3"/>
  <c r="E352" i="3"/>
  <c r="E397" i="3"/>
  <c r="E87" i="3"/>
  <c r="E271" i="3"/>
  <c r="E117" i="3"/>
  <c r="E473" i="3"/>
  <c r="E206" i="3"/>
  <c r="E364" i="3"/>
  <c r="E319" i="3"/>
  <c r="E578" i="3"/>
  <c r="E454" i="3"/>
  <c r="E211" i="3"/>
  <c r="E57" i="3"/>
  <c r="E526" i="3"/>
  <c r="J6" i="3"/>
  <c r="E59" i="3"/>
  <c r="E344" i="3"/>
  <c r="E442" i="3"/>
  <c r="E250" i="3"/>
  <c r="E418" i="3"/>
  <c r="E168" i="3"/>
  <c r="E423" i="3"/>
  <c r="E297" i="3"/>
  <c r="E49" i="3"/>
  <c r="P6" i="3"/>
  <c r="E196" i="3"/>
  <c r="E523" i="3"/>
  <c r="E510" i="3"/>
  <c r="E529" i="3"/>
  <c r="E24" i="3"/>
  <c r="E565" i="3"/>
  <c r="E424" i="3"/>
  <c r="E262" i="3"/>
  <c r="E95" i="3"/>
  <c r="E253" i="3"/>
  <c r="E406" i="3"/>
  <c r="E184" i="3"/>
  <c r="E18" i="3"/>
  <c r="E132" i="3"/>
  <c r="E425" i="3"/>
  <c r="E103" i="3"/>
  <c r="E327" i="3"/>
  <c r="E338" i="3"/>
  <c r="E191" i="3"/>
  <c r="E443" i="3"/>
  <c r="E267" i="3"/>
  <c r="E244" i="3"/>
  <c r="E396" i="3"/>
  <c r="E382" i="3"/>
  <c r="E539" i="3"/>
  <c r="E311" i="3"/>
  <c r="E122" i="3"/>
  <c r="E552" i="3"/>
  <c r="E220" i="3"/>
  <c r="V6" i="3"/>
  <c r="E386" i="3"/>
  <c r="E112" i="3"/>
  <c r="E30" i="3"/>
  <c r="I3" i="6"/>
  <c r="E175" i="3"/>
  <c r="E389" i="3"/>
  <c r="E577" i="3"/>
  <c r="E81" i="3"/>
  <c r="E234" i="3"/>
  <c r="E180" i="3"/>
  <c r="E65" i="3"/>
  <c r="E485" i="3"/>
  <c r="E156" i="3"/>
  <c r="E205" i="3"/>
  <c r="E430" i="3"/>
  <c r="E160" i="3"/>
  <c r="E285" i="3"/>
  <c r="E237" i="3"/>
  <c r="E422" i="3"/>
  <c r="E66" i="3"/>
  <c r="AJ6" i="3"/>
  <c r="E524" i="3"/>
  <c r="E412" i="3"/>
  <c r="E431" i="3"/>
  <c r="E361" i="3"/>
  <c r="E576" i="3"/>
  <c r="E360" i="3"/>
  <c r="E85" i="3"/>
  <c r="E98" i="3"/>
  <c r="E375" i="3"/>
  <c r="E61" i="3"/>
  <c r="E67" i="3"/>
  <c r="E557" i="3"/>
  <c r="E536" i="3"/>
  <c r="E470" i="3"/>
  <c r="E458" i="3"/>
  <c r="E475" i="3"/>
  <c r="E235" i="3"/>
  <c r="E38" i="3"/>
  <c r="E549" i="3"/>
  <c r="E411" i="3"/>
  <c r="E366" i="3"/>
  <c r="E254" i="3"/>
  <c r="E541" i="3"/>
  <c r="E437" i="3"/>
  <c r="E80" i="3"/>
  <c r="E25" i="3"/>
  <c r="E520" i="3"/>
  <c r="E221" i="3"/>
  <c r="E567" i="3"/>
  <c r="E472" i="3"/>
  <c r="E583" i="3"/>
  <c r="E354" i="3"/>
  <c r="E450" i="3"/>
  <c r="E43" i="3"/>
  <c r="E307" i="3"/>
  <c r="E480" i="3"/>
  <c r="E374" i="3"/>
  <c r="E519" i="3"/>
  <c r="E120" i="3"/>
  <c r="E166" i="3"/>
  <c r="R6" i="3"/>
  <c r="E553" i="3"/>
  <c r="E447" i="3"/>
  <c r="E416" i="3"/>
  <c r="AK6" i="3"/>
  <c r="E320" i="3"/>
  <c r="E369" i="3"/>
  <c r="E222" i="3"/>
  <c r="E333" i="3"/>
  <c r="E219" i="3"/>
  <c r="E56" i="3"/>
  <c r="E316" i="3"/>
  <c r="E495" i="3"/>
  <c r="E86" i="3"/>
  <c r="E151" i="3"/>
  <c r="AP6" i="3"/>
  <c r="E279" i="3"/>
  <c r="E512" i="3"/>
  <c r="E509" i="3"/>
  <c r="E548" i="3"/>
  <c r="E216" i="3"/>
  <c r="E328" i="3"/>
  <c r="E325" i="3"/>
  <c r="E560" i="3"/>
  <c r="E575" i="3"/>
  <c r="E300" i="3"/>
  <c r="E167" i="3"/>
  <c r="E125" i="3"/>
  <c r="AA6" i="3"/>
  <c r="E342" i="3"/>
  <c r="E217" i="3"/>
  <c r="E204" i="3"/>
  <c r="E314" i="3"/>
  <c r="E534" i="3"/>
  <c r="E264" i="3"/>
  <c r="E488" i="3"/>
  <c r="E163" i="3"/>
  <c r="E15" i="3"/>
  <c r="S6" i="3"/>
  <c r="E229" i="3"/>
  <c r="U6" i="3"/>
  <c r="E481" i="3"/>
  <c r="W6" i="3"/>
  <c r="E532" i="3"/>
  <c r="E504" i="3"/>
  <c r="E562" i="3"/>
  <c r="E376" i="3"/>
  <c r="E484" i="3"/>
  <c r="AH6" i="3"/>
  <c r="E68" i="3"/>
  <c r="E544" i="3"/>
  <c r="E251" i="3"/>
  <c r="E506" i="3"/>
  <c r="E129" i="3"/>
  <c r="E332" i="3"/>
  <c r="E449" i="3"/>
  <c r="AL6" i="3"/>
  <c r="E82" i="3"/>
  <c r="E231" i="3"/>
  <c r="E14" i="3"/>
  <c r="E148" i="3"/>
  <c r="E97" i="3"/>
  <c r="E515" i="3"/>
  <c r="E54" i="3"/>
  <c r="E127" i="3"/>
  <c r="E413" i="3"/>
  <c r="E584" i="3"/>
  <c r="E75" i="3"/>
  <c r="E134" i="3"/>
  <c r="E408" i="3"/>
  <c r="E429" i="3"/>
  <c r="E471" i="3"/>
  <c r="E78" i="3"/>
  <c r="E53" i="3"/>
  <c r="E194" i="3"/>
  <c r="E187" i="3"/>
  <c r="E58" i="3"/>
  <c r="E272" i="3"/>
  <c r="E193" i="3"/>
  <c r="E468" i="3"/>
  <c r="E218" i="3"/>
  <c r="E143" i="3"/>
  <c r="E568" i="3"/>
  <c r="E585" i="3"/>
  <c r="E476" i="3"/>
  <c r="E76" i="3"/>
  <c r="E349" i="3"/>
  <c r="E318" i="3"/>
  <c r="E556" i="3"/>
  <c r="E573" i="3"/>
  <c r="E427" i="3"/>
  <c r="E246" i="3"/>
  <c r="AT6" i="3"/>
  <c r="E139" i="3"/>
  <c r="E131" i="3"/>
  <c r="E36" i="3"/>
  <c r="E400" i="3"/>
  <c r="E310" i="3"/>
  <c r="E345" i="3"/>
  <c r="E453" i="3"/>
  <c r="E74" i="3"/>
  <c r="K6" i="3"/>
  <c r="E226" i="3"/>
  <c r="E158" i="3"/>
  <c r="E268" i="3"/>
  <c r="E197" i="3"/>
  <c r="E242" i="3"/>
  <c r="E446" i="3"/>
  <c r="E487" i="3"/>
  <c r="E114" i="3"/>
  <c r="E462" i="3"/>
  <c r="E574" i="3"/>
  <c r="E379" i="3"/>
  <c r="E337" i="3"/>
  <c r="E240" i="3"/>
  <c r="E252" i="3"/>
  <c r="E559" i="3"/>
  <c r="E140" i="3"/>
  <c r="E363" i="3"/>
  <c r="E401" i="3"/>
  <c r="E55" i="3"/>
  <c r="E444" i="3"/>
  <c r="E500" i="3"/>
  <c r="E293" i="3"/>
  <c r="E21" i="3"/>
  <c r="E275" i="3"/>
  <c r="E248" i="3"/>
  <c r="E367" i="3"/>
  <c r="E303" i="3"/>
  <c r="E116" i="3"/>
  <c r="E561" i="3"/>
  <c r="E357" i="3"/>
  <c r="E368" i="3"/>
  <c r="E108" i="3"/>
  <c r="E73" i="3"/>
  <c r="E295" i="3"/>
  <c r="E493" i="3"/>
  <c r="E516" i="3"/>
  <c r="E518" i="3"/>
  <c r="E154" i="3"/>
  <c r="E466" i="3"/>
  <c r="E439" i="3"/>
  <c r="E22" i="3"/>
  <c r="AB6" i="3"/>
  <c r="E558" i="3"/>
  <c r="E390" i="3"/>
  <c r="E174" i="3"/>
  <c r="E145" i="3"/>
  <c r="E405" i="3"/>
  <c r="E358" i="3"/>
  <c r="E255" i="3"/>
  <c r="E147" i="3"/>
  <c r="E23" i="3"/>
  <c r="E200" i="3"/>
  <c r="E93" i="3"/>
  <c r="E365" i="3"/>
  <c r="E419" i="3"/>
  <c r="E301" i="3"/>
  <c r="E207" i="3"/>
  <c r="E330" i="3"/>
  <c r="E440" i="3"/>
  <c r="E92" i="3"/>
  <c r="E77" i="3"/>
  <c r="E192" i="3"/>
  <c r="E48" i="3"/>
  <c r="E298" i="3"/>
  <c r="E281" i="3"/>
  <c r="E238" i="3"/>
  <c r="E582" i="3"/>
  <c r="E109" i="3"/>
  <c r="E304" i="3"/>
  <c r="E378" i="3"/>
  <c r="E133" i="3"/>
  <c r="E89" i="3"/>
  <c r="E245" i="3"/>
  <c r="E350" i="3"/>
  <c r="E259" i="3"/>
  <c r="E432" i="3"/>
  <c r="E312" i="3"/>
  <c r="E479" i="3"/>
  <c r="E115" i="3"/>
  <c r="E188" i="3"/>
  <c r="E45" i="3"/>
  <c r="E42" i="3"/>
  <c r="Y6" i="3"/>
  <c r="E113" i="3"/>
  <c r="E173" i="3"/>
  <c r="E126" i="3"/>
  <c r="E261" i="3"/>
  <c r="E110" i="3"/>
  <c r="E269" i="3"/>
  <c r="E460" i="3"/>
  <c r="E546" i="3"/>
  <c r="E214" i="3"/>
  <c r="E88" i="3"/>
  <c r="E398" i="3"/>
  <c r="E392" i="3"/>
  <c r="E521" i="3"/>
  <c r="E44" i="3"/>
  <c r="E230" i="3"/>
  <c r="E323" i="3"/>
  <c r="E351" i="3"/>
  <c r="E451" i="3"/>
  <c r="E274" i="3"/>
  <c r="E322" i="3"/>
  <c r="E305" i="3"/>
  <c r="E124" i="3"/>
  <c r="E491" i="3"/>
  <c r="E138" i="3"/>
  <c r="E94" i="3"/>
  <c r="E339" i="3"/>
  <c r="E478" i="3"/>
  <c r="E278" i="3"/>
  <c r="E182" i="3"/>
  <c r="E287" i="3"/>
  <c r="E537" i="3"/>
  <c r="E482" i="3"/>
  <c r="E79" i="3"/>
  <c r="E236" i="3"/>
  <c r="E385" i="3"/>
  <c r="E283" i="3"/>
  <c r="E464" i="3"/>
  <c r="E208" i="3"/>
  <c r="E469" i="3"/>
  <c r="E399" i="3"/>
  <c r="AG6" i="3"/>
  <c r="E497" i="3"/>
  <c r="E341" i="3"/>
  <c r="E496" i="3"/>
  <c r="E492" i="3"/>
  <c r="E62" i="3"/>
  <c r="E467" i="3"/>
  <c r="E535" i="3"/>
  <c r="E33" i="3"/>
  <c r="E483" i="3"/>
  <c r="E164" i="3"/>
  <c r="E195" i="3"/>
  <c r="E355" i="3"/>
  <c r="E84" i="3"/>
  <c r="E435" i="3"/>
  <c r="E29" i="3"/>
  <c r="E16" i="3"/>
  <c r="E60" i="3"/>
  <c r="E118" i="3"/>
  <c r="E228" i="3"/>
  <c r="E545" i="3"/>
  <c r="E513" i="3"/>
  <c r="E359" i="3"/>
  <c r="E47" i="3"/>
  <c r="E257" i="3"/>
  <c r="AD6" i="3"/>
  <c r="E13" i="3"/>
  <c r="I6" i="3"/>
  <c r="D9" i="11"/>
  <c r="C9" i="11" s="1"/>
  <c r="D19" i="12"/>
  <c r="C19" i="12" s="1"/>
  <c r="D9" i="68"/>
  <c r="D9" i="69"/>
  <c r="E60" i="40"/>
  <c r="F60" i="40" s="1"/>
  <c r="E65" i="39"/>
  <c r="E62" i="39"/>
  <c r="E57" i="40"/>
  <c r="F57" i="40" s="1"/>
  <c r="E61" i="39"/>
  <c r="E56" i="40"/>
  <c r="F56" i="40" s="1"/>
  <c r="H16" i="1"/>
  <c r="AP6" i="1"/>
  <c r="C36" i="69" s="1"/>
  <c r="K16" i="1"/>
  <c r="C8" i="68" s="1"/>
  <c r="Q16" i="1"/>
  <c r="C34" i="69"/>
  <c r="M6" i="1"/>
  <c r="G16" i="1"/>
  <c r="H11" i="21"/>
  <c r="J11" i="21"/>
  <c r="F11" i="21"/>
  <c r="AC11" i="39"/>
  <c r="W11" i="39"/>
  <c r="C17" i="4"/>
  <c r="B4" i="52" s="1"/>
  <c r="B43" i="72" s="1"/>
  <c r="D3" i="37"/>
  <c r="B2" i="37" s="1"/>
  <c r="B3" i="37" s="1"/>
  <c r="D3" i="34"/>
  <c r="B2" i="34" s="1"/>
  <c r="B3" i="34" s="1"/>
  <c r="D14" i="12"/>
  <c r="L18" i="9"/>
  <c r="D3" i="33"/>
  <c r="B2" i="33" s="1"/>
  <c r="B3" i="33" s="1"/>
  <c r="M18" i="9"/>
  <c r="B118" i="9" s="1"/>
  <c r="B14" i="74" s="1"/>
  <c r="B1" i="74" s="1"/>
  <c r="E6" i="6"/>
  <c r="D37" i="11"/>
  <c r="D19" i="11"/>
  <c r="C19" i="11" s="1"/>
  <c r="J109" i="43"/>
  <c r="J105" i="43"/>
  <c r="J104" i="43"/>
  <c r="J107" i="43"/>
  <c r="J106" i="43"/>
  <c r="J102" i="43"/>
  <c r="J103" i="43"/>
  <c r="H109" i="43"/>
  <c r="H107" i="43"/>
  <c r="H106" i="43"/>
  <c r="H102" i="43"/>
  <c r="H105" i="43"/>
  <c r="H104" i="43"/>
  <c r="H103" i="43"/>
  <c r="L105" i="43"/>
  <c r="L109" i="43"/>
  <c r="L103" i="43"/>
  <c r="L107" i="43"/>
  <c r="L104" i="43"/>
  <c r="L102" i="43"/>
  <c r="L106" i="43"/>
  <c r="C29" i="43"/>
  <c r="D118" i="43"/>
  <c r="E118" i="43" s="1"/>
  <c r="F118" i="43" s="1"/>
  <c r="B118" i="43"/>
  <c r="C118" i="43" s="1"/>
  <c r="B115" i="43"/>
  <c r="G118" i="43"/>
  <c r="H118" i="43" s="1"/>
  <c r="B117" i="43"/>
  <c r="C117" i="43" s="1"/>
  <c r="B116" i="43"/>
  <c r="C116" i="43" s="1"/>
  <c r="D117" i="43"/>
  <c r="E117" i="43" s="1"/>
  <c r="F117" i="43" s="1"/>
  <c r="G117" i="43" s="1"/>
  <c r="H117" i="43" s="1"/>
  <c r="I115" i="43"/>
  <c r="J115" i="43" s="1"/>
  <c r="K115" i="43" s="1"/>
  <c r="L115" i="43" s="1"/>
  <c r="M115" i="43" s="1"/>
  <c r="I117" i="43"/>
  <c r="J117" i="43" s="1"/>
  <c r="K117" i="43" s="1"/>
  <c r="L117" i="43" s="1"/>
  <c r="M117" i="43" s="1"/>
  <c r="D115" i="43"/>
  <c r="E115" i="43" s="1"/>
  <c r="F115" i="43" s="1"/>
  <c r="G115" i="43" s="1"/>
  <c r="H115" i="43" s="1"/>
  <c r="I116" i="43"/>
  <c r="J116" i="43" s="1"/>
  <c r="K116" i="43" s="1"/>
  <c r="L116" i="43" s="1"/>
  <c r="M116" i="43" s="1"/>
  <c r="I118" i="43"/>
  <c r="J118" i="43" s="1"/>
  <c r="K118" i="43" s="1"/>
  <c r="L118" i="43" s="1"/>
  <c r="M118" i="43" s="1"/>
  <c r="D116" i="43"/>
  <c r="E116" i="43" s="1"/>
  <c r="F116" i="43" s="1"/>
  <c r="G116" i="43" s="1"/>
  <c r="H116" i="43" s="1"/>
  <c r="F105" i="43"/>
  <c r="F109" i="43"/>
  <c r="F106" i="43"/>
  <c r="F103" i="43"/>
  <c r="F102" i="43"/>
  <c r="F104" i="43"/>
  <c r="F107" i="43"/>
  <c r="C103" i="43"/>
  <c r="C105" i="43"/>
  <c r="C104" i="43"/>
  <c r="C107" i="43"/>
  <c r="C109" i="43"/>
  <c r="C102" i="43"/>
  <c r="C106" i="43"/>
  <c r="I107" i="43"/>
  <c r="I106" i="43"/>
  <c r="I105" i="43"/>
  <c r="I103" i="43"/>
  <c r="I104" i="43"/>
  <c r="I102" i="43"/>
  <c r="I109" i="43"/>
  <c r="M103" i="43"/>
  <c r="M106" i="43"/>
  <c r="M107" i="43"/>
  <c r="M109" i="43"/>
  <c r="M105" i="43"/>
  <c r="M104" i="43"/>
  <c r="M102" i="43"/>
  <c r="N107" i="43"/>
  <c r="N102" i="43"/>
  <c r="N109" i="43"/>
  <c r="N106" i="43"/>
  <c r="N103" i="43"/>
  <c r="N104" i="43"/>
  <c r="N105" i="43"/>
  <c r="E103" i="43"/>
  <c r="E105" i="43"/>
  <c r="E107" i="43"/>
  <c r="E104" i="43"/>
  <c r="E106" i="43"/>
  <c r="E102" i="43"/>
  <c r="E109" i="43"/>
  <c r="E28" i="3"/>
  <c r="E58" i="40"/>
  <c r="F58" i="40" s="1"/>
  <c r="E63" i="39"/>
  <c r="E16" i="6"/>
  <c r="E51" i="40"/>
  <c r="F51" i="40" s="1"/>
  <c r="E56" i="39"/>
  <c r="F27" i="6"/>
  <c r="F31" i="6" s="1"/>
  <c r="E64" i="39"/>
  <c r="E59" i="40"/>
  <c r="F59" i="40" s="1"/>
  <c r="K26" i="6"/>
  <c r="M26" i="6" s="1"/>
  <c r="I26" i="6" s="1"/>
  <c r="S26" i="6" s="1"/>
  <c r="K25" i="6"/>
  <c r="M25" i="6" s="1"/>
  <c r="I25" i="6" s="1"/>
  <c r="S25" i="6" s="1"/>
  <c r="K24" i="6"/>
  <c r="M24" i="6" s="1"/>
  <c r="I24" i="6" s="1"/>
  <c r="S24" i="6" s="1"/>
  <c r="K23" i="6"/>
  <c r="M23" i="6" s="1"/>
  <c r="I23" i="6" s="1"/>
  <c r="S23" i="6" s="1"/>
  <c r="K22" i="6"/>
  <c r="E31" i="6"/>
  <c r="K21" i="6"/>
  <c r="K20" i="6"/>
  <c r="S11" i="39"/>
  <c r="AA11" i="39"/>
  <c r="U11" i="39"/>
  <c r="AB11" i="39"/>
  <c r="AY6" i="3"/>
  <c r="N14" i="1" l="1"/>
  <c r="H6" i="3"/>
  <c r="AC6" i="3"/>
  <c r="AQ11" i="1"/>
  <c r="AQ10" i="1"/>
  <c r="AQ12" i="1"/>
  <c r="AR10" i="1"/>
  <c r="AQ13" i="1"/>
  <c r="AR13" i="1"/>
  <c r="AR12" i="1"/>
  <c r="AR11" i="1"/>
  <c r="O14" i="1"/>
  <c r="P14" i="1" s="1"/>
  <c r="C30" i="43"/>
  <c r="E30" i="43" s="1"/>
  <c r="C27" i="43" s="1"/>
  <c r="E29" i="43"/>
  <c r="C26" i="43" s="1"/>
  <c r="C20" i="11"/>
  <c r="C25" i="11" s="1"/>
  <c r="C24" i="11"/>
  <c r="D20" i="12"/>
  <c r="C20" i="12" s="1"/>
  <c r="C18" i="12" s="1"/>
  <c r="D10" i="68"/>
  <c r="C10" i="68" s="1"/>
  <c r="D10" i="11"/>
  <c r="C10" i="11" s="1"/>
  <c r="D10" i="69"/>
  <c r="C10" i="69" s="1"/>
  <c r="D17" i="12"/>
  <c r="C17" i="12" s="1"/>
  <c r="S11" i="21"/>
  <c r="AA11" i="21"/>
  <c r="R48" i="21" s="1"/>
  <c r="U11" i="21"/>
  <c r="AB11" i="21"/>
  <c r="T48" i="21" s="1"/>
  <c r="G48" i="21" s="1"/>
  <c r="M16" i="1"/>
  <c r="L16" i="1" s="1"/>
  <c r="O6" i="1"/>
  <c r="N16" i="1"/>
  <c r="F28" i="12"/>
  <c r="C29" i="12" s="1"/>
  <c r="D28" i="12" s="1"/>
  <c r="F27" i="11"/>
  <c r="F27" i="68"/>
  <c r="F27" i="69"/>
  <c r="C9" i="69"/>
  <c r="I19" i="6"/>
  <c r="M20" i="6"/>
  <c r="I20" i="6" s="1"/>
  <c r="S20" i="6" s="1"/>
  <c r="S7" i="1"/>
  <c r="AY396" i="3"/>
  <c r="AY443" i="3"/>
  <c r="AY40" i="3"/>
  <c r="AY359" i="3"/>
  <c r="AY288" i="3"/>
  <c r="AY243" i="3"/>
  <c r="AY391" i="3"/>
  <c r="AY521" i="3"/>
  <c r="AY279" i="3"/>
  <c r="AY99" i="3"/>
  <c r="AY497" i="3"/>
  <c r="AY410" i="3"/>
  <c r="AY354" i="3"/>
  <c r="AY164" i="3"/>
  <c r="AY361" i="3"/>
  <c r="AY320" i="3"/>
  <c r="AY435" i="3"/>
  <c r="AY305" i="3"/>
  <c r="AY37" i="3"/>
  <c r="AY505" i="3"/>
  <c r="AY201" i="3"/>
  <c r="AY525" i="3"/>
  <c r="AY198" i="3"/>
  <c r="AY199" i="3"/>
  <c r="AY475" i="3"/>
  <c r="AY197" i="3"/>
  <c r="AY203" i="3"/>
  <c r="AY344" i="3"/>
  <c r="AY297" i="3"/>
  <c r="AY230" i="3"/>
  <c r="AY133" i="3"/>
  <c r="AY493" i="3"/>
  <c r="AY386" i="3"/>
  <c r="AY542" i="3"/>
  <c r="AY511" i="3"/>
  <c r="AY24" i="3"/>
  <c r="AY364" i="3"/>
  <c r="AY368" i="3"/>
  <c r="AY371" i="3"/>
  <c r="AY125" i="3"/>
  <c r="AY72" i="3"/>
  <c r="AY347" i="3"/>
  <c r="AY408" i="3"/>
  <c r="AY413" i="3"/>
  <c r="AY536" i="3"/>
  <c r="AY448" i="3"/>
  <c r="AY153" i="3"/>
  <c r="AY143" i="3"/>
  <c r="AY117" i="3"/>
  <c r="AY524" i="3"/>
  <c r="AY552" i="3"/>
  <c r="AY429" i="3"/>
  <c r="AY546" i="3"/>
  <c r="AY104" i="3"/>
  <c r="AY325" i="3"/>
  <c r="AY438" i="3"/>
  <c r="AY130" i="3"/>
  <c r="AY90" i="3"/>
  <c r="AY205" i="3"/>
  <c r="AY192" i="3"/>
  <c r="AY163" i="3"/>
  <c r="AY210" i="3"/>
  <c r="AY282" i="3"/>
  <c r="AY322" i="3"/>
  <c r="AY314" i="3"/>
  <c r="AY92" i="3"/>
  <c r="AY380" i="3"/>
  <c r="AY343" i="3"/>
  <c r="AY452" i="3"/>
  <c r="AY481" i="3"/>
  <c r="AY430" i="3"/>
  <c r="AY27" i="3"/>
  <c r="AY466" i="3"/>
  <c r="AY400" i="3"/>
  <c r="AY520" i="3"/>
  <c r="AY222" i="3"/>
  <c r="AY523" i="3"/>
  <c r="AY16" i="3"/>
  <c r="AY47" i="3"/>
  <c r="AY58" i="3"/>
  <c r="AY561" i="3"/>
  <c r="AY179" i="3"/>
  <c r="AY495" i="3"/>
  <c r="AY140" i="3"/>
  <c r="BL6" i="3"/>
  <c r="AY85" i="3"/>
  <c r="AY103" i="3"/>
  <c r="AY119" i="3"/>
  <c r="AY14" i="3"/>
  <c r="AY553" i="3"/>
  <c r="AY545" i="3"/>
  <c r="AY110" i="3"/>
  <c r="AY30" i="3"/>
  <c r="AY240" i="3"/>
  <c r="AY308" i="3"/>
  <c r="AY402" i="3"/>
  <c r="AY387" i="3"/>
  <c r="AY129" i="3"/>
  <c r="AY296" i="3"/>
  <c r="AY560" i="3"/>
  <c r="AY227" i="3"/>
  <c r="AY128" i="3"/>
  <c r="AY271" i="3"/>
  <c r="AY284" i="3"/>
  <c r="AY321" i="3"/>
  <c r="AY107" i="3"/>
  <c r="AY64" i="3"/>
  <c r="AY584" i="3"/>
  <c r="AY232" i="3"/>
  <c r="AY249" i="3"/>
  <c r="AY332" i="3"/>
  <c r="AY530" i="3"/>
  <c r="AY287" i="3"/>
  <c r="AY131" i="3"/>
  <c r="AY291" i="3"/>
  <c r="AY581" i="3"/>
  <c r="AY567" i="3"/>
  <c r="AY587" i="3"/>
  <c r="AY185" i="3"/>
  <c r="AY370" i="3"/>
  <c r="AY162" i="3"/>
  <c r="AY547" i="3"/>
  <c r="AY339" i="3"/>
  <c r="AY338" i="3"/>
  <c r="AY467" i="3"/>
  <c r="AY212" i="3"/>
  <c r="AY244" i="3"/>
  <c r="AY86" i="3"/>
  <c r="AY299" i="3"/>
  <c r="AY181" i="3"/>
  <c r="AY260" i="3"/>
  <c r="AY19" i="3"/>
  <c r="AY313" i="3"/>
  <c r="AY148" i="3"/>
  <c r="AY294" i="3"/>
  <c r="AY258" i="3"/>
  <c r="AY74" i="3"/>
  <c r="AY13" i="3"/>
  <c r="AY239" i="3"/>
  <c r="AY462" i="3"/>
  <c r="AY578" i="3"/>
  <c r="AY98" i="3"/>
  <c r="AY177" i="3"/>
  <c r="AY450" i="3"/>
  <c r="AY494" i="3"/>
  <c r="AY155" i="3"/>
  <c r="AY557" i="3"/>
  <c r="AY457" i="3"/>
  <c r="AY375" i="3"/>
  <c r="AY376" i="3"/>
  <c r="BE6" i="3"/>
  <c r="AY105" i="3"/>
  <c r="AY204" i="3"/>
  <c r="AY485" i="3"/>
  <c r="AY482" i="3"/>
  <c r="AY184" i="3"/>
  <c r="AY157" i="3"/>
  <c r="AY183" i="3"/>
  <c r="AY416" i="3"/>
  <c r="AY35" i="3"/>
  <c r="AY60" i="3"/>
  <c r="AY436" i="3"/>
  <c r="AY111" i="3"/>
  <c r="AY479" i="3"/>
  <c r="AY189" i="3"/>
  <c r="AY437" i="3"/>
  <c r="AY28" i="3"/>
  <c r="AY540" i="3"/>
  <c r="AY353" i="3"/>
  <c r="AY563" i="3"/>
  <c r="AY276" i="3"/>
  <c r="AY190" i="3"/>
  <c r="AY500" i="3"/>
  <c r="AY62" i="3"/>
  <c r="AY102" i="3"/>
  <c r="AY568" i="3"/>
  <c r="AY423" i="3"/>
  <c r="AY451" i="3"/>
  <c r="AY335" i="3"/>
  <c r="AY84" i="3"/>
  <c r="AY516" i="3"/>
  <c r="AY269" i="3"/>
  <c r="AY399" i="3"/>
  <c r="AY346" i="3"/>
  <c r="AY390" i="3"/>
  <c r="AY446" i="3"/>
  <c r="AY565" i="3"/>
  <c r="AY577" i="3"/>
  <c r="AY586" i="3"/>
  <c r="AY100" i="3"/>
  <c r="AY358" i="3"/>
  <c r="AY333" i="3"/>
  <c r="AY88" i="3"/>
  <c r="AY556" i="3"/>
  <c r="BO6" i="3"/>
  <c r="AY236" i="3"/>
  <c r="AY464" i="3"/>
  <c r="AY46" i="3"/>
  <c r="AY472" i="3"/>
  <c r="AY32" i="3"/>
  <c r="AY473" i="3"/>
  <c r="AY474" i="3"/>
  <c r="AY142" i="3"/>
  <c r="AY377" i="3"/>
  <c r="AY300" i="3"/>
  <c r="AY174" i="3"/>
  <c r="AY180" i="3"/>
  <c r="AY202" i="3"/>
  <c r="AY270" i="3"/>
  <c r="AY454" i="3"/>
  <c r="AY486" i="3"/>
  <c r="AY281" i="3"/>
  <c r="AY208" i="3"/>
  <c r="AY499" i="3"/>
  <c r="BH6" i="3"/>
  <c r="AY226" i="3"/>
  <c r="AY42" i="3"/>
  <c r="AY548" i="3"/>
  <c r="AY340" i="3"/>
  <c r="AY41" i="3"/>
  <c r="AY283" i="3"/>
  <c r="AY68" i="3"/>
  <c r="AY55" i="3"/>
  <c r="AY160" i="3"/>
  <c r="AY469" i="3"/>
  <c r="AY470" i="3"/>
  <c r="AY367" i="3"/>
  <c r="AY219" i="3"/>
  <c r="AY531" i="3"/>
  <c r="AY193" i="3"/>
  <c r="AY77" i="3"/>
  <c r="AY93" i="3"/>
  <c r="AY43" i="3"/>
  <c r="AY97" i="3"/>
  <c r="AY415" i="3"/>
  <c r="AY266" i="3"/>
  <c r="AY138" i="3"/>
  <c r="AY398" i="3"/>
  <c r="AY382" i="3"/>
  <c r="AY356" i="3"/>
  <c r="AY96" i="3"/>
  <c r="AY303" i="3"/>
  <c r="AY306" i="3"/>
  <c r="AY558" i="3"/>
  <c r="BM6" i="3"/>
  <c r="AY471" i="3"/>
  <c r="AY121" i="3"/>
  <c r="AY318" i="3"/>
  <c r="AY262" i="3"/>
  <c r="AY406" i="3"/>
  <c r="AY57" i="3"/>
  <c r="AY385" i="3"/>
  <c r="AY389" i="3"/>
  <c r="AY357" i="3"/>
  <c r="AY44" i="3"/>
  <c r="AY579" i="3"/>
  <c r="AY554" i="3"/>
  <c r="AY52" i="3"/>
  <c r="AY76" i="3"/>
  <c r="AY82" i="3"/>
  <c r="AY124" i="3"/>
  <c r="AY564" i="3"/>
  <c r="AY328" i="3"/>
  <c r="AY33" i="3"/>
  <c r="AY89" i="3"/>
  <c r="AY254" i="3"/>
  <c r="AY508" i="3"/>
  <c r="AY36" i="3"/>
  <c r="AY246" i="3"/>
  <c r="AY549" i="3"/>
  <c r="AY38" i="3"/>
  <c r="AY112" i="3"/>
  <c r="AY53" i="3"/>
  <c r="AY274" i="3"/>
  <c r="AY506" i="3"/>
  <c r="AY242" i="3"/>
  <c r="AY172" i="3"/>
  <c r="AY135" i="3"/>
  <c r="AY349" i="3"/>
  <c r="AY501" i="3"/>
  <c r="AY145" i="3"/>
  <c r="BI6" i="3"/>
  <c r="AY570" i="3"/>
  <c r="AY259" i="3"/>
  <c r="AY527" i="3"/>
  <c r="AY168" i="3"/>
  <c r="AY550" i="3"/>
  <c r="AY207" i="3"/>
  <c r="BN6" i="3"/>
  <c r="AY478" i="3"/>
  <c r="AY195" i="3"/>
  <c r="AY187" i="3"/>
  <c r="AY463" i="3"/>
  <c r="AY65" i="3"/>
  <c r="AY455" i="3"/>
  <c r="AY395" i="3"/>
  <c r="AY147" i="3"/>
  <c r="AY388" i="3"/>
  <c r="AY221" i="3"/>
  <c r="AY509" i="3"/>
  <c r="AY351" i="3"/>
  <c r="AY422" i="3"/>
  <c r="AY555" i="3"/>
  <c r="AY186" i="3"/>
  <c r="AY480" i="3"/>
  <c r="AY336" i="3"/>
  <c r="AY23" i="3"/>
  <c r="AY491" i="3"/>
  <c r="AY127" i="3"/>
  <c r="AY412" i="3"/>
  <c r="AY461" i="3"/>
  <c r="AY378" i="3"/>
  <c r="AY526" i="3"/>
  <c r="AY488" i="3"/>
  <c r="AY264" i="3"/>
  <c r="AY137" i="3"/>
  <c r="AY342" i="3"/>
  <c r="AY316" i="3"/>
  <c r="AY167" i="3"/>
  <c r="AY528" i="3"/>
  <c r="AY566" i="3"/>
  <c r="AY265" i="3"/>
  <c r="AY487" i="3"/>
  <c r="AY277" i="3"/>
  <c r="AY231" i="3"/>
  <c r="AY173" i="3"/>
  <c r="AY440" i="3"/>
  <c r="AY502" i="3"/>
  <c r="AY529" i="3"/>
  <c r="AY572" i="3"/>
  <c r="AY261" i="3"/>
  <c r="AY106" i="3"/>
  <c r="BC6" i="3"/>
  <c r="AY73" i="3"/>
  <c r="AY251" i="3"/>
  <c r="AY393" i="3"/>
  <c r="AY421" i="3"/>
  <c r="AY559" i="3"/>
  <c r="AY114" i="3"/>
  <c r="AY109" i="3"/>
  <c r="AY63" i="3"/>
  <c r="AY290" i="3"/>
  <c r="AY483" i="3"/>
  <c r="AY374" i="3"/>
  <c r="AY394" i="3"/>
  <c r="AY433" i="3"/>
  <c r="AY411" i="3"/>
  <c r="AY215" i="3"/>
  <c r="AY298" i="3"/>
  <c r="AY87" i="3"/>
  <c r="AY26" i="3"/>
  <c r="AY113" i="3"/>
  <c r="AY362" i="3"/>
  <c r="AY489" i="3"/>
  <c r="AY431" i="3"/>
  <c r="AY533" i="3"/>
  <c r="AY403" i="3"/>
  <c r="AY17" i="3"/>
  <c r="AY414" i="3"/>
  <c r="AY238" i="3"/>
  <c r="AY196" i="3"/>
  <c r="AY248" i="3"/>
  <c r="AY456" i="3"/>
  <c r="AY427" i="3"/>
  <c r="AY312" i="3"/>
  <c r="AY585" i="3"/>
  <c r="AY532" i="3"/>
  <c r="AY285" i="3"/>
  <c r="AY67" i="3"/>
  <c r="AY352" i="3"/>
  <c r="AY372" i="3"/>
  <c r="AY29" i="3"/>
  <c r="AY70" i="3"/>
  <c r="AY426" i="3"/>
  <c r="AY569" i="3"/>
  <c r="AY139" i="3"/>
  <c r="AY144" i="3"/>
  <c r="AY496" i="3"/>
  <c r="AY445" i="3"/>
  <c r="AY576" i="3"/>
  <c r="AY209" i="3"/>
  <c r="AY94" i="3"/>
  <c r="AY241" i="3"/>
  <c r="AY319" i="3"/>
  <c r="AY331" i="3"/>
  <c r="AY141" i="3"/>
  <c r="AY442" i="3"/>
  <c r="AY278" i="3"/>
  <c r="AY477" i="3"/>
  <c r="BP6" i="3"/>
  <c r="AY538" i="3"/>
  <c r="AY304" i="3"/>
  <c r="AY79" i="3"/>
  <c r="AY345" i="3"/>
  <c r="AY257" i="3"/>
  <c r="AY434" i="3"/>
  <c r="AY365" i="3"/>
  <c r="AY49" i="3"/>
  <c r="AY334" i="3"/>
  <c r="AY350" i="3"/>
  <c r="AY405" i="3"/>
  <c r="AY149" i="3"/>
  <c r="AY384" i="3"/>
  <c r="AY441" i="3"/>
  <c r="AY337" i="3"/>
  <c r="AY419" i="3"/>
  <c r="AY465" i="3"/>
  <c r="AY161" i="3"/>
  <c r="AY182" i="3"/>
  <c r="AY311" i="3"/>
  <c r="AY275" i="3"/>
  <c r="AY126" i="3"/>
  <c r="BR6" i="3"/>
  <c r="AY166" i="3"/>
  <c r="AY514" i="3"/>
  <c r="AY498" i="3"/>
  <c r="AY280" i="3"/>
  <c r="AY206" i="3"/>
  <c r="AY69" i="3"/>
  <c r="AY253" i="3"/>
  <c r="AY267" i="3"/>
  <c r="AY200" i="3"/>
  <c r="AY409" i="3"/>
  <c r="AY134" i="3"/>
  <c r="AY292" i="3"/>
  <c r="AY75" i="3"/>
  <c r="AY286" i="3"/>
  <c r="AY220" i="3"/>
  <c r="AY234" i="3"/>
  <c r="AY81" i="3"/>
  <c r="AY216" i="3"/>
  <c r="AY25" i="3"/>
  <c r="AY80" i="3"/>
  <c r="AY381" i="3"/>
  <c r="AY218" i="3"/>
  <c r="AY449" i="3"/>
  <c r="AY83" i="3"/>
  <c r="AY363" i="3"/>
  <c r="AY317" i="3"/>
  <c r="AY39" i="3"/>
  <c r="AY78" i="3"/>
  <c r="AY176" i="3"/>
  <c r="AY420" i="3"/>
  <c r="AY522" i="3"/>
  <c r="AY91" i="3"/>
  <c r="AY255" i="3"/>
  <c r="AY233" i="3"/>
  <c r="AY247" i="3"/>
  <c r="AY250" i="3"/>
  <c r="AY383" i="3"/>
  <c r="AY289" i="3"/>
  <c r="AY329" i="3"/>
  <c r="AY574" i="3"/>
  <c r="AY120" i="3"/>
  <c r="AY268" i="3"/>
  <c r="AY50" i="3"/>
  <c r="AY256" i="3"/>
  <c r="AY194" i="3"/>
  <c r="AY54" i="3"/>
  <c r="AY18" i="3"/>
  <c r="AY20" i="3"/>
  <c r="AY504" i="3"/>
  <c r="AY101" i="3"/>
  <c r="AY71" i="3"/>
  <c r="AY490" i="3"/>
  <c r="AY48" i="3"/>
  <c r="AY432" i="3"/>
  <c r="AY326" i="3"/>
  <c r="AY152" i="3"/>
  <c r="AY21" i="3"/>
  <c r="AY151" i="3"/>
  <c r="AY15" i="3"/>
  <c r="AY417" i="3"/>
  <c r="AY273" i="3"/>
  <c r="BD6" i="3"/>
  <c r="AY573" i="3"/>
  <c r="AY213" i="3"/>
  <c r="AY503" i="3"/>
  <c r="AY369" i="3"/>
  <c r="AY118" i="3"/>
  <c r="BB6" i="3"/>
  <c r="AY534" i="3"/>
  <c r="AY330" i="3"/>
  <c r="AY460" i="3"/>
  <c r="AY397" i="3"/>
  <c r="AY235" i="3"/>
  <c r="AY237" i="3"/>
  <c r="BA6" i="3"/>
  <c r="AY245" i="3"/>
  <c r="AY468" i="3"/>
  <c r="AY307" i="3"/>
  <c r="AY228" i="3"/>
  <c r="AY373" i="3"/>
  <c r="AY355" i="3"/>
  <c r="AY252" i="3"/>
  <c r="AY95" i="3"/>
  <c r="BF6" i="3"/>
  <c r="AY156" i="3"/>
  <c r="AY45" i="3"/>
  <c r="AY150" i="3"/>
  <c r="AY379" i="3"/>
  <c r="AY132" i="3"/>
  <c r="AY295" i="3"/>
  <c r="BJ6" i="3"/>
  <c r="AY575" i="3"/>
  <c r="AY158" i="3"/>
  <c r="AY188" i="3"/>
  <c r="AY154" i="3"/>
  <c r="AY61" i="3"/>
  <c r="AY515" i="3"/>
  <c r="AY315" i="3"/>
  <c r="AY453" i="3"/>
  <c r="AY224" i="3"/>
  <c r="AY214" i="3"/>
  <c r="AY571" i="3"/>
  <c r="AY229" i="3"/>
  <c r="AY136" i="3"/>
  <c r="AY401" i="3"/>
  <c r="BQ6" i="3"/>
  <c r="AY122" i="3"/>
  <c r="AY551" i="3"/>
  <c r="AY223" i="3"/>
  <c r="AY272" i="3"/>
  <c r="AY544" i="3"/>
  <c r="AY116" i="3"/>
  <c r="AY425" i="3"/>
  <c r="AY512" i="3"/>
  <c r="AY301" i="3"/>
  <c r="AY583" i="3"/>
  <c r="AY543" i="3"/>
  <c r="AY535" i="3"/>
  <c r="AY211" i="3"/>
  <c r="AY341" i="3"/>
  <c r="AY418" i="3"/>
  <c r="AY541" i="3"/>
  <c r="AY302" i="3"/>
  <c r="AY123" i="3"/>
  <c r="AY459" i="3"/>
  <c r="AY360" i="3"/>
  <c r="AY392" i="3"/>
  <c r="AY492" i="3"/>
  <c r="BG6" i="3"/>
  <c r="AY407" i="3"/>
  <c r="AY293" i="3"/>
  <c r="AY444" i="3"/>
  <c r="AY507" i="3"/>
  <c r="AY404" i="3"/>
  <c r="AY458" i="3"/>
  <c r="BT6" i="3"/>
  <c r="AY171" i="3"/>
  <c r="AY439" i="3"/>
  <c r="AY428" i="3"/>
  <c r="AY582" i="3"/>
  <c r="AY484" i="3"/>
  <c r="AY562" i="3"/>
  <c r="AY159" i="3"/>
  <c r="AY263" i="3"/>
  <c r="AY309" i="3"/>
  <c r="AY310" i="3"/>
  <c r="AY476" i="3"/>
  <c r="AY519" i="3"/>
  <c r="AY108" i="3"/>
  <c r="AY56" i="3"/>
  <c r="AY115" i="3"/>
  <c r="AY178" i="3"/>
  <c r="AY580" i="3"/>
  <c r="AY59" i="3"/>
  <c r="AY424" i="3"/>
  <c r="AY327" i="3"/>
  <c r="AY348" i="3"/>
  <c r="AY537" i="3"/>
  <c r="AY447" i="3"/>
  <c r="AY517" i="3"/>
  <c r="AY513" i="3"/>
  <c r="AY34" i="3"/>
  <c r="AY510" i="3"/>
  <c r="BK6" i="3"/>
  <c r="AY324" i="3"/>
  <c r="AY66" i="3"/>
  <c r="AY175" i="3"/>
  <c r="AY225" i="3"/>
  <c r="AY165" i="3"/>
  <c r="AY539" i="3"/>
  <c r="AY146" i="3"/>
  <c r="AY323" i="3"/>
  <c r="AY51" i="3"/>
  <c r="AY518" i="3"/>
  <c r="AY169" i="3"/>
  <c r="AY217" i="3"/>
  <c r="AY191" i="3"/>
  <c r="AY22" i="3"/>
  <c r="BS6" i="3"/>
  <c r="AY31" i="3"/>
  <c r="AY170" i="3"/>
  <c r="AY366" i="3"/>
  <c r="D3" i="6"/>
  <c r="M21" i="6"/>
  <c r="I21" i="6" s="1"/>
  <c r="S21" i="6" s="1"/>
  <c r="S8" i="1"/>
  <c r="M22" i="6"/>
  <c r="I22" i="6" s="1"/>
  <c r="S22" i="6" s="1"/>
  <c r="S9" i="1"/>
  <c r="E66" i="39"/>
  <c r="C115" i="43"/>
  <c r="D113" i="43" s="1"/>
  <c r="C7" i="74"/>
  <c r="C8" i="74"/>
  <c r="W11" i="21"/>
  <c r="AC11" i="21"/>
  <c r="V48" i="21" s="1"/>
  <c r="I48" i="21" s="1"/>
  <c r="J10" i="40"/>
  <c r="H10" i="40"/>
  <c r="F10" i="40"/>
  <c r="J10" i="39"/>
  <c r="H10" i="39"/>
  <c r="F10" i="39"/>
  <c r="C35" i="69"/>
  <c r="C38" i="69"/>
  <c r="C9" i="68"/>
  <c r="AR6" i="1"/>
  <c r="AQ6" i="1"/>
  <c r="T6" i="1"/>
  <c r="K27" i="6"/>
  <c r="E6" i="76"/>
  <c r="C17" i="15"/>
  <c r="C17" i="78"/>
  <c r="E6" i="3" l="1"/>
  <c r="O16" i="1"/>
  <c r="C8" i="69"/>
  <c r="C5" i="69" s="1"/>
  <c r="S16" i="1"/>
  <c r="D19" i="68"/>
  <c r="D37" i="68" s="1"/>
  <c r="D19" i="69"/>
  <c r="C19" i="69" s="1"/>
  <c r="C24" i="69" s="1"/>
  <c r="C22" i="11"/>
  <c r="E2" i="76"/>
  <c r="I52" i="21"/>
  <c r="J52" i="21" s="1"/>
  <c r="U10" i="39"/>
  <c r="AB10" i="39"/>
  <c r="T47" i="39" s="1"/>
  <c r="G47" i="39" s="1"/>
  <c r="AA10" i="40"/>
  <c r="S10" i="40"/>
  <c r="AC10" i="40"/>
  <c r="W10" i="40"/>
  <c r="AQ7" i="1"/>
  <c r="E7" i="70"/>
  <c r="AR7" i="1"/>
  <c r="T7" i="1"/>
  <c r="I27" i="6"/>
  <c r="S19" i="6"/>
  <c r="S27" i="6" s="1"/>
  <c r="D37" i="69"/>
  <c r="C37" i="69" s="1"/>
  <c r="C33" i="69" s="1"/>
  <c r="C29" i="68"/>
  <c r="D27" i="68" s="1"/>
  <c r="C47" i="68"/>
  <c r="D45" i="68" s="1"/>
  <c r="P6" i="1"/>
  <c r="C28" i="11"/>
  <c r="C27" i="11" s="1"/>
  <c r="S10" i="39"/>
  <c r="AA10" i="39"/>
  <c r="R47" i="39" s="1"/>
  <c r="W10" i="39"/>
  <c r="AC10" i="39"/>
  <c r="V47" i="39" s="1"/>
  <c r="I47" i="39" s="1"/>
  <c r="U10" i="40"/>
  <c r="AB10" i="40"/>
  <c r="AR9" i="1"/>
  <c r="AQ9" i="1"/>
  <c r="T9" i="1"/>
  <c r="AR8" i="1"/>
  <c r="E8" i="70"/>
  <c r="AQ8" i="1"/>
  <c r="T8" i="1"/>
  <c r="H22" i="6"/>
  <c r="D15" i="6"/>
  <c r="H25" i="6"/>
  <c r="H23" i="6"/>
  <c r="D6" i="6"/>
  <c r="H26" i="6"/>
  <c r="L19" i="9"/>
  <c r="H21" i="6"/>
  <c r="D10" i="6"/>
  <c r="D22" i="6"/>
  <c r="D24" i="6"/>
  <c r="D8" i="6"/>
  <c r="H24" i="6"/>
  <c r="D11" i="6"/>
  <c r="D5" i="6"/>
  <c r="D14" i="6"/>
  <c r="D29" i="6"/>
  <c r="D13" i="6"/>
  <c r="D9" i="6"/>
  <c r="D12" i="6"/>
  <c r="H20" i="6"/>
  <c r="D28" i="6"/>
  <c r="D26" i="6"/>
  <c r="D23" i="6"/>
  <c r="R23" i="6" s="1"/>
  <c r="H19" i="6"/>
  <c r="D25" i="6"/>
  <c r="E61" i="40"/>
  <c r="F61" i="40" s="1"/>
  <c r="B2" i="40" s="1"/>
  <c r="B3" i="40" s="1"/>
  <c r="M19" i="9"/>
  <c r="C118" i="9" s="1"/>
  <c r="C14" i="74" s="1"/>
  <c r="B2" i="74" s="1"/>
  <c r="D21" i="6"/>
  <c r="C18" i="4"/>
  <c r="D20" i="6"/>
  <c r="R20" i="6" s="1"/>
  <c r="R7" i="1" s="1"/>
  <c r="D19" i="6"/>
  <c r="M27" i="6"/>
  <c r="C23" i="69"/>
  <c r="C29" i="69"/>
  <c r="D27" i="69" s="1"/>
  <c r="C47" i="69"/>
  <c r="D45" i="69" s="1"/>
  <c r="C47" i="11"/>
  <c r="D45" i="11" s="1"/>
  <c r="C29" i="11"/>
  <c r="D27" i="11" s="1"/>
  <c r="F11" i="12"/>
  <c r="C14" i="12" s="1"/>
  <c r="F34" i="11"/>
  <c r="F34" i="68"/>
  <c r="G52" i="21"/>
  <c r="H52" i="21" s="1"/>
  <c r="G53" i="21"/>
  <c r="H53" i="21" s="1"/>
  <c r="E48" i="21"/>
  <c r="I53" i="21" s="1"/>
  <c r="J53" i="21" s="1"/>
  <c r="R49" i="21"/>
  <c r="B2" i="43"/>
  <c r="C14" i="78"/>
  <c r="C14" i="15"/>
  <c r="B6" i="76"/>
  <c r="F35" i="78"/>
  <c r="M21" i="78"/>
  <c r="R21" i="6" l="1"/>
  <c r="R8" i="1" s="1"/>
  <c r="H27" i="6"/>
  <c r="R26" i="6"/>
  <c r="C37" i="68"/>
  <c r="R25" i="6"/>
  <c r="C31" i="11"/>
  <c r="C20" i="69"/>
  <c r="C25" i="69" s="1"/>
  <c r="C22" i="69" s="1"/>
  <c r="C18" i="78"/>
  <c r="C15" i="78"/>
  <c r="B2" i="76"/>
  <c r="B3" i="76" s="1"/>
  <c r="C34" i="78"/>
  <c r="F63" i="78"/>
  <c r="C62" i="78" s="1"/>
  <c r="J20" i="78"/>
  <c r="C15" i="15"/>
  <c r="C18" i="15"/>
  <c r="R24" i="6"/>
  <c r="I51" i="39"/>
  <c r="J51" i="39" s="1"/>
  <c r="E47" i="39"/>
  <c r="I52" i="39" s="1"/>
  <c r="J52" i="39" s="1"/>
  <c r="R48" i="39"/>
  <c r="E2" i="70"/>
  <c r="G52" i="39"/>
  <c r="H52" i="39" s="1"/>
  <c r="G51" i="39"/>
  <c r="H51" i="39" s="1"/>
  <c r="B3" i="43"/>
  <c r="E52" i="21"/>
  <c r="F52" i="21" s="1"/>
  <c r="E53" i="21"/>
  <c r="F53" i="21" s="1"/>
  <c r="C36" i="11"/>
  <c r="C34" i="11"/>
  <c r="C37" i="11"/>
  <c r="C48" i="21"/>
  <c r="C49" i="21"/>
  <c r="C36" i="68"/>
  <c r="C34" i="68"/>
  <c r="D27" i="6"/>
  <c r="R19" i="6"/>
  <c r="C4" i="52"/>
  <c r="B45" i="72" s="1"/>
  <c r="A7" i="51"/>
  <c r="B7" i="72" s="1"/>
  <c r="A10" i="51"/>
  <c r="B9" i="72" s="1"/>
  <c r="D7" i="74"/>
  <c r="D8" i="74"/>
  <c r="D30" i="6"/>
  <c r="D16" i="6"/>
  <c r="R22" i="6"/>
  <c r="R9" i="1" s="1"/>
  <c r="C13" i="12"/>
  <c r="P16" i="1"/>
  <c r="C11" i="12" s="1"/>
  <c r="C39" i="69"/>
  <c r="C43" i="69" s="1"/>
  <c r="C42" i="69"/>
  <c r="T16" i="1"/>
  <c r="F35" i="15"/>
  <c r="M21" i="15"/>
  <c r="F63" i="15" l="1"/>
  <c r="C62" i="15" s="1"/>
  <c r="C34" i="15"/>
  <c r="J20" i="15"/>
  <c r="C28" i="69"/>
  <c r="C27" i="69" s="1"/>
  <c r="C31" i="69" s="1"/>
  <c r="C19" i="78"/>
  <c r="C20" i="78" s="1"/>
  <c r="C26" i="78" s="1"/>
  <c r="C19" i="15"/>
  <c r="C20" i="15" s="1"/>
  <c r="C26" i="15" s="1"/>
  <c r="C41" i="69"/>
  <c r="C46" i="69"/>
  <c r="C45" i="69" s="1"/>
  <c r="C12" i="12"/>
  <c r="C15" i="12"/>
  <c r="R27" i="6"/>
  <c r="R6" i="1"/>
  <c r="R16" i="1" s="1"/>
  <c r="C38" i="68"/>
  <c r="C35" i="68"/>
  <c r="B3" i="21"/>
  <c r="C6" i="12" s="1"/>
  <c r="B2" i="21"/>
  <c r="C8" i="12" s="1"/>
  <c r="E52" i="39"/>
  <c r="F52" i="39" s="1"/>
  <c r="E51" i="39"/>
  <c r="F51" i="39" s="1"/>
  <c r="D31" i="6"/>
  <c r="C38" i="11"/>
  <c r="C35" i="11"/>
  <c r="C47" i="39"/>
  <c r="C48" i="39"/>
  <c r="C16" i="12" l="1"/>
  <c r="C21" i="12" s="1"/>
  <c r="C22" i="12" s="1"/>
  <c r="C49" i="69"/>
  <c r="C51" i="69" s="1"/>
  <c r="C52" i="69" s="1"/>
  <c r="B2" i="69" s="1"/>
  <c r="B3" i="69" s="1"/>
  <c r="C33" i="11"/>
  <c r="C39" i="11" s="1"/>
  <c r="C43" i="11" s="1"/>
  <c r="C33" i="68"/>
  <c r="C39" i="68" s="1"/>
  <c r="C43" i="68" s="1"/>
  <c r="C23" i="78"/>
  <c r="C29" i="78" s="1"/>
  <c r="I5" i="6"/>
  <c r="I6" i="6"/>
  <c r="B63" i="39"/>
  <c r="F63" i="39" s="1"/>
  <c r="B62" i="39"/>
  <c r="F62" i="39" s="1"/>
  <c r="B64" i="39"/>
  <c r="F64" i="39" s="1"/>
  <c r="B65" i="39"/>
  <c r="F65" i="39" s="1"/>
  <c r="B57" i="39"/>
  <c r="F57" i="39" s="1"/>
  <c r="B60" i="39"/>
  <c r="F60" i="39" s="1"/>
  <c r="B59" i="39"/>
  <c r="F59" i="39" s="1"/>
  <c r="B58" i="39"/>
  <c r="F58" i="39" s="1"/>
  <c r="B61" i="39"/>
  <c r="F61" i="39" s="1"/>
  <c r="B56" i="39"/>
  <c r="F56" i="39" s="1"/>
  <c r="C23" i="15"/>
  <c r="C29" i="15" s="1"/>
  <c r="F66" i="39" l="1"/>
  <c r="B2" i="39" s="1"/>
  <c r="C6" i="68" s="1"/>
  <c r="C42" i="11"/>
  <c r="C57" i="69"/>
  <c r="C56" i="69" s="1"/>
  <c r="C42" i="68"/>
  <c r="C46" i="11"/>
  <c r="C45" i="11" s="1"/>
  <c r="C41" i="68"/>
  <c r="C46" i="68"/>
  <c r="C45" i="68" s="1"/>
  <c r="C41" i="11"/>
  <c r="Q49" i="15"/>
  <c r="C36" i="15"/>
  <c r="J19" i="15"/>
  <c r="J17" i="15" s="1"/>
  <c r="J14" i="15"/>
  <c r="C13" i="15"/>
  <c r="C57" i="15"/>
  <c r="C33" i="15"/>
  <c r="C31" i="15" s="1"/>
  <c r="J14" i="78"/>
  <c r="C36" i="78"/>
  <c r="J19" i="78"/>
  <c r="J17" i="78" s="1"/>
  <c r="Q49" i="78"/>
  <c r="C57" i="78"/>
  <c r="C13" i="78"/>
  <c r="C33" i="78"/>
  <c r="C31" i="78" s="1"/>
  <c r="B3" i="39"/>
  <c r="C49" i="11" l="1"/>
  <c r="C51" i="11" s="1"/>
  <c r="C52" i="11" s="1"/>
  <c r="B2" i="11" s="1"/>
  <c r="B3" i="11" s="1"/>
  <c r="C49" i="68"/>
  <c r="C51" i="68" s="1"/>
  <c r="C7" i="68"/>
  <c r="C5" i="68" s="1"/>
  <c r="C64" i="78"/>
  <c r="C61" i="78"/>
  <c r="C59" i="78" s="1"/>
  <c r="J22" i="78"/>
  <c r="J13" i="78"/>
  <c r="J23" i="78" s="1"/>
  <c r="C64" i="15"/>
  <c r="C61" i="15"/>
  <c r="C59" i="15" s="1"/>
  <c r="J22" i="15"/>
  <c r="J13" i="15"/>
  <c r="J23" i="15" s="1"/>
  <c r="Q70" i="78"/>
  <c r="C56" i="78"/>
  <c r="C65" i="78" s="1"/>
  <c r="C37" i="78"/>
  <c r="C30" i="78" s="1"/>
  <c r="C39" i="78" s="1"/>
  <c r="C75" i="78"/>
  <c r="Q70" i="15"/>
  <c r="C56" i="15"/>
  <c r="C65" i="15" s="1"/>
  <c r="C37" i="15"/>
  <c r="C30" i="15" s="1"/>
  <c r="C39" i="15" s="1"/>
  <c r="C75" i="15"/>
  <c r="L51" i="78"/>
  <c r="L51" i="15"/>
  <c r="C56" i="11" l="1"/>
  <c r="C57" i="11" s="1"/>
  <c r="J16" i="15"/>
  <c r="J25" i="15" s="1"/>
  <c r="J16" i="78"/>
  <c r="J25" i="78" s="1"/>
  <c r="Q67" i="15"/>
  <c r="Q67" i="78"/>
  <c r="Q69" i="15"/>
  <c r="Q68" i="15" s="1"/>
  <c r="C40" i="15"/>
  <c r="Q69" i="78"/>
  <c r="Q68" i="78" s="1"/>
  <c r="C40" i="78"/>
  <c r="C80" i="15"/>
  <c r="C79" i="15" s="1"/>
  <c r="C80" i="78"/>
  <c r="C79" i="78" s="1"/>
  <c r="C58" i="78"/>
  <c r="C67" i="78" s="1"/>
  <c r="C68" i="78" s="1"/>
  <c r="C58" i="15"/>
  <c r="C67" i="15" s="1"/>
  <c r="C68" i="15" s="1"/>
  <c r="C20" i="68"/>
  <c r="C25" i="68" s="1"/>
  <c r="C23" i="68"/>
  <c r="C71" i="15" l="1"/>
  <c r="C46" i="15"/>
  <c r="C43" i="78"/>
  <c r="Q65" i="78"/>
  <c r="Q75" i="78" s="1"/>
  <c r="Q56" i="78"/>
  <c r="Q62" i="78" s="1"/>
  <c r="Q47" i="78"/>
  <c r="Q53" i="78" s="1"/>
  <c r="B2" i="78"/>
  <c r="C83" i="78"/>
  <c r="C82" i="78" s="1"/>
  <c r="C43" i="15"/>
  <c r="Q47" i="15"/>
  <c r="Q53" i="15" s="1"/>
  <c r="Q65" i="15"/>
  <c r="Q75" i="15" s="1"/>
  <c r="Q56" i="15"/>
  <c r="Q62" i="15" s="1"/>
  <c r="B2" i="15"/>
  <c r="C83" i="15"/>
  <c r="C82" i="15" s="1"/>
  <c r="C22" i="68"/>
  <c r="C28" i="68"/>
  <c r="C27" i="68" s="1"/>
  <c r="C71" i="78"/>
  <c r="C46" i="78"/>
  <c r="AO8" i="1"/>
  <c r="AO7" i="1"/>
  <c r="B8" i="70" l="1"/>
  <c r="B7" i="70"/>
  <c r="C31" i="68"/>
  <c r="C52" i="68" s="1"/>
  <c r="E8" i="12"/>
  <c r="B3" i="15"/>
  <c r="E6" i="12" s="1"/>
  <c r="D8" i="12"/>
  <c r="C4" i="12" s="1"/>
  <c r="B3" i="78"/>
  <c r="D6" i="12" s="1"/>
  <c r="B2" i="70" l="1"/>
  <c r="B3" i="70" s="1"/>
  <c r="C31" i="12"/>
  <c r="C23" i="12"/>
  <c r="B2" i="68"/>
  <c r="C57" i="68"/>
  <c r="C56" i="68" s="1"/>
  <c r="C19" i="9"/>
  <c r="C21" i="9" l="1"/>
  <c r="C102" i="9"/>
  <c r="B3" i="68"/>
  <c r="C27" i="12"/>
  <c r="C25" i="12" s="1"/>
  <c r="C30" i="12"/>
  <c r="C28" i="12" s="1"/>
  <c r="C20" i="9"/>
  <c r="D35" i="9"/>
  <c r="D34" i="9"/>
  <c r="C32" i="12" l="1"/>
  <c r="B2" i="12" s="1"/>
  <c r="B3" i="12" s="1"/>
  <c r="C103" i="9"/>
  <c r="D20" i="9"/>
  <c r="D19" i="9"/>
  <c r="D21" i="9" l="1"/>
  <c r="D22" i="9"/>
  <c r="D102" i="9"/>
  <c r="G19" i="9"/>
  <c r="D28" i="9" s="1"/>
  <c r="D103" i="9"/>
  <c r="G20" i="9"/>
  <c r="G21" i="9" l="1"/>
  <c r="C32" i="9"/>
  <c r="C35" i="9" s="1"/>
  <c r="F118" i="9" s="1"/>
  <c r="H118" i="9" l="1"/>
  <c r="C34" i="9"/>
  <c r="D118" i="9" s="1"/>
  <c r="J118" i="9" s="1"/>
  <c r="G118" i="9"/>
  <c r="G4" i="52" s="1"/>
  <c r="B52" i="72" s="1"/>
  <c r="F119" i="9"/>
  <c r="F5" i="52" s="1"/>
  <c r="B53" i="72" s="1"/>
  <c r="F4" i="52"/>
  <c r="B51" i="72" s="1"/>
  <c r="C104" i="9" l="1"/>
  <c r="H101" i="9"/>
  <c r="D5" i="53" s="1"/>
  <c r="H119" i="9"/>
  <c r="H5" i="52" s="1"/>
  <c r="I118" i="9"/>
  <c r="C105" i="9" s="1"/>
  <c r="D14" i="74"/>
  <c r="B5" i="74" s="1"/>
  <c r="H4" i="52"/>
  <c r="D4" i="52"/>
  <c r="B47" i="72" s="1"/>
  <c r="D119" i="9"/>
  <c r="D5" i="52" s="1"/>
  <c r="B49" i="72" s="1"/>
  <c r="H107" i="9" l="1"/>
  <c r="D13" i="53" s="1"/>
  <c r="E14" i="74"/>
  <c r="E118" i="9"/>
  <c r="E4" i="52" s="1"/>
  <c r="B48" i="72" s="1"/>
  <c r="M48" i="9"/>
  <c r="F14" i="74"/>
  <c r="H102" i="9"/>
  <c r="D7" i="53" s="1"/>
  <c r="B21" i="72" s="1"/>
  <c r="D45" i="9"/>
  <c r="C93" i="9" s="1"/>
  <c r="C86" i="9" s="1"/>
  <c r="I4" i="52"/>
  <c r="C5" i="74"/>
  <c r="D5" i="74"/>
  <c r="B20" i="72"/>
  <c r="D6" i="53"/>
  <c r="B22" i="72" s="1"/>
  <c r="H108" i="9" l="1"/>
  <c r="D15" i="53" s="1"/>
  <c r="B31" i="72" s="1"/>
  <c r="D53" i="9"/>
  <c r="D122" i="9"/>
  <c r="D8" i="52" s="1"/>
  <c r="C78" i="9"/>
  <c r="C73" i="9" s="1"/>
  <c r="D55" i="9"/>
  <c r="M53" i="9" s="1"/>
  <c r="C85" i="9"/>
  <c r="C95" i="9" s="1"/>
  <c r="M49" i="9"/>
  <c r="L68" i="9" s="1"/>
  <c r="M68" i="9" s="1"/>
  <c r="C72" i="9"/>
  <c r="C79" i="9" s="1"/>
  <c r="C80" i="9" s="1"/>
  <c r="E80" i="9" s="1"/>
  <c r="E81" i="9" s="1"/>
  <c r="C64" i="9"/>
  <c r="C63" i="9" s="1"/>
  <c r="C67" i="9" s="1"/>
  <c r="C68" i="9" s="1"/>
  <c r="D54" i="9" s="1"/>
  <c r="D52" i="9"/>
  <c r="L64" i="9"/>
  <c r="M64" i="9" s="1"/>
  <c r="B30" i="72"/>
  <c r="D14" i="53"/>
  <c r="B32" i="72" s="1"/>
  <c r="D123" i="9" l="1"/>
  <c r="D9" i="52" s="1"/>
  <c r="G14" i="74"/>
  <c r="B6" i="74" s="1"/>
  <c r="D6" i="74" s="1"/>
  <c r="L67" i="9"/>
  <c r="M67" i="9" s="1"/>
  <c r="L63" i="9"/>
  <c r="M63" i="9" s="1"/>
  <c r="L65" i="9"/>
  <c r="M65" i="9" s="1"/>
  <c r="L66" i="9"/>
  <c r="M66" i="9" s="1"/>
  <c r="C96" i="9"/>
  <c r="E96" i="9" s="1"/>
  <c r="E97" i="9" s="1"/>
  <c r="C81" i="9"/>
  <c r="C6" i="74" l="1"/>
  <c r="M69" i="9"/>
  <c r="N69" i="9" s="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<sst xmlns="http://schemas.openxmlformats.org/spreadsheetml/2006/main" count="8099" uniqueCount="3293">
  <si>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</si>
  <si>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</si>
  <si>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</si>
  <si>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</si>
  <si>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</si>
  <si>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</si>
  <si>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</si>
  <si>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</si>
  <si>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</si>
  <si>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</si>
  <si>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</si>
  <si>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</si>
  <si>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</si>
  <si>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</si>
  <si>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</si>
  <si>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</si>
  <si>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</si>
  <si>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</si>
  <si>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</si>
  <si>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</si>
  <si>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</si>
  <si>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</si>
  <si>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</si>
  <si>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</si>
  <si>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</si>
  <si>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</si>
  <si>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</si>
  <si>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</si>
  <si>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</si>
  <si>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</si>
  <si>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</si>
  <si>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</si>
  <si>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</si>
  <si>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</si>
  <si>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</si>
  <si>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</si>
  <si>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</si>
  <si>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</si>
  <si>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</si>
  <si>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</si>
  <si>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</si>
  <si>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</si>
  <si>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</si>
  <si>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</si>
  <si>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</si>
  <si>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</si>
  <si>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</si>
  <si>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</si>
  <si>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</si>
  <si>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</si>
  <si>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</si>
  <si>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</si>
  <si>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</si>
  <si>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</si>
  <si>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</si>
  <si>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</si>
  <si>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</si>
  <si>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</si>
  <si>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</si>
  <si>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</si>
  <si>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</si>
  <si>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</si>
  <si>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</si>
  <si>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</si>
  <si>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</si>
  <si>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</si>
  <si>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</si>
  <si>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</si>
  <si>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</si>
  <si>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</si>
  <si>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</si>
  <si>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</si>
  <si>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</si>
  <si>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</si>
  <si>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</si>
  <si>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</si>
  <si>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</si>
  <si>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</si>
  <si>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</si>
  <si>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</si>
  <si>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</si>
  <si>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</si>
  <si>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</si>
  <si>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</si>
  <si>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</si>
  <si>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</si>
  <si>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</si>
  <si>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</si>
  <si>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</si>
  <si>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</si>
  <si>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</si>
  <si>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</si>
  <si>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</si>
  <si>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</si>
  <si>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</si>
  <si>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</si>
  <si>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</si>
  <si>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</si>
  <si>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</si>
  <si>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</si>
  <si>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</si>
  <si>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</si>
  <si>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</si>
  <si>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</si>
  <si>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</si>
  <si>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</si>
  <si>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</si>
  <si>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</si>
  <si>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</si>
  <si>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</si>
  <si>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</si>
  <si>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</si>
  <si>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</si>
  <si>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</si>
  <si>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</si>
  <si>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</si>
  <si>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</si>
  <si>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</si>
  <si>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</si>
  <si>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</si>
  <si>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</si>
  <si>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</si>
  <si>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</si>
  <si>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</si>
  <si>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</si>
  <si>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</si>
  <si>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</si>
  <si>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</si>
  <si>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</si>
  <si>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</si>
  <si>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</si>
  <si>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</si>
  <si>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</si>
  <si>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</si>
  <si>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</si>
  <si>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</si>
  <si>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</si>
  <si>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</si>
  <si>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</si>
  <si>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</si>
  <si>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</si>
  <si>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</si>
  <si>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</si>
  <si>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</si>
  <si>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</si>
  <si>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</si>
  <si>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</si>
  <si>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</si>
  <si>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</si>
  <si>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</si>
  <si>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</si>
  <si>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</si>
  <si>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</si>
  <si>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</si>
  <si>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</si>
  <si>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</si>
  <si>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</si>
  <si>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</si>
  <si>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</si>
  <si>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</si>
  <si>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</si>
  <si>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</si>
  <si>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</si>
  <si>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</si>
  <si>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</si>
  <si>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</si>
  <si>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</si>
  <si>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</si>
  <si>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</si>
  <si>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</si>
  <si>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</si>
  <si>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</si>
  <si>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</si>
  <si>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</si>
  <si>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</si>
  <si>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</si>
  <si>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</si>
  <si>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</si>
  <si>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</si>
  <si>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</si>
  <si>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</si>
  <si>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</si>
  <si>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</si>
  <si>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</si>
  <si>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</si>
  <si>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</si>
  <si>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</si>
  <si>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</si>
  <si>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</si>
  <si>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</si>
  <si>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</si>
  <si>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</si>
  <si>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</si>
  <si>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</si>
  <si>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</si>
  <si>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</si>
  <si>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</si>
  <si>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</si>
  <si>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</si>
  <si>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</si>
  <si>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</si>
  <si>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</si>
  <si>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</si>
  <si>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</si>
  <si>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</si>
  <si>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</si>
  <si>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</si>
  <si>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</si>
  <si>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</si>
  <si>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</si>
  <si>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</si>
  <si>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</si>
  <si>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</si>
  <si>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</si>
  <si>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</si>
  <si>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</si>
  <si>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</si>
  <si>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</si>
  <si>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</si>
  <si>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</si>
  <si>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</si>
  <si>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</si>
  <si>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</si>
  <si>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</si>
  <si>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</si>
  <si>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</si>
  <si>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</si>
  <si>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</si>
  <si>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</si>
  <si>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</si>
  <si>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</si>
  <si>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</si>
  <si>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</si>
  <si>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</si>
  <si>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</si>
  <si>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</si>
  <si>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</si>
  <si>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</si>
  <si>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</si>
  <si>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</si>
  <si>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</si>
  <si>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</si>
  <si>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</si>
  <si>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</si>
  <si>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</si>
  <si>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</si>
  <si>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</si>
  <si>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</si>
  <si>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</si>
  <si>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</si>
  <si>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</si>
  <si>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</si>
  <si>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</si>
  <si>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</si>
  <si>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</si>
  <si>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</si>
  <si>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</si>
  <si>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</si>
  <si>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</si>
  <si>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</si>
  <si>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</si>
  <si>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</si>
  <si>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</si>
  <si>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</si>
  <si>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</si>
  <si>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</si>
  <si>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</si>
  <si>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</si>
  <si>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</si>
  <si>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</si>
  <si>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</si>
  <si>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</si>
  <si>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</si>
  <si>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</si>
  <si>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</si>
  <si>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</si>
  <si>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</si>
  <si>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</si>
  <si>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</si>
  <si>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</si>
  <si>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</si>
  <si>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</si>
  <si>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</si>
  <si>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</si>
  <si>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</si>
  <si>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</si>
  <si>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</si>
  <si>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</si>
  <si>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</si>
  <si>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</si>
  <si>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</si>
  <si>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</si>
  <si>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</si>
  <si>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</si>
  <si>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</si>
  <si>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</si>
  <si>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</si>
  <si>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</si>
  <si>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</si>
  <si>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</si>
  <si>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</si>
  <si>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</si>
  <si>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</si>
  <si>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</si>
  <si>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</si>
  <si>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</si>
  <si>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</si>
  <si>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</si>
  <si>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</si>
  <si>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</si>
  <si>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</si>
  <si>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</si>
  <si>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</si>
  <si>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</si>
  <si>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</si>
  <si>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</si>
  <si>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</si>
  <si>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</si>
  <si>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</si>
  <si>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</si>
  <si>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</si>
  <si>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</si>
  <si>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</si>
  <si>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</si>
  <si>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</si>
  <si>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</si>
  <si>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</si>
  <si>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</si>
  <si>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</si>
  <si>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</si>
  <si>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</si>
  <si>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</si>
  <si>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</si>
  <si>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</si>
  <si>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</si>
  <si>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</si>
  <si>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</si>
  <si>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</si>
  <si>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</si>
  <si>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</si>
  <si>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</si>
  <si>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</si>
  <si>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</si>
  <si>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</si>
  <si>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</si>
  <si>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</si>
  <si>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</si>
  <si>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</si>
  <si>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</si>
  <si>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</si>
  <si>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</si>
  <si>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</si>
  <si>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</si>
  <si>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</si>
  <si>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</si>
  <si>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</si>
  <si>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</si>
  <si>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</si>
  <si>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</si>
  <si>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</si>
  <si>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</si>
  <si>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</si>
  <si>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</si>
  <si>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</si>
  <si>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</si>
  <si>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</si>
  <si>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</si>
  <si>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</si>
  <si>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</si>
  <si>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</si>
  <si>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</si>
  <si>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</si>
  <si>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</si>
  <si>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</si>
  <si>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</si>
  <si>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</si>
  <si>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</si>
  <si>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</si>
  <si>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</si>
  <si>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</si>
  <si>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</si>
  <si>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</si>
  <si>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</si>
  <si>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</si>
  <si>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</si>
  <si>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</si>
  <si>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</si>
  <si>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</si>
  <si>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</si>
  <si>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</si>
  <si>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</si>
  <si>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</si>
  <si>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</si>
  <si>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</si>
  <si>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</si>
  <si>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</si>
  <si>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</si>
  <si>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</si>
  <si>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</si>
  <si>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</si>
  <si>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</si>
  <si>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</si>
  <si>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</si>
  <si>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</si>
  <si>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</si>
  <si>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</si>
  <si>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</si>
  <si>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</si>
  <si>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</si>
  <si>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</si>
  <si>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</si>
  <si>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</si>
  <si>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</si>
  <si>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</si>
  <si>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</si>
  <si>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</si>
  <si>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</si>
  <si>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</si>
  <si>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</si>
  <si>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</si>
  <si>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</si>
  <si>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</si>
  <si>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</si>
  <si>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</si>
  <si>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</si>
  <si>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</si>
  <si>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</si>
  <si>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</si>
  <si>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</si>
  <si>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</si>
  <si>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</si>
  <si>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</si>
  <si>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</si>
  <si>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</si>
  <si>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</si>
  <si>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</si>
  <si>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</si>
  <si>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</si>
  <si>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</si>
  <si>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</si>
  <si>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</si>
  <si>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</si>
  <si>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</si>
  <si>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</si>
  <si>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</si>
  <si>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</si>
  <si>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</si>
  <si>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</si>
  <si>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</si>
  <si>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</si>
  <si>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</si>
  <si>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</si>
  <si>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</si>
  <si>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</si>
  <si>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</si>
  <si>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</si>
  <si>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</si>
  <si>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</si>
  <si>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</si>
  <si>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</si>
  <si>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</si>
  <si>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</si>
  <si>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</si>
  <si>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</si>
  <si>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</si>
  <si>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</si>
  <si>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</si>
  <si>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</si>
  <si>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</si>
  <si>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</si>
  <si>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</si>
  <si>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</si>
  <si>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</si>
  <si>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</si>
  <si>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</si>
  <si>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</si>
  <si>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</si>
  <si>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</si>
  <si>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</si>
  <si>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</si>
  <si>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</si>
  <si>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</si>
  <si>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</si>
  <si>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</si>
  <si>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</si>
  <si>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</si>
  <si>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</si>
  <si>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</si>
  <si>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</si>
  <si>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</si>
  <si>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</si>
  <si>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</si>
  <si>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</si>
  <si>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</si>
  <si>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</si>
  <si>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</si>
  <si>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</si>
  <si>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</si>
  <si>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</si>
  <si>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</si>
  <si>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</si>
  <si>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</si>
  <si>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</si>
  <si>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</si>
  <si>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</si>
  <si>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</si>
  <si>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</si>
  <si>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</si>
  <si>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</si>
  <si>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</si>
  <si>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</si>
  <si>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</si>
  <si>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</si>
  <si>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</si>
  <si>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</si>
  <si>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</si>
  <si>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</si>
  <si>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</si>
  <si>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</si>
  <si>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</si>
  <si>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</si>
  <si>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</si>
  <si>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</si>
  <si>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</si>
  <si>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</si>
  <si>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</si>
  <si>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</si>
  <si>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</si>
  <si>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</si>
  <si>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</si>
  <si>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</si>
  <si>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</si>
  <si>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</si>
  <si>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</si>
  <si>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</si>
  <si>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</si>
  <si>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</si>
  <si>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</si>
  <si>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</si>
  <si>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</si>
  <si>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</si>
  <si>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</si>
  <si>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</si>
  <si>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</si>
  <si>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</si>
  <si>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</si>
  <si>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</si>
  <si>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</si>
  <si>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</si>
  <si>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</si>
  <si>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</si>
  <si>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</si>
  <si>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</si>
  <si>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</si>
  <si>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</si>
  <si>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</si>
  <si>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</si>
  <si>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</si>
  <si>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</si>
  <si>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</si>
  <si>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</si>
  <si>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</si>
  <si>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</si>
  <si>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</si>
  <si>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</si>
  <si>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</si>
  <si>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</si>
  <si>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</si>
  <si>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</si>
  <si>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</si>
  <si>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</si>
  <si>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</si>
  <si>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</si>
  <si>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</si>
  <si>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</si>
  <si>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</si>
  <si>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</si>
  <si>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</si>
  <si>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</si>
  <si>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</si>
  <si>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</si>
  <si>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</si>
  <si>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</si>
  <si>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</si>
  <si>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</si>
  <si>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</si>
  <si>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</si>
  <si>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</si>
  <si>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</si>
  <si>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</si>
  <si>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</si>
  <si>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</si>
  <si>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</si>
  <si>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</si>
  <si>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</si>
  <si>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</si>
  <si>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</si>
  <si>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</si>
  <si>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</si>
  <si>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</si>
  <si>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</si>
  <si>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</si>
  <si>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</si>
  <si>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</si>
  <si>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</si>
  <si>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</si>
  <si>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</si>
  <si>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</si>
  <si>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</si>
  <si>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</si>
  <si>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</si>
  <si>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</si>
  <si>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</si>
  <si>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</si>
  <si>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</si>
  <si>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</si>
  <si>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</si>
  <si>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</si>
  <si>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</si>
  <si>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</si>
  <si>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</si>
  <si>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</si>
  <si>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</si>
  <si>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</si>
  <si>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</si>
  <si>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</si>
  <si>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</si>
  <si>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</si>
  <si>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</si>
  <si>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</si>
  <si>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</si>
  <si>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</si>
  <si>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</si>
  <si>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</si>
  <si>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</si>
  <si>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</si>
  <si>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</si>
  <si>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</si>
  <si>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</si>
  <si>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</si>
  <si>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</si>
  <si>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</si>
  <si>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</si>
  <si>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</si>
  <si>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</si>
  <si>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</si>
  <si>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</si>
  <si>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</si>
  <si>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</si>
  <si>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</si>
  <si>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</si>
  <si>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</si>
  <si>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</si>
  <si>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</si>
  <si>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</si>
  <si>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</si>
  <si>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</si>
  <si>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</si>
  <si>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</si>
  <si>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</si>
  <si>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</si>
  <si>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</si>
  <si>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</si>
  <si>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</si>
  <si>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</si>
  <si>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</si>
  <si>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</si>
  <si>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</si>
  <si>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</si>
  <si>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</si>
  <si>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</si>
  <si>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</si>
  <si>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</si>
  <si>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</si>
  <si>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</si>
  <si>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</si>
  <si>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</si>
  <si>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</si>
  <si>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</si>
  <si>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</si>
  <si>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</si>
  <si>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</si>
  <si>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</si>
  <si>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</si>
  <si>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</si>
  <si>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</si>
  <si>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</si>
  <si>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</si>
  <si>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</si>
  <si>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</si>
  <si>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</si>
  <si>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</si>
  <si>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</si>
  <si>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</si>
  <si>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</si>
  <si>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</si>
  <si>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</si>
  <si>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</si>
  <si>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</si>
  <si>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</si>
  <si>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</si>
  <si>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</si>
  <si>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</si>
  <si>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</si>
  <si>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</si>
  <si>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</si>
  <si>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</si>
  <si>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</si>
  <si>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</si>
  <si>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</si>
  <si>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</si>
  <si>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</si>
  <si>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</si>
  <si>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</si>
  <si>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</si>
  <si>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</si>
  <si>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</si>
  <si>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</si>
  <si>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</si>
  <si>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</si>
  <si>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</si>
  <si>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</si>
  <si>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</si>
  <si>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</si>
  <si>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</si>
  <si>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</si>
  <si>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</si>
  <si>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</si>
  <si>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</si>
  <si>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</si>
  <si>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</si>
  <si>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</si>
  <si>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</si>
  <si>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</si>
  <si>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</si>
  <si>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</si>
  <si>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</si>
  <si>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</si>
  <si>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</si>
  <si>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</si>
  <si>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</si>
  <si>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</si>
  <si>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</si>
  <si>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</si>
  <si>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</si>
  <si>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</si>
  <si>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</si>
  <si>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</si>
  <si>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</si>
  <si>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</si>
  <si>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</si>
  <si>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</si>
  <si>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</si>
  <si>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</si>
  <si>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</si>
  <si>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</si>
  <si>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</si>
  <si>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</si>
  <si>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</si>
  <si>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</si>
  <si>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</si>
  <si>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</si>
  <si>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</si>
  <si>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</si>
  <si>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</si>
  <si>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</si>
  <si>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</si>
  <si>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</si>
  <si>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</si>
  <si>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</si>
  <si>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</si>
  <si>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</si>
  <si>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</si>
  <si>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</si>
  <si>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</si>
  <si>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</si>
  <si>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</si>
  <si>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</si>
  <si>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</si>
  <si>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</si>
  <si>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</si>
  <si>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</si>
  <si>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</si>
  <si>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</si>
  <si>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</si>
  <si>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</si>
  <si>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</si>
  <si>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</si>
  <si>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</si>
  <si>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</si>
  <si>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</si>
  <si>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</si>
  <si>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</si>
  <si>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</si>
  <si>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</si>
  <si>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</si>
  <si>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</si>
  <si>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</si>
  <si>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</si>
  <si>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</si>
  <si>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</si>
  <si>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</si>
  <si>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</si>
  <si>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</si>
  <si>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</si>
  <si>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</si>
  <si>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</si>
  <si>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</si>
  <si>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</si>
  <si>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</si>
  <si>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</si>
  <si>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</si>
  <si>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</si>
  <si>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</si>
  <si>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</si>
  <si>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</si>
  <si>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</si>
  <si>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</si>
  <si>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</si>
  <si>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</si>
  <si>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</si>
  <si>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</si>
  <si>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</si>
  <si>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</si>
  <si>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</si>
  <si>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</si>
  <si>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</si>
  <si>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</si>
  <si>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</si>
  <si>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</si>
  <si>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</si>
  <si>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</si>
  <si>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</si>
  <si>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</si>
  <si>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</si>
  <si>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</si>
  <si>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</si>
  <si>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</si>
  <si>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</si>
  <si>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</si>
  <si>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</si>
  <si>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</si>
  <si>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</si>
  <si>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</si>
  <si>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</si>
  <si>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</si>
  <si>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</si>
  <si>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</si>
  <si>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</si>
  <si>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</si>
  <si>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</si>
  <si>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</si>
  <si>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</si>
  <si>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</si>
  <si>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</si>
  <si>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</si>
  <si>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</si>
  <si>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</si>
  <si>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</si>
  <si>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</si>
  <si>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</si>
  <si>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</si>
  <si>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</si>
  <si>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</si>
  <si>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</si>
  <si>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</si>
  <si>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</si>
  <si>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</si>
  <si>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</si>
  <si>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</si>
  <si>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</si>
  <si>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</si>
  <si>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</si>
  <si>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</si>
  <si>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</si>
  <si>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</si>
  <si>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</si>
  <si>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</si>
  <si>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</si>
  <si>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</si>
  <si>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</si>
  <si>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</si>
  <si>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</si>
  <si>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</si>
  <si>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</si>
  <si>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</si>
  <si>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</si>
  <si>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</si>
  <si>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</si>
  <si>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</si>
  <si>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</si>
  <si>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</si>
  <si>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</si>
  <si>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</si>
  <si>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</si>
  <si>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</si>
  <si>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</si>
  <si>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</si>
  <si>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</si>
  <si>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</si>
  <si>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</si>
  <si>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</si>
  <si>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</si>
  <si>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</si>
  <si>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</si>
  <si>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</si>
  <si>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</si>
  <si>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</si>
  <si>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</si>
  <si>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</si>
  <si>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</si>
  <si>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</si>
  <si>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</si>
  <si>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</si>
  <si>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</si>
  <si>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</si>
  <si>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</si>
  <si>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</si>
  <si>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</si>
  <si>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</si>
  <si>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</si>
  <si>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</si>
  <si>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</si>
  <si>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</si>
  <si>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</si>
  <si>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</si>
  <si>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</si>
  <si>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</si>
  <si>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</si>
  <si>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</si>
  <si>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</si>
  <si>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</si>
  <si>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</si>
  <si>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</si>
  <si>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</si>
  <si>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</si>
  <si>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</si>
  <si>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</si>
  <si>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</si>
  <si>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</si>
  <si>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</si>
  <si>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</si>
  <si>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</si>
  <si>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</si>
  <si>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</si>
  <si>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</si>
  <si>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</si>
  <si>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</si>
  <si>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</si>
  <si>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</si>
  <si>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</si>
  <si>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</si>
  <si>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</si>
  <si>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</si>
  <si>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</si>
  <si>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</si>
  <si>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</si>
  <si>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</si>
  <si>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</si>
  <si>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</si>
  <si>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</si>
  <si>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</si>
  <si>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</si>
  <si>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</si>
  <si>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</si>
  <si>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</si>
  <si>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</si>
  <si>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</si>
  <si>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</si>
  <si>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</si>
  <si>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</si>
  <si>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</si>
  <si>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</si>
  <si>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</si>
  <si>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</si>
  <si>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</si>
  <si>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</si>
  <si>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</si>
  <si>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</si>
  <si>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</si>
  <si>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</si>
  <si>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</si>
  <si>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</si>
  <si>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</si>
  <si>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</si>
  <si>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</si>
  <si>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</si>
  <si>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</si>
  <si>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</si>
  <si>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</si>
  <si>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</si>
  <si>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</si>
  <si>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</si>
  <si>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</si>
  <si>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</si>
  <si>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</si>
  <si>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</si>
  <si>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</si>
  <si>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</si>
  <si>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</si>
  <si>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</si>
  <si>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</si>
  <si>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</si>
  <si>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</si>
  <si>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</si>
  <si>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</si>
  <si>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</si>
  <si>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</si>
  <si>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</si>
  <si>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</si>
  <si>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</si>
  <si>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</si>
  <si>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</si>
  <si>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</si>
  <si>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</si>
  <si>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</si>
  <si>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</si>
  <si>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</si>
  <si>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</si>
  <si>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</si>
  <si>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</si>
  <si>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</si>
  <si>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</si>
  <si>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</si>
  <si>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</si>
  <si>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</si>
  <si>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</si>
  <si>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</si>
  <si>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</si>
  <si>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</si>
  <si>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</si>
  <si>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</si>
  <si>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</si>
  <si>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</si>
  <si>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</si>
  <si>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</si>
  <si>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</si>
  <si>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</si>
  <si>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</si>
  <si>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</si>
  <si>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</si>
  <si>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</si>
  <si>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</si>
  <si>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</si>
  <si>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</si>
  <si>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</si>
  <si>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</si>
  <si>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</si>
  <si>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</si>
  <si>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</si>
  <si>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</si>
  <si>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</si>
  <si>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</si>
  <si>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</si>
  <si>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</si>
  <si>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</si>
  <si>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</si>
  <si>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</si>
  <si>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</si>
  <si>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</si>
  <si>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</si>
  <si>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</si>
  <si>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</si>
  <si>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</si>
  <si>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</si>
  <si>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</si>
  <si>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</si>
  <si>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</si>
  <si>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</si>
  <si>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</si>
  <si>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</si>
  <si>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</si>
  <si>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</si>
  <si>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</si>
  <si>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</si>
  <si>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</si>
  <si>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</si>
  <si>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</si>
  <si>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</si>
  <si>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</si>
  <si>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</si>
  <si>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</si>
  <si>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</si>
  <si>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</si>
  <si>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</si>
  <si>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</si>
  <si>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</si>
  <si>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</si>
  <si>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</si>
  <si>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</si>
  <si>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</si>
  <si>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</si>
  <si>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</si>
  <si>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</si>
  <si>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</si>
  <si>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</si>
  <si>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</si>
  <si>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</si>
  <si>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</si>
  <si>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</si>
  <si>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</si>
  <si>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</si>
  <si>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</si>
  <si>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</si>
  <si>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</si>
  <si>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</si>
  <si>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</si>
  <si>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</si>
  <si>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</si>
  <si>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</si>
  <si>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</si>
  <si>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</si>
  <si>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</si>
  <si>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</si>
  <si>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</si>
  <si>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</si>
  <si>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</si>
  <si>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</si>
  <si>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</si>
  <si>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</si>
  <si>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</si>
  <si>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</si>
  <si>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</si>
  <si>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</si>
  <si>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</si>
  <si>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</si>
  <si>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</si>
  <si>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</si>
  <si>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</si>
  <si>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</si>
  <si>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</si>
  <si>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</si>
  <si>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</si>
  <si>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</si>
  <si>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</si>
  <si>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</si>
  <si>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</si>
  <si>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</si>
  <si>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</si>
  <si>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</si>
  <si>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</si>
  <si>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</si>
  <si>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</si>
  <si>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</si>
  <si>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</si>
  <si>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</si>
  <si>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</si>
  <si>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</si>
  <si>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</si>
  <si>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</si>
  <si>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</si>
  <si>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</si>
  <si>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</si>
  <si>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</si>
  <si>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</si>
  <si>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</si>
  <si>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</si>
  <si>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</si>
  <si>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</si>
  <si>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</si>
  <si>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</si>
  <si>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</si>
  <si>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</si>
  <si>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</si>
  <si>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</si>
  <si>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</si>
  <si>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</si>
  <si>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</si>
  <si>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</si>
  <si>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</si>
  <si>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</si>
  <si>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</si>
  <si>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</si>
  <si>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</si>
  <si>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</si>
  <si>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</si>
  <si>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</si>
  <si>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</si>
  <si>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</si>
  <si>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</si>
  <si>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</si>
  <si>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</si>
  <si>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</si>
  <si>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</si>
  <si>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</si>
  <si>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</si>
  <si>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</si>
  <si>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</si>
  <si>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</si>
  <si>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</si>
  <si>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</si>
  <si>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</si>
  <si>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</si>
  <si>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</si>
  <si>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</si>
  <si>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</si>
  <si>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</si>
  <si>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</si>
  <si>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</si>
  <si>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</si>
  <si>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</si>
  <si>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</si>
  <si>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</si>
  <si>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</si>
  <si>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</si>
  <si>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</si>
  <si>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</si>
  <si>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</si>
  <si>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</si>
  <si>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</si>
  <si>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</si>
  <si>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</si>
  <si>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</si>
  <si>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</si>
  <si>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</si>
  <si>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</si>
  <si>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</si>
  <si>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</si>
  <si>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</si>
  <si>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</si>
  <si>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</si>
  <si>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</si>
  <si>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</si>
  <si>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</si>
  <si>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</si>
  <si>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</si>
  <si>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</si>
  <si>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</si>
  <si>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</si>
  <si>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</si>
  <si>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</si>
  <si>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</si>
  <si>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</si>
  <si>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</si>
  <si>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</si>
  <si>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</si>
  <si>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</si>
  <si>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</si>
  <si>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</si>
  <si>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</si>
  <si>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</si>
  <si>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</si>
  <si>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</si>
  <si>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</si>
  <si>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</si>
  <si>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</si>
  <si>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</si>
  <si>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</si>
  <si>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</si>
  <si>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</si>
  <si>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</si>
  <si>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</si>
  <si>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</si>
  <si>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</si>
  <si>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</si>
  <si>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</si>
  <si>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</si>
  <si>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</si>
  <si>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</si>
  <si>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</si>
  <si>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</si>
  <si>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</si>
  <si>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</si>
  <si>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</si>
  <si>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</si>
  <si>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</si>
  <si>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</si>
  <si>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</si>
  <si>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</si>
  <si>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</si>
  <si>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</si>
  <si>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</si>
  <si>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</si>
  <si>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</si>
  <si>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</si>
  <si>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</si>
  <si>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</si>
  <si>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</si>
  <si>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</si>
  <si>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</si>
  <si>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</si>
  <si>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</si>
  <si>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</si>
  <si>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</si>
  <si>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</si>
  <si>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</si>
  <si>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</si>
  <si>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</si>
  <si>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</si>
  <si>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</si>
  <si>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</si>
  <si>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</si>
  <si>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</si>
  <si>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</si>
  <si>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</si>
  <si>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</si>
  <si>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</si>
  <si>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</si>
  <si>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</si>
  <si>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</si>
  <si>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</si>
  <si>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</si>
  <si>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</si>
  <si>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</si>
  <si>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</si>
  <si>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</si>
  <si>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</si>
  <si>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</si>
  <si>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</si>
  <si>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</si>
  <si>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</si>
  <si>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</si>
  <si>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</si>
  <si>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</si>
  <si>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</si>
  <si>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</si>
  <si>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</si>
  <si>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</si>
  <si>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</si>
  <si>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</si>
  <si>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</si>
  <si>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</si>
  <si>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</si>
  <si>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</si>
  <si>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</si>
  <si>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</si>
  <si>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</si>
  <si>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</si>
  <si>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</si>
  <si>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</si>
  <si>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</si>
  <si>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</si>
  <si>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</si>
  <si>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</si>
  <si>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</si>
  <si>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</si>
  <si>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</si>
  <si>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</si>
  <si>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</si>
  <si>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</si>
  <si>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</si>
  <si>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</si>
  <si>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</si>
  <si>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</si>
  <si>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</si>
  <si>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</si>
  <si>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</si>
  <si>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</si>
  <si>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</si>
  <si>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</si>
  <si>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</si>
  <si>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</si>
  <si>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</si>
  <si>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</si>
  <si>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</si>
  <si>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</si>
  <si>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</si>
  <si>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</si>
  <si>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</si>
  <si>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</si>
  <si>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</si>
  <si>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</si>
  <si>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</si>
  <si>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</si>
  <si>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</si>
  <si>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</si>
  <si>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</si>
  <si>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</si>
  <si>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</si>
  <si>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</si>
  <si>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</si>
  <si>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</si>
  <si>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</si>
  <si>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</si>
  <si>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</si>
  <si>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</si>
  <si>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</si>
  <si>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</si>
  <si>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</si>
  <si>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</si>
  <si>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</si>
  <si>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</si>
  <si>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</si>
  <si>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</si>
  <si>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</si>
  <si>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</si>
  <si>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</si>
  <si>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</si>
  <si>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</si>
  <si>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</si>
  <si>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</si>
  <si>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</si>
  <si>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</si>
  <si>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</si>
  <si>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</si>
  <si>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</si>
  <si>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</si>
  <si>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</si>
  <si>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</si>
  <si>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</si>
  <si>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</si>
  <si>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</si>
  <si>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</si>
  <si>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</si>
  <si>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</si>
  <si>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</si>
  <si>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</si>
  <si>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</si>
  <si>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</si>
  <si>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</si>
  <si>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</si>
  <si>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</si>
  <si>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</si>
  <si>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</si>
  <si>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</si>
  <si>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</si>
  <si>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</si>
  <si>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</si>
  <si>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</si>
  <si>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</si>
  <si>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</si>
  <si>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</si>
  <si>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</si>
  <si>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</si>
  <si>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</si>
  <si>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</si>
  <si>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</si>
  <si>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</si>
  <si>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</si>
  <si>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</si>
  <si>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</si>
  <si>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</si>
  <si>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</si>
  <si>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</si>
  <si>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</si>
  <si>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</si>
  <si>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</si>
  <si>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</si>
  <si>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</si>
  <si>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</si>
  <si>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</si>
  <si>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</si>
  <si>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</si>
  <si>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</si>
  <si>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</si>
  <si>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</si>
  <si>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</si>
  <si>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</si>
  <si>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</si>
  <si>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</si>
  <si>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</si>
  <si>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</si>
  <si>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</si>
  <si>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</si>
  <si>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</si>
  <si>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</si>
  <si>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</si>
  <si>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</si>
  <si>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</si>
  <si>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</si>
  <si>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</si>
  <si>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</si>
  <si>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</si>
  <si>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</si>
  <si>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</si>
  <si>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</si>
  <si>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</si>
  <si>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</si>
  <si>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</si>
  <si>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</si>
  <si>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</si>
  <si>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</si>
  <si>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</si>
  <si>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</si>
  <si>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</si>
  <si>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</si>
  <si>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</si>
  <si>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</si>
  <si>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</si>
  <si>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</si>
  <si>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</si>
  <si>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</si>
  <si>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</si>
  <si>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</si>
  <si>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</si>
  <si>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</si>
  <si>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</si>
  <si>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</si>
  <si>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</si>
  <si>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</si>
  <si>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</si>
  <si>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</si>
  <si>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</si>
  <si>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</si>
  <si>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</si>
  <si>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</si>
  <si>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</si>
  <si>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</si>
  <si>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</si>
  <si>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</si>
  <si>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</si>
  <si>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</si>
  <si>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</si>
  <si>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</si>
  <si>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</si>
  <si>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</si>
  <si>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</si>
  <si>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</si>
  <si>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</si>
  <si>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</si>
  <si>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</si>
  <si>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</si>
  <si>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</si>
  <si>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</si>
  <si>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</si>
  <si>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</si>
  <si>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</si>
  <si>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</si>
  <si>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</si>
  <si>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</si>
  <si>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</si>
  <si>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</si>
  <si>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</si>
  <si>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</si>
  <si>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</si>
  <si>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</si>
  <si>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</si>
  <si>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</si>
  <si>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</si>
  <si>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</si>
  <si>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</si>
  <si>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</si>
  <si>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</si>
  <si>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</si>
  <si>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</si>
  <si>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</si>
  <si>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</si>
  <si>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</si>
  <si>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</si>
  <si>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</si>
  <si>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</si>
  <si>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</si>
  <si>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</si>
  <si>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</si>
  <si>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</si>
  <si>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</si>
  <si>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</si>
  <si>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</si>
  <si>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</si>
  <si>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</si>
  <si>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</si>
  <si>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</si>
  <si>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</si>
  <si>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</si>
  <si>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</si>
  <si>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</si>
  <si>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</si>
  <si>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</si>
  <si>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</si>
  <si>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</si>
  <si>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</si>
  <si>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</si>
  <si>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</si>
  <si>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</si>
  <si>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</si>
  <si>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</si>
  <si>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</si>
  <si>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</si>
  <si>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</si>
  <si>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</si>
  <si>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</si>
  <si>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</si>
  <si>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</si>
  <si>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</si>
  <si>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</si>
  <si>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</si>
  <si>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</si>
  <si>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</si>
  <si>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</si>
  <si>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</si>
  <si>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</si>
  <si>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</si>
  <si>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</si>
  <si>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</si>
  <si>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</si>
  <si>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</si>
  <si>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</si>
  <si>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</si>
  <si>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</si>
  <si>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</si>
  <si>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</si>
  <si>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</si>
  <si>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</si>
  <si>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</si>
  <si>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</si>
  <si>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</si>
  <si>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</si>
  <si>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</si>
  <si>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</si>
  <si>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</si>
  <si>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</si>
  <si>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</si>
  <si>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</si>
  <si>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</si>
  <si>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</si>
  <si>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</si>
  <si>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</si>
  <si>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</si>
  <si>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</si>
  <si>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</si>
  <si>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</si>
  <si>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</si>
  <si>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</si>
  <si>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</si>
  <si>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</si>
  <si>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</si>
  <si>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</si>
  <si>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</si>
  <si>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</si>
  <si>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</si>
  <si>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</si>
  <si>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</si>
  <si>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</si>
  <si>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</si>
  <si>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</si>
  <si>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</si>
  <si>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</si>
  <si>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</si>
  <si>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</si>
  <si>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</si>
  <si>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</si>
  <si>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</si>
  <si>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</si>
  <si>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</si>
  <si>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</si>
  <si>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</si>
  <si>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</si>
  <si>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</si>
  <si>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</si>
  <si>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</si>
  <si>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</si>
  <si>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</si>
  <si>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</si>
  <si>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</si>
  <si>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</si>
  <si>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</si>
  <si>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</si>
  <si>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</si>
  <si>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</si>
  <si>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</si>
  <si>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</si>
  <si>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</si>
  <si>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</si>
  <si>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</si>
  <si>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</si>
  <si>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</si>
  <si>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</si>
  <si>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</si>
  <si>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</si>
  <si>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</si>
  <si>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</si>
  <si>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</si>
  <si>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</si>
  <si>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</si>
  <si>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</si>
  <si>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</si>
  <si>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</si>
  <si>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</si>
  <si>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</si>
  <si>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</si>
  <si>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</si>
  <si>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</si>
  <si>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</si>
  <si>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</si>
  <si>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</si>
  <si>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</si>
  <si>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</si>
  <si>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</si>
  <si>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</si>
  <si>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</si>
  <si>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</si>
  <si>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</si>
  <si>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</si>
  <si>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</si>
  <si>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</si>
  <si>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</si>
  <si>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</si>
  <si>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</si>
  <si>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</si>
  <si>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</si>
  <si>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</si>
  <si>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</si>
  <si>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</si>
  <si>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</si>
  <si>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</si>
  <si>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</si>
  <si>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</si>
  <si>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</si>
  <si>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</si>
  <si>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</si>
  <si>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</si>
  <si>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</si>
  <si>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</si>
  <si>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</si>
  <si>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</si>
  <si>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</si>
  <si>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</si>
  <si>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</si>
  <si>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</si>
  <si>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</si>
  <si>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</si>
  <si>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</si>
  <si>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</si>
  <si>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</si>
  <si>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</si>
  <si>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</si>
  <si>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</si>
  <si>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</si>
  <si>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</si>
  <si>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</si>
  <si>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</si>
  <si>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</si>
  <si>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</si>
  <si>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</si>
  <si>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</si>
  <si>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</si>
  <si>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</si>
  <si>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</si>
  <si>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</si>
  <si>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</si>
  <si>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</si>
  <si>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</si>
  <si>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</si>
  <si>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</si>
  <si>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</si>
  <si>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</si>
  <si>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</si>
  <si>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</si>
  <si>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</si>
  <si>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</si>
  <si>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</si>
  <si>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</si>
  <si>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</si>
  <si>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</si>
  <si>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</si>
  <si>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</si>
  <si>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</si>
  <si>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</si>
  <si>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</si>
  <si>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</si>
  <si>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</si>
  <si>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</si>
  <si>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</si>
  <si>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</si>
  <si>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</si>
  <si>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</si>
  <si>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</si>
  <si>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</si>
  <si>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</si>
  <si>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</si>
  <si>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</si>
  <si>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</si>
  <si>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</si>
  <si>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</si>
  <si>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</si>
  <si>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</si>
  <si>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</si>
  <si>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</si>
  <si>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</si>
  <si>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</si>
  <si>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</si>
  <si>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</si>
  <si>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</si>
  <si>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</si>
  <si>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</si>
  <si>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</si>
  <si>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</si>
  <si>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</si>
  <si>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</si>
  <si>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</si>
  <si>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</si>
  <si>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</si>
  <si>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</si>
  <si>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</si>
  <si>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</si>
  <si>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</si>
  <si>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</si>
  <si>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</si>
  <si>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</si>
  <si>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</si>
  <si>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</si>
  <si>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</si>
  <si>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</si>
  <si>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</si>
  <si>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</si>
  <si>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</si>
  <si>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</si>
  <si>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</si>
  <si>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</si>
  <si>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</si>
  <si>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</si>
  <si>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</si>
  <si>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</si>
  <si>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</si>
  <si>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</si>
  <si>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</si>
  <si>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</si>
  <si>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</si>
  <si>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</si>
  <si>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</si>
  <si>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</si>
  <si>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</si>
  <si>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</si>
  <si>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</si>
  <si>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</si>
  <si>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</si>
  <si>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</si>
  <si>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</si>
  <si>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</si>
  <si>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</si>
  <si>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</si>
  <si>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</si>
  <si>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</si>
  <si>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</si>
  <si>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</si>
  <si>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</si>
  <si>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</si>
  <si>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</si>
  <si>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</si>
  <si>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</si>
  <si>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</si>
  <si>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</si>
  <si>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</si>
  <si>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</si>
  <si>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</si>
  <si>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</si>
  <si>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</si>
  <si>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</si>
  <si>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</si>
  <si>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</si>
  <si>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</si>
  <si>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</si>
  <si>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</si>
  <si>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</si>
  <si>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</si>
  <si>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</si>
  <si>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</si>
  <si>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</si>
  <si>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</si>
  <si>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</si>
  <si>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</si>
  <si>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</si>
  <si>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</si>
  <si>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</si>
  <si>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</si>
  <si>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</si>
  <si>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</si>
  <si>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</si>
  <si>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</si>
  <si>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</si>
  <si>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</si>
  <si>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</si>
  <si>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</si>
  <si>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</si>
  <si>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</si>
  <si>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</si>
  <si>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</si>
  <si>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</si>
  <si>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</si>
  <si>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</si>
  <si>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</si>
  <si>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</si>
  <si>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</si>
  <si>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</si>
  <si>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</si>
  <si>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</si>
  <si>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</si>
  <si>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</si>
  <si>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</si>
  <si>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</si>
  <si>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</si>
  <si>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</si>
  <si>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</si>
  <si>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</si>
  <si>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</si>
  <si>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</si>
  <si>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</si>
  <si>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</si>
  <si>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</si>
  <si>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</si>
  <si>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</si>
  <si>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</si>
  <si>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</si>
  <si>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</si>
  <si>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</si>
  <si>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</si>
  <si>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</si>
  <si>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</si>
  <si>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</si>
  <si>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</si>
  <si>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</si>
  <si>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</si>
  <si>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</si>
  <si>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</si>
  <si>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</si>
  <si>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</si>
  <si>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</si>
  <si>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</si>
  <si>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</si>
  <si>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</si>
  <si>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</si>
  <si>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</si>
  <si>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</si>
  <si>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</si>
  <si>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</si>
  <si>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</si>
  <si>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</si>
  <si>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</si>
  <si>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</si>
  <si>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</si>
  <si>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</si>
  <si>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</si>
  <si>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</si>
  <si>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</si>
  <si>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</si>
  <si>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</si>
  <si>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</si>
  <si>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</si>
  <si>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</si>
  <si>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</si>
  <si>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</si>
  <si>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</si>
  <si>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</si>
  <si>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</si>
  <si>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</si>
  <si>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</si>
  <si>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</si>
  <si>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</si>
  <si>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</si>
  <si>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</si>
  <si>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</si>
  <si>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</si>
  <si>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</si>
  <si>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</si>
  <si>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</si>
  <si>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</si>
  <si>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</si>
  <si>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</si>
  <si>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</si>
  <si>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</si>
  <si>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</si>
  <si>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</si>
  <si>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</si>
  <si>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</si>
  <si>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</si>
  <si>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</si>
  <si>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</si>
  <si>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</si>
  <si>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</si>
  <si>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</si>
  <si>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</si>
  <si>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</si>
  <si>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</si>
  <si>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</si>
  <si>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</si>
  <si>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</si>
  <si>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</si>
  <si>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</si>
  <si>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</si>
  <si>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</si>
  <si>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</si>
  <si>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</si>
  <si>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</si>
  <si>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</si>
  <si>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</si>
  <si>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</si>
  <si>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</si>
  <si>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</si>
  <si>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</si>
  <si>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</si>
  <si>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</si>
  <si>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</si>
  <si>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</si>
  <si>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</si>
  <si>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</si>
  <si>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</si>
  <si>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</si>
  <si>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</si>
  <si>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</si>
  <si>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</si>
  <si>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</si>
  <si>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</si>
  <si>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</si>
  <si>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</si>
  <si>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</si>
  <si>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</si>
  <si>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</si>
  <si>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</si>
  <si>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</si>
  <si>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</si>
  <si>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</si>
  <si>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</si>
  <si>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</si>
  <si>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</si>
  <si>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</si>
  <si>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</si>
  <si>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</si>
  <si>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</si>
  <si>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</si>
  <si>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</si>
  <si>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</si>
  <si>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</si>
  <si>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</si>
  <si>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</si>
  <si>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</si>
  <si>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</si>
  <si>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</si>
  <si>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</si>
  <si>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</si>
  <si>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</si>
  <si>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</si>
  <si>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</si>
  <si>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</si>
  <si>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</si>
  <si>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</si>
  <si>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</si>
  <si>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</si>
  <si>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</si>
  <si>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</si>
  <si>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</si>
  <si>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</si>
  <si>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</si>
  <si>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</si>
  <si>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</si>
  <si>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</si>
  <si>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</si>
  <si>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</si>
  <si>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</si>
  <si>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</si>
  <si>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</si>
  <si>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</si>
  <si>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</si>
  <si>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</si>
  <si>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</si>
  <si>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</si>
  <si>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</si>
  <si>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</si>
  <si>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</si>
  <si>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</si>
  <si>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</si>
  <si>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</si>
  <si>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</si>
  <si>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</si>
  <si>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</si>
  <si>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</si>
  <si>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</si>
  <si>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</si>
  <si>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</si>
  <si>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</si>
  <si>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</si>
  <si>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</si>
  <si>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</si>
  <si>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</si>
  <si>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</si>
  <si>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</si>
  <si>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</si>
  <si>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</si>
  <si>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</si>
  <si>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</si>
  <si>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</si>
  <si>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</si>
  <si>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</si>
  <si>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</si>
  <si>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</si>
  <si>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</si>
  <si>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</si>
  <si>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</si>
  <si>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</si>
  <si>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</si>
  <si>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</si>
  <si>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</si>
  <si>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</si>
  <si>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</si>
  <si>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</si>
  <si>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</si>
  <si>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</si>
  <si>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</si>
  <si>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</si>
  <si>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</si>
  <si>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</si>
  <si>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</si>
  <si>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</si>
  <si>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</si>
  <si>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</si>
  <si>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</si>
  <si>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</si>
  <si>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</si>
  <si>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</si>
  <si>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</si>
  <si>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</si>
  <si>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</si>
  <si>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</si>
  <si>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</si>
  <si>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</si>
  <si>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</si>
  <si>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</si>
  <si>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</si>
  <si>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</si>
  <si>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</si>
  <si>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</si>
  <si>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</si>
  <si>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</si>
  <si>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</si>
  <si>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</si>
  <si>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</si>
  <si>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</si>
  <si>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</si>
  <si>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</si>
  <si>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</si>
  <si>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</si>
  <si>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</si>
  <si>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</si>
  <si>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</si>
  <si>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</si>
  <si>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</si>
  <si>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</si>
  <si>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</si>
  <si>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</si>
  <si>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</si>
  <si>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</si>
  <si>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</si>
  <si>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</si>
  <si>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</si>
  <si>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</si>
  <si>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</si>
  <si>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</si>
  <si>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</si>
  <si>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</si>
  <si>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</si>
  <si>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</si>
  <si>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</si>
  <si>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</si>
  <si>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</si>
  <si>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</si>
  <si>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</si>
  <si>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</si>
  <si>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</si>
  <si>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</si>
  <si>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</si>
  <si>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</si>
  <si>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</si>
  <si>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</si>
  <si>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</si>
  <si>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</si>
  <si>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</si>
  <si>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</si>
  <si>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</si>
  <si>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</si>
  <si>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</si>
  <si>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</si>
  <si>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</si>
  <si>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</si>
  <si>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</si>
  <si>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</si>
  <si>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</si>
  <si>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</si>
  <si>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</si>
  <si>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</si>
  <si>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</si>
  <si>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</si>
  <si>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</si>
  <si>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</si>
  <si>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</si>
  <si>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</si>
  <si>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</si>
  <si>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</si>
  <si>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</si>
  <si>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</si>
  <si>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</si>
  <si>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</si>
  <si>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</si>
  <si>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</si>
  <si>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</si>
  <si>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</si>
  <si>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</si>
  <si>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</si>
  <si>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</si>
  <si>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</si>
  <si>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</si>
  <si>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</si>
  <si>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</si>
  <si>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</si>
  <si>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</si>
  <si>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</si>
  <si>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</si>
  <si>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</si>
  <si>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</si>
  <si>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</si>
  <si>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</si>
  <si>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</si>
  <si>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</si>
  <si>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</si>
  <si>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</si>
  <si>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</si>
  <si>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</si>
  <si>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</si>
  <si>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</si>
  <si>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</si>
  <si>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</si>
  <si>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</si>
  <si>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</si>
  <si>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</si>
  <si>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</si>
  <si>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</si>
  <si>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</si>
  <si>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</si>
  <si>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</si>
  <si>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</si>
  <si>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</si>
  <si>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</si>
  <si>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</si>
  <si>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</si>
  <si>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</si>
  <si>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</si>
  <si>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</si>
  <si>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</si>
  <si>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</si>
  <si>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</si>
  <si>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</si>
  <si>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</si>
  <si>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</si>
  <si>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</si>
  <si>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</si>
  <si>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</si>
  <si>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</si>
  <si>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</si>
  <si>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</si>
  <si>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</si>
  <si>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</si>
  <si>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</si>
  <si>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</si>
  <si>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</si>
  <si>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</si>
  <si>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</si>
  <si>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</si>
  <si>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</si>
  <si>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</si>
  <si>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</si>
  <si>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</si>
  <si>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</si>
  <si>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</si>
  <si>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</si>
  <si>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</si>
  <si>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</si>
  <si>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</si>
  <si>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</si>
  <si>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</si>
  <si>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</si>
  <si>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</si>
  <si>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</si>
  <si>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</si>
  <si>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</si>
  <si>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</si>
  <si>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</si>
  <si>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</si>
  <si>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</si>
  <si>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</si>
  <si>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</si>
  <si>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</si>
  <si>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</si>
  <si>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</si>
  <si>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</si>
  <si>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</si>
  <si>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</si>
  <si>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</si>
  <si>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</si>
  <si>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</si>
  <si>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</si>
  <si>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</si>
  <si>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</si>
  <si>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</si>
  <si>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</si>
  <si>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</si>
  <si>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</si>
  <si>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</si>
  <si>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</si>
  <si>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</si>
  <si>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</si>
  <si>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</si>
  <si>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</si>
  <si>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</si>
  <si>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</si>
  <si>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</si>
  <si>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</si>
  <si>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</si>
  <si>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</si>
  <si>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</si>
  <si>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</si>
  <si>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</si>
  <si>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</si>
  <si>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</si>
  <si>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</si>
  <si>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</si>
  <si>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</si>
  <si>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</si>
  <si>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</si>
  <si>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</si>
  <si>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</si>
  <si>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</si>
  <si>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</si>
  <si>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</si>
  <si>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</si>
  <si>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</si>
  <si>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</si>
  <si>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</si>
  <si>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</si>
  <si>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</si>
  <si>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</si>
  <si>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</si>
  <si>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</si>
  <si>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</si>
  <si>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</si>
  <si>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</si>
  <si>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</si>
  <si>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</si>
  <si>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</si>
  <si>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</si>
  <si>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</si>
  <si>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</si>
  <si>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</si>
  <si>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</si>
  <si>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</si>
  <si>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</si>
  <si>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</si>
  <si>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</si>
  <si>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</si>
  <si>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</si>
  <si>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</si>
  <si>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</si>
  <si>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</si>
  <si>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</si>
  <si>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</si>
  <si>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</si>
  <si>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</si>
  <si>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</si>
  <si>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</si>
  <si>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</si>
  <si>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</si>
  <si>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</si>
  <si>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</si>
  <si>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</si>
  <si>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</si>
  <si>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</si>
  <si>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</si>
  <si>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</si>
  <si>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</si>
  <si>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</si>
  <si>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</si>
  <si>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</si>
  <si>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</si>
  <si>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</si>
  <si>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</si>
  <si>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</si>
  <si>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</si>
  <si>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</si>
  <si>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</si>
  <si>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</si>
  <si>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</si>
  <si>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</si>
  <si>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</si>
  <si>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</si>
  <si>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</si>
  <si>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</si>
  <si>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</si>
  <si>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</si>
  <si>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</si>
  <si>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</si>
  <si>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</si>
  <si>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</si>
  <si>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</si>
  <si>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</si>
  <si>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</si>
  <si>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</si>
  <si>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</si>
  <si>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</si>
  <si>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</si>
  <si>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</si>
  <si>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</si>
  <si>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</si>
  <si>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</si>
  <si>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</si>
  <si>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</si>
  <si>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</si>
  <si>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</si>
  <si>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</si>
  <si>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</si>
  <si>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</si>
  <si>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</si>
  <si>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</si>
  <si>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</si>
  <si>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</si>
  <si>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</si>
  <si>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</si>
  <si>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</si>
  <si>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</si>
  <si>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</si>
  <si>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</si>
  <si>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</si>
  <si>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</si>
  <si>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</si>
  <si>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</si>
  <si>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</si>
  <si>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</si>
  <si>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</si>
  <si>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</si>
  <si>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</si>
  <si>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</si>
  <si>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</si>
  <si>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</si>
  <si>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</si>
  <si>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</si>
  <si>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</si>
  <si>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</si>
  <si>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</si>
  <si>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</si>
  <si>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</si>
  <si>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</si>
  <si>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</si>
  <si>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</si>
  <si>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</si>
  <si>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</si>
  <si>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</si>
  <si>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</si>
  <si>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</si>
  <si>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</si>
  <si>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</si>
  <si>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</si>
  <si>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</si>
  <si>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</si>
  <si>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</si>
  <si>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</si>
  <si>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</si>
  <si>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</si>
  <si>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</si>
  <si>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</si>
  <si>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</si>
  <si>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</si>
  <si>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</si>
  <si>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</si>
  <si>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</si>
  <si>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</si>
  <si>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</si>
  <si>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</si>
  <si>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</si>
  <si>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</si>
  <si>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</si>
  <si>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</si>
  <si>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</si>
  <si>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</si>
  <si>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</si>
  <si>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</si>
  <si>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</si>
  <si>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</si>
  <si>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</si>
  <si>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</si>
  <si>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</si>
  <si>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</si>
  <si>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</si>
  <si>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</si>
  <si>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</si>
  <si>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</si>
  <si>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</si>
  <si>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</si>
  <si>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</si>
  <si>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</si>
  <si>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</si>
  <si>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</si>
  <si>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</si>
  <si>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</si>
  <si>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</si>
  <si>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</si>
  <si>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</si>
  <si>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</si>
  <si>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</si>
  <si>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</si>
  <si>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</si>
  <si>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</si>
  <si>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</si>
  <si>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</si>
  <si>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</si>
  <si>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</si>
  <si>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</si>
  <si>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</si>
  <si>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</si>
  <si>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</si>
  <si>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</si>
  <si>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</si>
  <si>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</si>
  <si>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</si>
  <si>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</si>
  <si>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</si>
  <si>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</si>
  <si>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</si>
  <si>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</si>
  <si>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</si>
  <si>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</si>
  <si>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</si>
  <si>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</si>
  <si>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</si>
  <si>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</si>
  <si>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</si>
  <si>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</si>
  <si>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</si>
  <si>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</si>
  <si>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</si>
  <si>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</si>
  <si>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</si>
  <si>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</si>
  <si>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</si>
  <si>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</si>
  <si>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</si>
  <si>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</si>
  <si>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</si>
  <si>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</si>
  <si>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</si>
  <si>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</si>
  <si>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</si>
  <si>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</si>
  <si>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</si>
  <si>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</si>
  <si>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</si>
  <si>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</si>
  <si>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</si>
  <si>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</si>
  <si>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</si>
  <si>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</si>
  <si>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</si>
  <si>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</si>
  <si>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</si>
  <si>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</si>
  <si>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</si>
  <si>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</si>
  <si>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</si>
  <si>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</si>
  <si>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</si>
  <si>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</si>
  <si>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</si>
  <si>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</si>
  <si>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</si>
  <si>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</si>
  <si>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</si>
  <si>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</si>
  <si>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</si>
  <si>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</si>
  <si>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</si>
  <si>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</si>
  <si>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</si>
  <si>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</si>
  <si>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</si>
  <si>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</si>
  <si>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</si>
  <si>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</si>
  <si>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</si>
  <si>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</si>
  <si>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</si>
  <si>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</si>
  <si>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</si>
  <si>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</si>
  <si>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</si>
  <si>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</si>
  <si>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</si>
  <si>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</si>
  <si>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</si>
  <si>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</si>
  <si>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</si>
  <si>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</si>
  <si>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</si>
  <si>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</si>
  <si>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</si>
  <si>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</si>
  <si>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</si>
  <si>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</si>
  <si>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</si>
  <si>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</si>
  <si>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</si>
  <si>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</si>
  <si>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</si>
  <si>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</si>
  <si>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</si>
  <si>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</si>
  <si>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</si>
  <si>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</si>
  <si>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</si>
  <si>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</si>
  <si>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</si>
  <si>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</si>
  <si>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</si>
  <si>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</si>
  <si>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</si>
  <si>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</si>
  <si>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</si>
  <si>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</si>
  <si>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</si>
  <si>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</si>
  <si>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</si>
  <si>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</si>
  <si>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</si>
  <si>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</si>
  <si>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</si>
  <si>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</si>
  <si>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</si>
  <si>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</si>
  <si>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</si>
  <si>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</si>
  <si>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</si>
  <si>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</si>
  <si>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</si>
  <si>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</si>
  <si>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</si>
  <si>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</si>
  <si>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</si>
  <si>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</si>
  <si>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</si>
  <si>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</si>
  <si>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</si>
  <si>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</si>
  <si>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</si>
  <si>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</si>
  <si>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</si>
  <si>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</si>
  <si>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</si>
  <si>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</si>
  <si>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</si>
  <si>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</si>
  <si>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</si>
  <si>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</si>
  <si>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</si>
  <si>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</si>
  <si>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</si>
  <si>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</si>
  <si>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</si>
  <si>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</si>
  <si>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</si>
  <si>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</si>
  <si>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</si>
  <si>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</si>
  <si>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</si>
  <si>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</si>
  <si>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</si>
  <si>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</si>
  <si>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</si>
  <si>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</si>
  <si>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</si>
  <si>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</si>
  <si>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</si>
  <si>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</si>
  <si>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</si>
  <si>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</si>
  <si>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</si>
  <si>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</si>
  <si>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</si>
  <si>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</si>
  <si>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</si>
  <si>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</si>
  <si>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</si>
  <si>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</si>
  <si>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</si>
  <si>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</si>
  <si>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</si>
  <si>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</si>
  <si>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</si>
  <si>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</si>
  <si>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</si>
  <si>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</si>
  <si>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</si>
  <si>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</si>
  <si>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</si>
  <si>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</si>
  <si>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</si>
  <si>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</si>
  <si>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</si>
  <si>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</si>
  <si>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</si>
  <si>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</si>
  <si>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</si>
  <si>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</si>
  <si>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</si>
  <si>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</si>
  <si>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</si>
  <si>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</si>
  <si>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</si>
  <si>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</si>
  <si>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</si>
  <si>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</si>
  <si>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</si>
  <si>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</si>
  <si>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</si>
  <si>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</si>
  <si>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</si>
  <si>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</si>
  <si>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</si>
  <si>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</si>
  <si>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</si>
  <si>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</si>
  <si>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</si>
  <si>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</si>
  <si>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</si>
  <si>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</si>
  <si>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</si>
  <si>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</si>
  <si>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</si>
  <si>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</si>
  <si>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</si>
  <si>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</si>
  <si>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</si>
  <si>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</si>
  <si>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</si>
  <si>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</si>
  <si>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</si>
  <si>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</si>
  <si>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</si>
  <si>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</si>
  <si>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</si>
  <si>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</si>
  <si>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</si>
  <si>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</si>
  <si>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</si>
  <si>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</si>
  <si>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</si>
  <si>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</si>
  <si>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</si>
  <si>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</si>
  <si>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</si>
  <si>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</si>
  <si>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</si>
  <si>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</si>
  <si>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</si>
  <si>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</si>
  <si>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</si>
  <si>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</si>
  <si>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</si>
  <si>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</si>
  <si>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</si>
  <si>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</si>
  <si>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</si>
  <si>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</si>
  <si>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</si>
  <si>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</si>
  <si>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</si>
  <si>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</si>
  <si>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</si>
  <si>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</si>
  <si>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</si>
  <si>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</si>
  <si>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</si>
  <si>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</si>
  <si>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</si>
  <si>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</si>
  <si>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</si>
  <si>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</si>
  <si>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</si>
  <si>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</si>
  <si>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</si>
  <si>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</si>
  <si>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</si>
  <si>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</si>
  <si>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</si>
  <si>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</si>
  <si>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</si>
  <si>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</si>
  <si>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</si>
  <si>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</si>
  <si>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</si>
  <si>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</si>
  <si>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</si>
  <si>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</si>
  <si>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</si>
  <si>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</si>
  <si>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</si>
  <si>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</si>
  <si>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</si>
  <si>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</si>
  <si>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</si>
  <si>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</si>
  <si>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</si>
  <si>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</si>
  <si>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</si>
  <si>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</si>
  <si>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</si>
  <si>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</si>
  <si>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</si>
  <si>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</si>
  <si>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</si>
  <si>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</si>
  <si>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</si>
  <si>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</si>
  <si>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</si>
  <si>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</si>
  <si>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</si>
  <si>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</si>
  <si>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</si>
  <si>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</si>
  <si>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</si>
  <si>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</si>
  <si>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</si>
  <si>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</si>
  <si>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</si>
  <si>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</si>
  <si>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</si>
  <si>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</si>
  <si>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</si>
  <si>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</si>
  <si>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</si>
  <si>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</si>
  <si>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</si>
  <si>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</si>
  <si>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</si>
  <si>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</si>
  <si>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</si>
  <si>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</si>
  <si>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</si>
  <si>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</si>
  <si>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</si>
  <si>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</si>
  <si>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</si>
  <si>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</si>
  <si>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</si>
  <si>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</si>
  <si>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</si>
  <si>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</si>
  <si>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</si>
  <si>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</si>
  <si>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</si>
  <si>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</si>
  <si>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</si>
  <si>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</si>
  <si>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</si>
  <si>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</si>
  <si>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</si>
  <si>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</si>
  <si>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</si>
  <si>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</si>
  <si>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</si>
  <si>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</si>
  <si>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</si>
  <si>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</si>
  <si>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</si>
  <si>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</si>
  <si>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</si>
  <si>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</si>
  <si>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</si>
  <si>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</si>
  <si>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</si>
  <si>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</si>
  <si>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</si>
  <si>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</si>
  <si>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</si>
  <si>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</si>
  <si>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</si>
  <si>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</si>
  <si>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</si>
  <si>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</si>
  <si>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</si>
  <si>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</si>
  <si>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</si>
  <si>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</si>
  <si>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</si>
  <si>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</si>
  <si>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</si>
  <si>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</si>
  <si>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</si>
  <si>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</si>
  <si>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</si>
  <si>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</si>
  <si>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</si>
  <si>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</si>
  <si>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</si>
  <si>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</si>
  <si>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</si>
  <si>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</si>
  <si>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</si>
  <si>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</si>
  <si>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</si>
  <si>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</si>
  <si>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</si>
  <si>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</si>
  <si>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</si>
  <si>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</si>
  <si>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</si>
  <si>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</si>
  <si>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</si>
  <si>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</si>
  <si>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</si>
  <si>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</si>
  <si>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</si>
  <si>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</si>
  <si>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</si>
  <si>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</si>
  <si>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</si>
  <si>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</si>
  <si>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</si>
  <si>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</si>
  <si>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</si>
  <si>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</si>
  <si>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</si>
  <si>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</si>
  <si>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</si>
  <si>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</si>
  <si>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</si>
  <si>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</si>
  <si>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</si>
  <si>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</si>
  <si>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</si>
  <si>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</si>
  <si>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</si>
  <si>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</si>
  <si>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</si>
  <si>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</si>
  <si>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</si>
  <si>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</si>
  <si>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</si>
  <si>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</si>
  <si>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</si>
  <si>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</si>
  <si>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</si>
  <si>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</si>
  <si>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</si>
  <si>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</si>
  <si>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</si>
  <si>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</si>
  <si>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</si>
  <si>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</si>
  <si>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</si>
  <si>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</si>
  <si>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</si>
  <si>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</si>
  <si>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</si>
  <si>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</si>
  <si>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</si>
  <si>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</si>
  <si>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</si>
  <si>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</si>
  <si>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</si>
  <si>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</si>
  <si>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</si>
  <si>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</si>
  <si>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</si>
  <si>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</si>
  <si>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</si>
  <si>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</si>
  <si>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</si>
  <si>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</si>
  <si>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</si>
  <si>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</si>
  <si>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</si>
  <si>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</si>
  <si>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</si>
  <si>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</si>
  <si>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</si>
  <si>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</si>
  <si>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</si>
  <si>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</si>
  <si>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</si>
  <si>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</si>
  <si>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</si>
  <si>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</si>
  <si>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</si>
  <si>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</si>
  <si>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</si>
  <si>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</si>
  <si>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</si>
  <si>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</si>
  <si>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</si>
  <si>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</si>
  <si>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</si>
  <si>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</si>
  <si>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</si>
  <si>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</si>
  <si>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</si>
  <si>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</si>
  <si>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</si>
  <si>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</si>
  <si>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</si>
  <si>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</si>
  <si>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</si>
  <si>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</si>
  <si>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</si>
  <si>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</si>
  <si>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</si>
  <si>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</si>
  <si>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</si>
  <si>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</si>
  <si>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</si>
  <si>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</si>
  <si>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</si>
  <si>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</si>
  <si>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</si>
  <si>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</si>
  <si>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</si>
  <si>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</si>
  <si>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</si>
  <si>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</si>
  <si>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</si>
  <si>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</si>
  <si>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</si>
  <si>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</si>
  <si>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</si>
  <si>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</si>
  <si>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</si>
  <si>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</si>
  <si>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</si>
  <si>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</si>
  <si>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</si>
  <si>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</si>
  <si>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</si>
  <si>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</si>
  <si>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</si>
  <si>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</si>
  <si>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</si>
  <si>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</si>
  <si>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</si>
  <si>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</si>
  <si>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</si>
  <si>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</si>
  <si>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</si>
  <si>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</si>
  <si>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</si>
  <si>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</si>
  <si>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</si>
  <si>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</si>
  <si>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</si>
  <si>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</si>
  <si>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</si>
  <si>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</si>
  <si>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</si>
  <si>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</si>
  <si>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</si>
  <si>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</si>
  <si>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</si>
  <si>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</si>
  <si>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</si>
  <si>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</si>
  <si>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</si>
  <si>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北京绿城中交房地产开发有限公司</t>
    <phoneticPr fontId="3" type="noConversion"/>
  </si>
  <si>
    <t>渤海银行</t>
    <phoneticPr fontId="3" type="noConversion"/>
  </si>
  <si>
    <t>欧红伟</t>
  </si>
  <si>
    <t>崔锴</t>
  </si>
  <si>
    <t>抵押</t>
  </si>
  <si>
    <t>房地产抵押价值</t>
  </si>
  <si>
    <t>北京市</t>
  </si>
  <si>
    <r>
      <rPr>
        <sz val="12"/>
        <color theme="9" tint="-0.249977111117893"/>
        <rFont val="宋体"/>
        <family val="3"/>
        <charset val="134"/>
      </rPr>
      <t>门头沟区永定镇</t>
    </r>
    <r>
      <rPr>
        <sz val="12"/>
        <color theme="9" tint="-0.249977111117893"/>
        <rFont val="Arial"/>
        <family val="2"/>
      </rPr>
      <t>MC00-0017-0620</t>
    </r>
    <r>
      <rPr>
        <sz val="12"/>
        <color theme="9" tint="-0.249977111117893"/>
        <rFont val="宋体"/>
        <family val="3"/>
        <charset val="134"/>
      </rPr>
      <t>地块</t>
    </r>
    <phoneticPr fontId="6" type="noConversion"/>
  </si>
  <si>
    <t>企业</t>
  </si>
  <si>
    <t>居住项目</t>
  </si>
  <si>
    <t>无</t>
  </si>
  <si>
    <t>含保障性住房</t>
  </si>
  <si>
    <t>公租房</t>
    <phoneticPr fontId="6" type="noConversion"/>
  </si>
  <si>
    <t>在建</t>
  </si>
  <si>
    <t>通路</t>
  </si>
  <si>
    <t>通电</t>
  </si>
  <si>
    <t>通上水</t>
  </si>
  <si>
    <t>Ⅶ-门1</t>
  </si>
  <si>
    <r>
      <rPr>
        <sz val="10"/>
        <color indexed="8"/>
        <rFont val="宋体"/>
        <family val="3"/>
        <charset val="134"/>
      </rPr>
      <t>京（</t>
    </r>
    <r>
      <rPr>
        <sz val="10"/>
        <color indexed="8"/>
        <rFont val="Arial"/>
        <family val="2"/>
      </rPr>
      <t>2016</t>
    </r>
    <r>
      <rPr>
        <sz val="10"/>
        <color indexed="8"/>
        <rFont val="宋体"/>
        <family val="3"/>
        <charset val="134"/>
      </rPr>
      <t>）门头沟区不动产权第</t>
    </r>
    <r>
      <rPr>
        <sz val="10"/>
        <color indexed="8"/>
        <rFont val="Arial"/>
        <family val="2"/>
      </rPr>
      <t>0000012</t>
    </r>
    <r>
      <rPr>
        <sz val="10"/>
        <color indexed="8"/>
        <rFont val="宋体"/>
        <family val="3"/>
        <charset val="134"/>
      </rPr>
      <t>号</t>
    </r>
    <phoneticPr fontId="3" type="noConversion"/>
  </si>
  <si>
    <t>是</t>
  </si>
  <si>
    <t>6#</t>
    <phoneticPr fontId="3" type="noConversion"/>
  </si>
  <si>
    <t>7#</t>
    <phoneticPr fontId="3" type="noConversion"/>
  </si>
  <si>
    <t>8#</t>
  </si>
  <si>
    <t>10#</t>
  </si>
  <si>
    <t>11#</t>
  </si>
  <si>
    <t>地上</t>
  </si>
  <si>
    <t>住宅</t>
  </si>
  <si>
    <t>平层住宅</t>
  </si>
  <si>
    <t>住宅</t>
    <phoneticPr fontId="7" type="noConversion"/>
  </si>
  <si>
    <t>库房</t>
  </si>
  <si>
    <t>西山燕庐</t>
    <phoneticPr fontId="3" type="noConversion"/>
  </si>
  <si>
    <t>门头沟永定镇</t>
    <phoneticPr fontId="3" type="noConversion"/>
  </si>
  <si>
    <t>R2二类居住用地</t>
    <phoneticPr fontId="3" type="noConversion"/>
  </si>
  <si>
    <t>F1住宅混合公建、B1商业用地</t>
    <phoneticPr fontId="3" type="noConversion"/>
  </si>
  <si>
    <t>R2二类居住用地、C2商业金融用地</t>
    <phoneticPr fontId="143" type="noConversion"/>
  </si>
  <si>
    <r>
      <rPr>
        <sz val="11"/>
        <color indexed="8"/>
        <rFont val="仿宋_GB2312"/>
        <family val="3"/>
        <charset val="134"/>
      </rPr>
      <t>无配建</t>
    </r>
    <phoneticPr fontId="3" type="noConversion"/>
  </si>
  <si>
    <t>配建自住房</t>
    <phoneticPr fontId="3" type="noConversion"/>
  </si>
  <si>
    <t>配建公租房</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</si>
  <si>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</si>
  <si>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</si>
  <si>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</si>
  <si>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</si>
  <si>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</si>
  <si>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</si>
  <si>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</si>
  <si>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</si>
  <si>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</si>
  <si>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</si>
  <si>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</si>
  <si>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</si>
  <si>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</si>
  <si>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</si>
  <si>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</si>
  <si>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</si>
  <si>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</si>
  <si>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</si>
  <si>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</si>
  <si>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</si>
  <si>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</si>
  <si>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</si>
  <si>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R2二类居住用地</t>
  </si>
  <si>
    <r>
      <t>70</t>
    </r>
    <r>
      <rPr>
        <sz val="11"/>
        <color indexed="8"/>
        <rFont val="宋体"/>
        <family val="3"/>
        <charset val="134"/>
      </rPr>
      <t>、</t>
    </r>
    <r>
      <rPr>
        <sz val="11"/>
        <color indexed="8"/>
        <rFont val="Arial"/>
        <family val="2"/>
      </rPr>
      <t>50</t>
    </r>
    <phoneticPr fontId="31" type="noConversion"/>
  </si>
  <si>
    <t>一般</t>
  </si>
  <si>
    <t>城市支路——泰安路</t>
    <phoneticPr fontId="3" type="noConversion"/>
  </si>
  <si>
    <t>支路</t>
  </si>
  <si>
    <t>规则</t>
  </si>
  <si>
    <t>三通一平</t>
  </si>
  <si>
    <t>较好</t>
  </si>
  <si>
    <t>门头沟区龙泉镇MC00-0003-0026等地块B1商业用地、F1住宅混合公建用地及A33基础教育用地（原门头沟区城子大街国有资源整合改造升级地块）</t>
    <phoneticPr fontId="3" type="noConversion"/>
  </si>
  <si>
    <t>门头沟区龙泉镇</t>
    <phoneticPr fontId="3" type="noConversion"/>
  </si>
  <si>
    <t>正常</t>
  </si>
  <si>
    <t>F1住宅混合公建、B1商业用地</t>
  </si>
  <si>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31" type="noConversion"/>
  </si>
  <si>
    <t>无配建</t>
    <phoneticPr fontId="3" type="noConversion"/>
  </si>
  <si>
    <r>
      <rPr>
        <sz val="11"/>
        <rFont val="宋体"/>
        <family val="3"/>
        <charset val="134"/>
      </rPr>
      <t>周边</t>
    </r>
    <r>
      <rPr>
        <sz val="11"/>
        <rFont val="Arial"/>
        <family val="2"/>
      </rPr>
      <t>2</t>
    </r>
    <r>
      <rPr>
        <sz val="11"/>
        <rFont val="宋体"/>
        <family val="3"/>
        <charset val="134"/>
      </rPr>
      <t>公里内有蓝龙家园、绿岛家园等多个住宅项目</t>
    </r>
    <r>
      <rPr>
        <sz val="11"/>
        <rFont val="Arial"/>
        <family val="2"/>
      </rPr>
      <t xml:space="preserve">, </t>
    </r>
    <r>
      <rPr>
        <sz val="11"/>
        <rFont val="宋体"/>
        <family val="3"/>
        <charset val="134"/>
      </rPr>
      <t>居住社区成熟度较好。</t>
    </r>
    <phoneticPr fontId="3" type="noConversion"/>
  </si>
  <si>
    <r>
      <rPr>
        <sz val="11"/>
        <rFont val="宋体"/>
        <family val="3"/>
        <charset val="134"/>
      </rPr>
      <t>周边有</t>
    </r>
    <r>
      <rPr>
        <sz val="11"/>
        <rFont val="Arial"/>
        <family val="2"/>
      </rPr>
      <t>972</t>
    </r>
    <r>
      <rPr>
        <sz val="11"/>
        <rFont val="宋体"/>
        <family val="3"/>
        <charset val="134"/>
      </rPr>
      <t>、</t>
    </r>
    <r>
      <rPr>
        <sz val="11"/>
        <rFont val="Arial"/>
        <family val="2"/>
      </rPr>
      <t>961</t>
    </r>
    <r>
      <rPr>
        <sz val="11"/>
        <rFont val="宋体"/>
        <family val="3"/>
        <charset val="134"/>
      </rPr>
      <t>路等多条公交线路经过，交通便捷度一般。</t>
    </r>
    <phoneticPr fontId="3" type="noConversion"/>
  </si>
  <si>
    <r>
      <rPr>
        <sz val="11"/>
        <rFont val="宋体"/>
        <family val="3"/>
        <charset val="134"/>
      </rPr>
      <t>城市次干道</t>
    </r>
    <r>
      <rPr>
        <sz val="11"/>
        <rFont val="Arial"/>
        <family val="2"/>
      </rPr>
      <t>——</t>
    </r>
    <r>
      <rPr>
        <sz val="11"/>
        <rFont val="宋体"/>
        <family val="3"/>
        <charset val="134"/>
      </rPr>
      <t>城子大街</t>
    </r>
    <phoneticPr fontId="3" type="noConversion"/>
  </si>
  <si>
    <t>次干道</t>
  </si>
  <si>
    <t>单面临街</t>
  </si>
  <si>
    <t>多面临街</t>
  </si>
  <si>
    <t>较不规则</t>
  </si>
  <si>
    <t>七通一平</t>
  </si>
  <si>
    <t>自定义</t>
  </si>
  <si>
    <t>钢混</t>
  </si>
  <si>
    <t>非生产用房</t>
  </si>
  <si>
    <t>收益法-库房</t>
    <phoneticPr fontId="16" type="noConversion"/>
  </si>
  <si>
    <t>在建（套用方法）</t>
  </si>
  <si>
    <t>门头沟区永定镇</t>
    <phoneticPr fontId="3" type="noConversion"/>
  </si>
  <si>
    <t>门头沟区龙泉镇新桥大街西侧，区政府正对面</t>
    <phoneticPr fontId="3" type="noConversion"/>
  </si>
  <si>
    <t>七通</t>
  </si>
  <si>
    <t>丰台区南苑乡槐房村和新宫村1404-657、659、1401-607地块（丰台区城乡一体化槐房村、新宫村旧村改造项目第一期A组团）</t>
    <phoneticPr fontId="3" type="noConversion"/>
  </si>
  <si>
    <t>六通</t>
  </si>
  <si>
    <t>丰台区南苑乡石榴庄村0517-659等地块（丰台区城乡一体化石榴庄村旧村改造项目（二期））</t>
    <phoneticPr fontId="3" type="noConversion"/>
  </si>
  <si>
    <t>双面临街</t>
  </si>
  <si>
    <t>楼号</t>
    <phoneticPr fontId="143" type="noConversion"/>
  </si>
  <si>
    <t>6号</t>
    <phoneticPr fontId="143" type="noConversion"/>
  </si>
  <si>
    <t>7号</t>
  </si>
  <si>
    <t>8号</t>
  </si>
  <si>
    <t>10号</t>
  </si>
  <si>
    <t>11号</t>
  </si>
  <si>
    <t>目前</t>
    <phoneticPr fontId="143" type="noConversion"/>
  </si>
  <si>
    <r>
      <t>2</t>
    </r>
    <r>
      <rPr>
        <sz val="11"/>
        <color theme="1"/>
        <rFont val="宋体"/>
        <family val="3"/>
        <charset val="134"/>
        <scheme val="minor"/>
      </rPr>
      <t>2层</t>
    </r>
    <phoneticPr fontId="143" type="noConversion"/>
  </si>
  <si>
    <t>封顶</t>
    <phoneticPr fontId="143" type="noConversion"/>
  </si>
  <si>
    <t>6层</t>
    <phoneticPr fontId="143" type="noConversion"/>
  </si>
  <si>
    <t>总层数</t>
    <phoneticPr fontId="143" type="noConversion"/>
  </si>
  <si>
    <t>工程进度</t>
    <phoneticPr fontId="143" type="noConversion"/>
  </si>
  <si>
    <t>建筑面积</t>
    <phoneticPr fontId="143" type="noConversion"/>
  </si>
  <si>
    <t>综合工程进度</t>
    <phoneticPr fontId="143" type="noConversion"/>
  </si>
  <si>
    <t>成本法</t>
  </si>
  <si>
    <t>假设开发法</t>
  </si>
  <si>
    <t>成本比率</t>
  </si>
  <si>
    <t>未包含在土地购买价格中</t>
  </si>
  <si>
    <t>已包含在土地取得成本中</t>
  </si>
  <si>
    <t>出让</t>
  </si>
  <si>
    <t>住宅</t>
    <phoneticPr fontId="25" type="noConversion"/>
  </si>
  <si>
    <t>60-70（含）</t>
  </si>
  <si>
    <t>门头沟长安街西延线与西六环交汇处南1.2公里</t>
    <phoneticPr fontId="3" type="noConversion"/>
  </si>
  <si>
    <t>门头沟</t>
    <phoneticPr fontId="25" type="noConversion"/>
  </si>
  <si>
    <t>周边2公里内有泷悦长安、梧桐苑等住宅项目，居住社区成熟度一般</t>
    <phoneticPr fontId="41" type="noConversion"/>
  </si>
  <si>
    <t>估价对象零星分布商业，商业繁华度一般</t>
    <phoneticPr fontId="25" type="noConversion"/>
  </si>
  <si>
    <t>估价对象周边办公楼项目较少，办公集聚程度一般</t>
    <phoneticPr fontId="25" type="noConversion"/>
  </si>
  <si>
    <t>周边有941、981路等公交线路经过，交通便捷度一般</t>
    <phoneticPr fontId="41" type="noConversion"/>
  </si>
  <si>
    <t>基础设施为七通</t>
    <phoneticPr fontId="25" type="noConversion"/>
  </si>
  <si>
    <t>估价对象所在区域公共配套设施齐备较差</t>
    <phoneticPr fontId="41" type="noConversion"/>
  </si>
  <si>
    <t>周边无大学等教育配套设施，有石门营文化公园等绿化设施，自然及人文环境一般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</si>
  <si>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未命名道路</t>
    </r>
    <phoneticPr fontId="25" type="noConversion"/>
  </si>
  <si>
    <t>零星有其他用地，基本不影响本宗地</t>
    <phoneticPr fontId="25" type="noConversion"/>
  </si>
  <si>
    <r>
      <rPr>
        <sz val="11"/>
        <rFont val="宋体"/>
        <family val="3"/>
        <charset val="134"/>
      </rPr>
      <t>周边有</t>
    </r>
    <r>
      <rPr>
        <sz val="11"/>
        <rFont val="Arial"/>
        <family val="2"/>
      </rPr>
      <t>370</t>
    </r>
    <r>
      <rPr>
        <sz val="11"/>
        <rFont val="宋体"/>
        <family val="3"/>
        <charset val="134"/>
      </rPr>
      <t>、</t>
    </r>
    <r>
      <rPr>
        <sz val="11"/>
        <rFont val="Arial"/>
        <family val="2"/>
      </rPr>
      <t>960</t>
    </r>
    <r>
      <rPr>
        <sz val="11"/>
        <rFont val="宋体"/>
        <family val="3"/>
        <charset val="134"/>
      </rPr>
      <t>路等公交线路经过，交通便捷度一般</t>
    </r>
    <phoneticPr fontId="25" type="noConversion"/>
  </si>
  <si>
    <t>较差</t>
  </si>
  <si>
    <t>七通</t>
    <phoneticPr fontId="25" type="noConversion"/>
  </si>
  <si>
    <t>所在区域公共配套设施齐备一般</t>
    <phoneticPr fontId="25" type="noConversion"/>
  </si>
  <si>
    <t>低密度住宅</t>
    <phoneticPr fontId="25" type="noConversion"/>
  </si>
  <si>
    <t>普通住宅</t>
  </si>
  <si>
    <t>普通住宅</t>
    <phoneticPr fontId="25" type="noConversion"/>
  </si>
  <si>
    <t>钢结构</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</si>
  <si>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</si>
  <si>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</si>
  <si>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</si>
  <si>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</si>
  <si>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</si>
  <si>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</si>
  <si>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</si>
  <si>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</si>
  <si>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</si>
  <si>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</si>
  <si>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</si>
  <si>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</si>
  <si>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</si>
  <si>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六通</t>
    <phoneticPr fontId="25" type="noConversion"/>
  </si>
  <si>
    <t>五通</t>
    <phoneticPr fontId="25" type="noConversion"/>
  </si>
  <si>
    <t>四通</t>
    <phoneticPr fontId="25" type="noConversion"/>
  </si>
  <si>
    <t>三通</t>
    <phoneticPr fontId="25" type="noConversion"/>
  </si>
  <si>
    <t>90-110</t>
    <phoneticPr fontId="25" type="noConversion"/>
  </si>
  <si>
    <t>82-120</t>
    <phoneticPr fontId="25" type="noConversion"/>
  </si>
  <si>
    <t>135-180</t>
    <phoneticPr fontId="25" type="noConversion"/>
  </si>
  <si>
    <t>90-100</t>
    <phoneticPr fontId="25" type="noConversion"/>
  </si>
  <si>
    <t>loft</t>
    <phoneticPr fontId="25" type="noConversion"/>
  </si>
  <si>
    <t>平层</t>
  </si>
  <si>
    <t>平层</t>
    <phoneticPr fontId="25" type="noConversion"/>
  </si>
  <si>
    <t>较规则</t>
  </si>
  <si>
    <r>
      <rPr>
        <sz val="11"/>
        <rFont val="宋体"/>
        <family val="3"/>
        <charset val="134"/>
      </rPr>
      <t>周边</t>
    </r>
    <r>
      <rPr>
        <sz val="11"/>
        <rFont val="Arial"/>
        <family val="2"/>
      </rPr>
      <t>2</t>
    </r>
    <r>
      <rPr>
        <sz val="11"/>
        <rFont val="宋体"/>
        <family val="3"/>
        <charset val="134"/>
      </rPr>
      <t>公里内有石榴庄小区、鑫兆雅园等多个住宅项目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</si>
  <si>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t>
    </r>
    <r>
      <rPr>
        <sz val="11"/>
        <rFont val="Arial"/>
        <family val="2"/>
      </rPr>
      <t>2</t>
    </r>
    <r>
      <rPr>
        <sz val="11"/>
        <rFont val="宋体"/>
        <family val="3"/>
        <charset val="134"/>
      </rPr>
      <t>公里内有翠海明苑、新宫家园等多个住宅项目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</si>
  <si>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周边有</t>
    </r>
    <r>
      <rPr>
        <sz val="11"/>
        <rFont val="Arial"/>
        <family val="2"/>
      </rPr>
      <t>529</t>
    </r>
    <r>
      <rPr>
        <sz val="11"/>
        <rFont val="宋体"/>
        <family val="3"/>
        <charset val="134"/>
      </rPr>
      <t>、专</t>
    </r>
    <r>
      <rPr>
        <sz val="11"/>
        <rFont val="Arial"/>
        <family val="2"/>
      </rPr>
      <t>59</t>
    </r>
    <r>
      <rPr>
        <sz val="11"/>
        <rFont val="宋体"/>
        <family val="3"/>
        <charset val="134"/>
      </rPr>
      <t>路等多条公交线路经过及地铁大兴线新宫站，交通便捷度较好。</t>
    </r>
    <phoneticPr fontId="31" type="noConversion"/>
  </si>
  <si>
    <t>周边有511、39路等多条公交线路经过及地铁5号线、亦庄线宋家庄站，交通便捷度较好。</t>
    <phoneticPr fontId="31" type="noConversion"/>
  </si>
  <si>
    <t>周边无大学等教育配套设施，有海子公园等绿化设施，自然及人文环境一般。</t>
    <phoneticPr fontId="3" type="noConversion"/>
  </si>
  <si>
    <t>周边无大学等教育配套设施，有石榴庄公园等绿化设施，自然及人文环境一般。</t>
    <phoneticPr fontId="3" type="noConversion"/>
  </si>
  <si>
    <t>估价对象所在区域公共配套设施齐备较好</t>
    <phoneticPr fontId="3" type="noConversion"/>
  </si>
  <si>
    <t>六通一平</t>
  </si>
  <si>
    <t>全部缴纳</t>
  </si>
  <si>
    <t>已全部缴纳</t>
  </si>
  <si>
    <t>电建·金地华宸</t>
    <phoneticPr fontId="3" type="noConversion"/>
  </si>
  <si>
    <t>翡翠长安</t>
    <phoneticPr fontId="3" type="noConversion"/>
  </si>
  <si>
    <t>通下水</t>
  </si>
  <si>
    <t>通讯</t>
  </si>
  <si>
    <t>燃气</t>
  </si>
  <si>
    <r>
      <rPr>
        <sz val="11"/>
        <rFont val="宋体"/>
        <family val="3"/>
        <charset val="134"/>
      </rPr>
      <t>周边</t>
    </r>
    <r>
      <rPr>
        <sz val="11"/>
        <rFont val="Arial"/>
        <family val="2"/>
      </rPr>
      <t>2</t>
    </r>
    <r>
      <rPr>
        <sz val="11"/>
        <rFont val="宋体"/>
        <family val="3"/>
        <charset val="134"/>
      </rPr>
      <t>公里内有龙山家园、绿岛家园等住宅项目，居住社区成熟度较好。</t>
    </r>
    <phoneticPr fontId="25" type="noConversion"/>
  </si>
  <si>
    <t>周边有门城湖公园、长城公园、永定河、北京市门头沟区职业技术学校，自然及人文环境较好。</t>
    <phoneticPr fontId="3" type="noConversion"/>
  </si>
  <si>
    <t>周边有门城湖公园、长城公园、永定河、北京市门头沟区职业技术学校，自然及人文环境较好。</t>
    <phoneticPr fontId="25" type="noConversion"/>
  </si>
  <si>
    <t>估价对象所在区域公共配套设施齐备一般</t>
    <phoneticPr fontId="3" type="noConversion"/>
  </si>
  <si>
    <t>仓储</t>
  </si>
  <si>
    <t>戊类库房</t>
  </si>
  <si>
    <t>底商</t>
  </si>
  <si>
    <t>地下</t>
  </si>
  <si>
    <t>车库</t>
  </si>
  <si>
    <r>
      <t>1</t>
    </r>
    <r>
      <rPr>
        <sz val="11"/>
        <color indexed="8"/>
        <rFont val="宋体"/>
        <family val="3"/>
        <charset val="134"/>
      </rPr>
      <t>号</t>
    </r>
    <phoneticPr fontId="3" type="noConversion"/>
  </si>
  <si>
    <t>1号楼</t>
    <phoneticPr fontId="143" type="noConversion"/>
  </si>
  <si>
    <r>
      <t>2号</t>
    </r>
    <r>
      <rPr>
        <sz val="11"/>
        <color indexed="8"/>
        <rFont val="宋体"/>
        <family val="3"/>
        <charset val="134"/>
      </rPr>
      <t/>
    </r>
  </si>
  <si>
    <t>2号楼</t>
    <phoneticPr fontId="143" type="noConversion"/>
  </si>
  <si>
    <r>
      <t>3</t>
    </r>
    <r>
      <rPr>
        <sz val="11"/>
        <color indexed="8"/>
        <rFont val="宋体"/>
        <family val="3"/>
        <charset val="134"/>
      </rPr>
      <t>号</t>
    </r>
    <phoneticPr fontId="3" type="noConversion"/>
  </si>
  <si>
    <t>3号楼</t>
  </si>
  <si>
    <r>
      <t>4号</t>
    </r>
    <r>
      <rPr>
        <sz val="11"/>
        <color indexed="8"/>
        <rFont val="宋体"/>
        <family val="3"/>
        <charset val="134"/>
      </rPr>
      <t/>
    </r>
  </si>
  <si>
    <t>4号楼</t>
    <phoneticPr fontId="143" type="noConversion"/>
  </si>
  <si>
    <r>
      <t>5号</t>
    </r>
    <r>
      <rPr>
        <sz val="11"/>
        <color indexed="8"/>
        <rFont val="宋体"/>
        <family val="3"/>
        <charset val="134"/>
      </rPr>
      <t/>
    </r>
  </si>
  <si>
    <t>5号楼</t>
  </si>
  <si>
    <r>
      <t>6</t>
    </r>
    <r>
      <rPr>
        <sz val="11"/>
        <color indexed="8"/>
        <rFont val="宋体"/>
        <family val="3"/>
        <charset val="134"/>
      </rPr>
      <t>号</t>
    </r>
    <phoneticPr fontId="3" type="noConversion"/>
  </si>
  <si>
    <r>
      <t>7号</t>
    </r>
    <r>
      <rPr>
        <sz val="11"/>
        <color indexed="8"/>
        <rFont val="宋体"/>
        <family val="3"/>
        <charset val="134"/>
      </rPr>
      <t/>
    </r>
  </si>
  <si>
    <r>
      <t>8号</t>
    </r>
    <r>
      <rPr>
        <sz val="11"/>
        <color indexed="8"/>
        <rFont val="宋体"/>
        <family val="3"/>
        <charset val="134"/>
      </rPr>
      <t/>
    </r>
  </si>
  <si>
    <r>
      <t>10</t>
    </r>
    <r>
      <rPr>
        <sz val="11"/>
        <color indexed="8"/>
        <rFont val="宋体"/>
        <family val="3"/>
        <charset val="134"/>
      </rPr>
      <t>号</t>
    </r>
    <phoneticPr fontId="3" type="noConversion"/>
  </si>
  <si>
    <r>
      <t>11</t>
    </r>
    <r>
      <rPr>
        <sz val="11"/>
        <color indexed="8"/>
        <rFont val="宋体"/>
        <family val="3"/>
        <charset val="134"/>
      </rPr>
      <t>号</t>
    </r>
    <phoneticPr fontId="3" type="noConversion"/>
  </si>
  <si>
    <t>测绘报告</t>
    <phoneticPr fontId="3" type="noConversion"/>
  </si>
  <si>
    <t>2016规（门）建字0020号</t>
    <phoneticPr fontId="3" type="noConversion"/>
  </si>
  <si>
    <r>
      <t>A</t>
    </r>
    <r>
      <rPr>
        <sz val="11"/>
        <color indexed="8"/>
        <rFont val="宋体"/>
        <family val="3"/>
        <charset val="134"/>
      </rPr>
      <t>号</t>
    </r>
    <phoneticPr fontId="3" type="noConversion"/>
  </si>
  <si>
    <t>2016规（门）建字0020号</t>
    <phoneticPr fontId="3" type="noConversion"/>
  </si>
  <si>
    <t>地下车库</t>
    <phoneticPr fontId="3" type="noConversion"/>
  </si>
  <si>
    <t>9号楼</t>
    <phoneticPr fontId="143" type="noConversion"/>
  </si>
  <si>
    <r>
      <t>9</t>
    </r>
    <r>
      <rPr>
        <sz val="11"/>
        <color indexed="8"/>
        <rFont val="宋体"/>
        <family val="3"/>
        <charset val="134"/>
      </rPr>
      <t>号楼</t>
    </r>
    <phoneticPr fontId="3" type="noConversion"/>
  </si>
  <si>
    <t>2017规（门）建字0026号</t>
    <phoneticPr fontId="3" type="noConversion"/>
  </si>
  <si>
    <t>仓储</t>
    <phoneticPr fontId="3" type="noConversion"/>
  </si>
  <si>
    <t>A号</t>
    <phoneticPr fontId="143" type="noConversion"/>
  </si>
  <si>
    <t>地下车库</t>
    <phoneticPr fontId="143" type="noConversion"/>
  </si>
  <si>
    <r>
      <rPr>
        <sz val="11"/>
        <color indexed="8"/>
        <rFont val="宋体"/>
        <family val="3"/>
        <charset val="134"/>
      </rPr>
      <t>收益法</t>
    </r>
    <r>
      <rPr>
        <sz val="11"/>
        <color indexed="8"/>
        <rFont val="Arial"/>
        <family val="2"/>
      </rPr>
      <t>-</t>
    </r>
    <r>
      <rPr>
        <sz val="11"/>
        <color indexed="8"/>
        <rFont val="宋体"/>
        <family val="3"/>
        <charset val="134"/>
      </rPr>
      <t>商业</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</si>
  <si>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仓储</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</si>
  <si>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车库</t>
    </r>
    <phoneticPr fontId="3" type="noConversion"/>
  </si>
  <si>
    <t>收益法-商业</t>
  </si>
  <si>
    <t>收益法-仓储</t>
  </si>
  <si>
    <t>押一</t>
  </si>
  <si>
    <t>售价</t>
  </si>
  <si>
    <t>车库</t>
    <phoneticPr fontId="32" type="noConversion"/>
  </si>
  <si>
    <t>40-50（含）</t>
  </si>
  <si>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</si>
  <si>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</si>
  <si>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t>
    <phoneticPr fontId="32" type="noConversion"/>
  </si>
  <si>
    <t>办公</t>
    <phoneticPr fontId="32" type="noConversion"/>
  </si>
  <si>
    <t>1:1</t>
    <phoneticPr fontId="3" type="noConversion"/>
  </si>
  <si>
    <t>1:1.5</t>
    <phoneticPr fontId="3" type="noConversion"/>
  </si>
  <si>
    <t>1:2</t>
    <phoneticPr fontId="3" type="noConversion"/>
  </si>
  <si>
    <t>1:3</t>
    <phoneticPr fontId="3"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</si>
  <si>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</si>
  <si>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</si>
  <si>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rFont val="楷体_GB2312"/>
        <family val="3"/>
        <charset val="134"/>
      </rPr>
      <t>甲级</t>
    </r>
    <phoneticPr fontId="3" type="noConversion"/>
  </si>
  <si>
    <r>
      <rPr>
        <sz val="11"/>
        <rFont val="楷体_GB2312"/>
        <family val="3"/>
        <charset val="134"/>
      </rPr>
      <t>乙级</t>
    </r>
    <phoneticPr fontId="3" type="noConversion"/>
  </si>
  <si>
    <r>
      <rPr>
        <sz val="11"/>
        <rFont val="楷体_GB2312"/>
        <family val="3"/>
        <charset val="134"/>
      </rPr>
      <t>丙级</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</si>
  <si>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</si>
  <si>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</si>
  <si>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</si>
  <si>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</si>
  <si>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t>普通装修</t>
  </si>
  <si>
    <t>平面车位</t>
  </si>
  <si>
    <t>华远·裘马四季</t>
    <phoneticPr fontId="3" type="noConversion"/>
  </si>
  <si>
    <t>泷悦长安</t>
    <phoneticPr fontId="32" type="noConversion"/>
  </si>
  <si>
    <t>门头沟区</t>
    <phoneticPr fontId="32" type="noConversion"/>
  </si>
  <si>
    <r>
      <rPr>
        <sz val="11"/>
        <rFont val="宋体"/>
        <family val="3"/>
        <charset val="134"/>
      </rPr>
      <t>周边有</t>
    </r>
    <r>
      <rPr>
        <sz val="11"/>
        <rFont val="Arial"/>
        <family val="2"/>
      </rPr>
      <t>979</t>
    </r>
    <r>
      <rPr>
        <sz val="11"/>
        <rFont val="宋体"/>
        <family val="3"/>
        <charset val="134"/>
      </rPr>
      <t>、</t>
    </r>
    <r>
      <rPr>
        <sz val="11"/>
        <rFont val="Arial"/>
        <family val="2"/>
      </rPr>
      <t>941</t>
    </r>
    <r>
      <rPr>
        <sz val="11"/>
        <rFont val="宋体"/>
        <family val="3"/>
        <charset val="134"/>
      </rPr>
      <t>路等公交线路经过，交通便捷度一般</t>
    </r>
    <phoneticPr fontId="32" type="noConversion"/>
  </si>
  <si>
    <t>七通</t>
    <phoneticPr fontId="32" type="noConversion"/>
  </si>
  <si>
    <t>所在区域公共配套设施齐备较好</t>
    <phoneticPr fontId="32" type="noConversion"/>
  </si>
  <si>
    <t>周边无大学等教育配套设施，有永定河水系等绿化设施，自然及人文环境一般</t>
    <phoneticPr fontId="32" type="noConversion"/>
  </si>
  <si>
    <t>西山艺境</t>
    <phoneticPr fontId="3" type="noConversion"/>
  </si>
  <si>
    <t>周边有383、891路等公交线路经过，交通便捷度一般</t>
    <phoneticPr fontId="3" type="noConversion"/>
  </si>
  <si>
    <t>周边无大学等教育配套设施，有黑山公园等绿化设施，自然及人文环境一般</t>
    <phoneticPr fontId="3" type="noConversion"/>
  </si>
  <si>
    <t>已完工建筑面积</t>
    <phoneticPr fontId="143" type="noConversion"/>
  </si>
  <si>
    <t>规划建筑面积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</si>
</sst>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4" fillId="0" borderId="24"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49" fontId="256" fillId="0" borderId="35"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xf>
    <xf numFmtId="0" fontId="99" fillId="0" borderId="0" xfId="0" applyFont="1">
      <alignment vertical="center"/>
    </xf>
    <xf numFmtId="9"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120" fillId="0" borderId="1" xfId="0" applyNumberFormat="1"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6" fillId="0" borderId="61" xfId="1" applyNumberFormat="1" applyFont="1" applyFill="1" applyBorder="1" applyAlignment="1" applyProtection="1">
      <alignment horizontal="center" vertical="center"/>
      <protection locked="0"/>
    </xf>
    <xf numFmtId="0" fontId="54"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176" fontId="0" fillId="0" borderId="0" xfId="0" applyNumberFormat="1">
      <alignment vertical="center"/>
    </xf>
    <xf numFmtId="176" fontId="50" fillId="16" borderId="1" xfId="0" applyNumberFormat="1" applyFont="1" applyFill="1" applyBorder="1" applyAlignment="1" applyProtection="1">
      <alignment vertical="center" wrapText="1"/>
      <protection locked="0"/>
    </xf>
    <xf numFmtId="176" fontId="47" fillId="16" borderId="1" xfId="0" applyNumberFormat="1" applyFont="1" applyFill="1" applyBorder="1" applyAlignment="1" applyProtection="1">
      <alignment vertical="center" wrapText="1"/>
      <protection locked="0"/>
    </xf>
    <xf numFmtId="176" fontId="47" fillId="16" borderId="1" xfId="0" applyNumberFormat="1" applyFont="1" applyFill="1" applyBorder="1" applyAlignment="1" applyProtection="1">
      <alignment horizontal="center" vertical="center" wrapText="1"/>
      <protection locked="0"/>
    </xf>
    <xf numFmtId="176" fontId="104" fillId="16" borderId="1" xfId="0" applyNumberFormat="1" applyFont="1" applyFill="1" applyBorder="1" applyAlignment="1" applyProtection="1">
      <alignment vertical="center" wrapText="1"/>
      <protection locked="0"/>
    </xf>
    <xf numFmtId="176" fontId="47" fillId="16" borderId="2" xfId="0" applyNumberFormat="1" applyFont="1" applyFill="1" applyBorder="1" applyAlignment="1" applyProtection="1">
      <alignment horizontal="center" vertical="center" wrapText="1"/>
      <protection locked="0"/>
    </xf>
    <xf numFmtId="179" fontId="56" fillId="8" borderId="1" xfId="1" applyNumberFormat="1" applyFont="1" applyFill="1" applyBorder="1" applyAlignment="1" applyProtection="1">
      <alignment horizontal="center"/>
      <protection locked="0"/>
    </xf>
    <xf numFmtId="0" fontId="50" fillId="8" borderId="1" xfId="0" applyFont="1" applyFill="1" applyBorder="1" applyAlignment="1" applyProtection="1">
      <alignment horizontal="center" vertical="center"/>
    </xf>
    <xf numFmtId="0" fontId="56" fillId="8" borderId="49"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82" fillId="0" borderId="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2" fillId="0" borderId="1" xfId="0" applyFont="1" applyFill="1" applyBorder="1" applyAlignment="1" applyProtection="1">
      <alignment horizontal="center" vertical="center"/>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24"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1220</v>
      </c>
      <c r="B1" s="1581" t="s">
        <v>1299</v>
      </c>
    </row>
    <row r="2" spans="1:2" s="1586" customFormat="1" ht="15" thickTop="1">
      <c r="A2" s="1584" t="s">
        <v>1221</v>
      </c>
      <c r="B2" s="1585" t="str">
        <f>'预评函-封皮'!B37:I37</f>
        <v>北京市门头沟区永定镇MC00-0017-0620地块出让国有建设用地使用权及在建建筑物房地产抵押价值预评估</v>
      </c>
    </row>
    <row r="3" spans="1:2" s="1589" customFormat="1">
      <c r="A3" s="1587" t="s">
        <v>1222</v>
      </c>
      <c r="B3" s="1588" t="str">
        <f>'预评函-封皮'!B40</f>
        <v>北京绿城中交房地产开发有限公司</v>
      </c>
    </row>
    <row r="4" spans="1:2" s="1589" customFormat="1">
      <c r="A4" s="1587" t="s">
        <v>1223</v>
      </c>
      <c r="B4" s="1588" t="str">
        <f ca="1">'预评函-封皮'!B46</f>
        <v>欧红伟（注册号：1120000080)、崔锴（注册号：1120100036)</v>
      </c>
    </row>
    <row r="5" spans="1:2" s="1583" customFormat="1" ht="15" thickBot="1">
      <c r="A5" s="1590" t="s">
        <v>1224</v>
      </c>
      <c r="B5" s="1591" t="str">
        <f>'预评函-封皮'!B49</f>
        <v>康正预评字号</v>
      </c>
    </row>
    <row r="6" spans="1:2" s="1586" customFormat="1" ht="15" thickTop="1">
      <c r="A6" s="1584" t="s">
        <v>1225</v>
      </c>
      <c r="B6" s="1585" t="str">
        <f>'预评函-1'!A4</f>
        <v>受贵公司委托，我公司对北京市门头沟区永定镇MC00-0017-0620地块出让国有建设用地使用权及在建建筑物房地产抵押价值进行了预评估。</v>
      </c>
    </row>
    <row r="7" spans="1:2" s="1589" customFormat="1">
      <c r="A7" s="1587" t="s">
        <v>1265</v>
      </c>
      <c r="B7" s="1588" t="str">
        <f>'预评函-1'!A7</f>
        <v>估价对象为北京市门头沟区永定镇MC00-0017-0620地块出让国有建设用地使用权及在建建筑物房地产，为北京绿城中交房地产开发有限公司所有。根据《国有土地使用证》[]，估价对象（分摊）出让国有建设用地使用权面积为35880.09平方米，建筑面积为136408.82平方米。</v>
      </c>
    </row>
    <row r="8" spans="1:2" s="1589" customFormat="1">
      <c r="A8" s="1587" t="s">
        <v>1266</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1267</v>
      </c>
      <c r="B9" s="1588" t="str">
        <f>'预评函-1'!A10</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35880.09平方米，规划建筑面积为136408.82平方米。</v>
      </c>
    </row>
    <row r="10" spans="1:2" s="1589" customFormat="1">
      <c r="A10" s="1587" t="s">
        <v>1268</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1226</v>
      </c>
      <c r="B11" s="1588" t="str">
        <f>'预评函-1'!A13</f>
        <v>为估价委托人在向渤海银行办理贷款手续过程中，确定房地产抵押贷款额度提供参考依据而评估房地产抵押价值。</v>
      </c>
    </row>
    <row r="12" spans="1:2" s="1589" customFormat="1">
      <c r="A12" s="1587" t="s">
        <v>1227</v>
      </c>
      <c r="B12" s="1588" t="str">
        <f>'预评函-1'!A15</f>
        <v>2018年1月26日（评估专业人员实地查勘之日）</v>
      </c>
    </row>
    <row r="13" spans="1:2" s="1589" customFormat="1">
      <c r="A13" s="1587" t="s">
        <v>1228</v>
      </c>
      <c r="B13" s="1588" t="str">
        <f>'预评函-1'!A18</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4" spans="1:2" s="1589" customFormat="1">
      <c r="A14" s="1587" t="s">
        <v>1229</v>
      </c>
      <c r="B14" s="1588"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1230</v>
      </c>
      <c r="B15" s="1588" t="str">
        <f>'预评函-1'!A20</f>
        <v>本次估价的“房地产抵押价值”是指估价对象在价值时点的“房地产价值”扣减估价师于价值时点所知悉的法定优先受偿款后的余额。</v>
      </c>
    </row>
    <row r="16" spans="1:2" s="1589" customFormat="1">
      <c r="A16" s="1587" t="s">
        <v>1231</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1232</v>
      </c>
      <c r="B17" s="1588" t="str">
        <f>'预评函-1'!A22</f>
        <v/>
      </c>
    </row>
    <row r="18" spans="1:2" s="1583" customFormat="1" ht="15" thickBot="1">
      <c r="A18" s="1590" t="s">
        <v>1233</v>
      </c>
      <c r="B18" s="1591" t="str">
        <f>'预评函-1'!A24</f>
        <v>本次评估采用的主估价方法为成本法和假设开发法。</v>
      </c>
    </row>
    <row r="19" spans="1:2" s="1586" customFormat="1" ht="15" thickTop="1">
      <c r="A19" s="1584" t="s">
        <v>1234</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1235</v>
      </c>
      <c r="B20" s="1588">
        <f ca="1">'预评函-2'!D5</f>
        <v>523022</v>
      </c>
    </row>
    <row r="21" spans="1:2" s="1589" customFormat="1">
      <c r="A21" s="1587" t="s">
        <v>1236</v>
      </c>
      <c r="B21" s="1588">
        <f ca="1">'预评函-2'!D7</f>
        <v>38342</v>
      </c>
    </row>
    <row r="22" spans="1:2" s="1589" customFormat="1">
      <c r="A22" s="1587" t="s">
        <v>1237</v>
      </c>
      <c r="B22" s="1588" t="str">
        <f ca="1">'预评函-2'!D6</f>
        <v>伍拾贰亿叁仟零贰拾贰万元整</v>
      </c>
    </row>
    <row r="23" spans="1:2" s="1589" customFormat="1">
      <c r="A23" s="1587" t="s">
        <v>1288</v>
      </c>
      <c r="B23" s="1588" t="str">
        <f>'预评函-2'!B8</f>
        <v>2.估价师知悉的法定优先受偿款</v>
      </c>
    </row>
    <row r="24" spans="1:2" s="1589" customFormat="1">
      <c r="A24" s="1587" t="s">
        <v>1294</v>
      </c>
      <c r="B24" s="1588">
        <f>'预评函-2'!D8</f>
        <v>0</v>
      </c>
    </row>
    <row r="25" spans="1:2" s="1589" customFormat="1">
      <c r="A25" s="1587" t="s">
        <v>1238</v>
      </c>
      <c r="B25" s="1588" t="str">
        <f>'预评函-2'!D9</f>
        <v>零元整</v>
      </c>
    </row>
    <row r="26" spans="1:2" s="1589" customFormat="1">
      <c r="A26" s="1587" t="s">
        <v>1239</v>
      </c>
      <c r="B26" s="1588">
        <f>'预评函-2'!D10</f>
        <v>0</v>
      </c>
    </row>
    <row r="27" spans="1:2" s="1589" customFormat="1">
      <c r="A27" s="1587" t="s">
        <v>1240</v>
      </c>
      <c r="B27" s="1588">
        <f>'预评函-2'!D11</f>
        <v>0</v>
      </c>
    </row>
    <row r="28" spans="1:2" s="1589" customFormat="1">
      <c r="A28" s="1587" t="s">
        <v>1241</v>
      </c>
      <c r="B28" s="1588">
        <f>'预评函-2'!D12</f>
        <v>0</v>
      </c>
    </row>
    <row r="29" spans="1:2" s="1589" customFormat="1">
      <c r="A29" s="1587" t="s">
        <v>1292</v>
      </c>
      <c r="B29" s="1588" t="str">
        <f>'预评函-2'!B13</f>
        <v>3.房地产抵押价值</v>
      </c>
    </row>
    <row r="30" spans="1:2" s="1589" customFormat="1">
      <c r="A30" s="1587" t="s">
        <v>1293</v>
      </c>
      <c r="B30" s="1588">
        <f ca="1">'预评函-2'!D13</f>
        <v>523022</v>
      </c>
    </row>
    <row r="31" spans="1:2" s="1589" customFormat="1">
      <c r="A31" s="1587" t="s">
        <v>1275</v>
      </c>
      <c r="B31" s="1588">
        <f ca="1">'预评函-2'!D15</f>
        <v>38342</v>
      </c>
    </row>
    <row r="32" spans="1:2" s="1589" customFormat="1">
      <c r="A32" s="1587" t="s">
        <v>1242</v>
      </c>
      <c r="B32" s="1588" t="str">
        <f ca="1">'预评函-2'!D14</f>
        <v>伍拾贰亿叁仟零贰拾贰万元整</v>
      </c>
    </row>
    <row r="33" spans="1:2" s="1589" customFormat="1">
      <c r="A33" s="1587" t="s">
        <v>1277</v>
      </c>
      <c r="B33" s="1588" t="str">
        <f>'预评函-2'!B16</f>
        <v>——</v>
      </c>
    </row>
    <row r="34" spans="1:2" s="1589" customFormat="1">
      <c r="A34" s="1587" t="s">
        <v>1295</v>
      </c>
      <c r="B34" s="1588" t="str">
        <f>'预评函-2'!D16</f>
        <v>——</v>
      </c>
    </row>
    <row r="35" spans="1:2" s="1589" customFormat="1">
      <c r="A35" s="1587" t="s">
        <v>1276</v>
      </c>
      <c r="B35" s="1588" t="str">
        <f>'预评函-2'!D18</f>
        <v>——</v>
      </c>
    </row>
    <row r="36" spans="1:2" s="1589" customFormat="1">
      <c r="A36" s="1587" t="s">
        <v>1243</v>
      </c>
      <c r="B36" s="1588" t="e">
        <f>'预评函-2'!D17</f>
        <v>#VALUE!</v>
      </c>
    </row>
    <row r="37" spans="1:2" s="1589" customFormat="1">
      <c r="A37" s="1587" t="s">
        <v>1278</v>
      </c>
      <c r="B37" s="1588" t="str">
        <f>'预评函-2'!B19</f>
        <v>——</v>
      </c>
    </row>
    <row r="38" spans="1:2" s="1589" customFormat="1">
      <c r="A38" s="1587" t="s">
        <v>1296</v>
      </c>
      <c r="B38" s="1588" t="str">
        <f>'预评函-2'!D19</f>
        <v>——</v>
      </c>
    </row>
    <row r="39" spans="1:2" s="1589" customFormat="1">
      <c r="A39" s="1587" t="s">
        <v>1244</v>
      </c>
      <c r="B39" s="1588" t="str">
        <f>'预评函-2'!D21</f>
        <v>——</v>
      </c>
    </row>
    <row r="40" spans="1:2" s="1589" customFormat="1">
      <c r="A40" s="1587" t="s">
        <v>1245</v>
      </c>
      <c r="B40" s="1588" t="e">
        <f>'预评函-2'!D20</f>
        <v>#VALUE!</v>
      </c>
    </row>
    <row r="41" spans="1:2" s="1589" customFormat="1">
      <c r="A41" s="1587" t="s">
        <v>1291</v>
      </c>
      <c r="B41" s="1588" t="str">
        <f>'预评函-3'!A4</f>
        <v>北京市门头沟区永定镇MC00-0017-0620地块出让国有建设用地使用权及在建建筑物房地产</v>
      </c>
    </row>
    <row r="42" spans="1:2" s="1589" customFormat="1">
      <c r="A42" s="1587" t="s">
        <v>1289</v>
      </c>
      <c r="B42" s="1588" t="str">
        <f>'预评函-3'!B2</f>
        <v>建筑面积</v>
      </c>
    </row>
    <row r="43" spans="1:2" s="1589" customFormat="1">
      <c r="A43" s="1587" t="s">
        <v>1290</v>
      </c>
      <c r="B43" s="1588">
        <f>'预评函-3'!B4</f>
        <v>136408.82</v>
      </c>
    </row>
    <row r="44" spans="1:2" s="1589" customFormat="1">
      <c r="A44" s="1587" t="s">
        <v>1274</v>
      </c>
      <c r="B44" s="1588" t="str">
        <f>'预评函-3'!C2</f>
        <v>(分摊)土地面积</v>
      </c>
    </row>
    <row r="45" spans="1:2" s="1589" customFormat="1">
      <c r="A45" s="1587" t="s">
        <v>1246</v>
      </c>
      <c r="B45" s="1588">
        <f>'预评函-3'!C4</f>
        <v>35880.089999999997</v>
      </c>
    </row>
    <row r="46" spans="1:2" s="1589" customFormat="1">
      <c r="A46" s="1587" t="s">
        <v>1272</v>
      </c>
      <c r="B46" s="1588" t="str">
        <f>'预评函-3'!D2</f>
        <v>出让国有建设用地使用权价值</v>
      </c>
    </row>
    <row r="47" spans="1:2" s="1589" customFormat="1">
      <c r="A47" s="1587" t="s">
        <v>1247</v>
      </c>
      <c r="B47" s="1588">
        <f ca="1">'预评函-3'!D4</f>
        <v>489026</v>
      </c>
    </row>
    <row r="48" spans="1:2" s="1589" customFormat="1">
      <c r="A48" s="1587" t="s">
        <v>1248</v>
      </c>
      <c r="B48" s="1588">
        <f ca="1">'预评函-3'!E4</f>
        <v>35850</v>
      </c>
    </row>
    <row r="49" spans="1:2" s="1589" customFormat="1">
      <c r="A49" s="1587" t="s">
        <v>1249</v>
      </c>
      <c r="B49" s="1588" t="str">
        <f ca="1">'预评函-3'!D5</f>
        <v>肆拾捌亿玖仟零贰拾陆万元整</v>
      </c>
    </row>
    <row r="50" spans="1:2" s="1589" customFormat="1">
      <c r="A50" s="1587" t="s">
        <v>1273</v>
      </c>
      <c r="B50" s="1588" t="str">
        <f>'预评函-3'!F2</f>
        <v>在建建筑物价值</v>
      </c>
    </row>
    <row r="51" spans="1:2" s="1589" customFormat="1">
      <c r="A51" s="1587" t="s">
        <v>1250</v>
      </c>
      <c r="B51" s="1588">
        <f ca="1">'预评函-3'!F4</f>
        <v>33996</v>
      </c>
    </row>
    <row r="52" spans="1:2" s="1589" customFormat="1">
      <c r="A52" s="1587" t="s">
        <v>1251</v>
      </c>
      <c r="B52" s="1588">
        <f ca="1">'预评函-3'!G4</f>
        <v>2492</v>
      </c>
    </row>
    <row r="53" spans="1:2" s="1589" customFormat="1">
      <c r="A53" s="1587" t="s">
        <v>1279</v>
      </c>
      <c r="B53" s="1588" t="str">
        <f ca="1">'预评函-3'!F5</f>
        <v>叁亿叁仟玖佰玖拾陆万元整</v>
      </c>
    </row>
    <row r="54" spans="1:2" s="1589" customFormat="1">
      <c r="A54" s="1587" t="s">
        <v>1297</v>
      </c>
      <c r="B54" s="1588" t="str">
        <f>'预评函-3'!A8</f>
        <v>房地产抵押价值</v>
      </c>
    </row>
    <row r="55" spans="1:2" s="1589" customFormat="1">
      <c r="A55" s="1587" t="s">
        <v>1280</v>
      </c>
      <c r="B55" s="1588" t="str">
        <f>'预评函-3'!A10</f>
        <v/>
      </c>
    </row>
    <row r="56" spans="1:2" s="1589" customFormat="1">
      <c r="A56" s="1587" t="s">
        <v>1281</v>
      </c>
      <c r="B56" s="1588" t="str">
        <f>'预评函-3'!A12</f>
        <v/>
      </c>
    </row>
    <row r="57" spans="1:2" s="1583" customFormat="1" ht="15" thickBot="1">
      <c r="A57" s="1590" t="s">
        <v>1298</v>
      </c>
      <c r="B57" s="1591" t="str">
        <f>'预评函-3'!A6</f>
        <v>估价师知悉的法定优先受偿款</v>
      </c>
    </row>
    <row r="58" spans="1:2" s="1586" customFormat="1" ht="15" thickTop="1">
      <c r="A58" s="1584" t="s">
        <v>1252</v>
      </c>
      <c r="B58" s="1585" t="str">
        <f>'预评函-4'!A12</f>
        <v>2.本《评估意见函》仅供金融机构进行内部审核使用，不做其他目的之用。</v>
      </c>
    </row>
    <row r="59" spans="1:2" s="1589" customFormat="1">
      <c r="A59" s="1587" t="s">
        <v>1253</v>
      </c>
      <c r="B59" s="1588" t="str">
        <f>'预评函-4'!A13</f>
        <v>3.抵押双方在办理抵押登记手续时，应使用本公司出具的正式《房地产评估报告》，特提醒报告使用者注意。</v>
      </c>
    </row>
    <row r="60" spans="1:2" s="1589" customFormat="1">
      <c r="A60" s="1587" t="s">
        <v>1254</v>
      </c>
      <c r="B60" s="1588" t="str">
        <f>'预评函-4'!A14</f>
        <v>4.本次评估估价师所知悉的法定优先受偿款情况说明如下：</v>
      </c>
    </row>
    <row r="61" spans="1:2" s="1589" customFormat="1">
      <c r="A61" s="1587" t="s">
        <v>1255</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1256</v>
      </c>
      <c r="B62" s="1588" t="str">
        <f>'预评函-4'!A16</f>
        <v>（2）根据《工程款支付情况说明》，截至价值时点，估价对象不存在应付未付工程款项。（只要没有施工方盖章的，均“设定”进行表述）</v>
      </c>
    </row>
    <row r="63" spans="1:2" s="1589" customFormat="1">
      <c r="A63" s="1587" t="s">
        <v>1257</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1269</v>
      </c>
      <c r="B64" s="1588" t="str">
        <f>'预评函-4'!A18</f>
        <v>故，本次评估不存在估价师知悉的法定优先受偿款</v>
      </c>
    </row>
    <row r="65" spans="1:2" s="1589" customFormat="1">
      <c r="A65" s="1587" t="s">
        <v>1258</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1259</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1270</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1271</v>
      </c>
      <c r="B68" s="1588" t="str">
        <f>'预评函-4'!A22</f>
        <v>8.其他需特殊说明事项：无（注意调整序号）</v>
      </c>
    </row>
    <row r="69" spans="1:2" s="1583" customFormat="1" ht="15" thickBot="1">
      <c r="A69" s="1590" t="s">
        <v>1260</v>
      </c>
      <c r="B69" s="1592">
        <f>'预评函-4'!C31</f>
        <v>42551</v>
      </c>
    </row>
    <row r="70" spans="1:2" ht="15" thickTop="1">
      <c r="A70" s="1593" t="s">
        <v>1261</v>
      </c>
      <c r="B70" s="1594" t="str">
        <f>'预评函-4'!A4</f>
        <v>欧红伟</v>
      </c>
    </row>
    <row r="71" spans="1:2">
      <c r="A71" s="1587" t="s">
        <v>1262</v>
      </c>
      <c r="B71" s="1588">
        <f ca="1">'预评函-4'!B4</f>
        <v>1120000080</v>
      </c>
    </row>
    <row r="72" spans="1:2">
      <c r="A72" s="1587" t="s">
        <v>1263</v>
      </c>
      <c r="B72" s="1596" t="str">
        <f>'预评函-4'!A5</f>
        <v>崔锴</v>
      </c>
    </row>
    <row r="73" spans="1:2" s="1583" customFormat="1" ht="15" thickBot="1">
      <c r="A73" s="1590" t="s">
        <v>1264</v>
      </c>
      <c r="B73" s="1591">
        <f ca="1">'预评函-4'!B5</f>
        <v>1120100036</v>
      </c>
    </row>
    <row r="74" spans="1:2" ht="15" thickTop="1">
      <c r="A74" s="1580" t="s">
        <v>1300</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1692</v>
      </c>
      <c r="C1" s="2005" t="s">
        <v>759</v>
      </c>
      <c r="D1" s="2006" t="s">
        <v>1693</v>
      </c>
      <c r="E1" s="2006" t="s">
        <v>1694</v>
      </c>
      <c r="F1" s="2006" t="s">
        <v>1695</v>
      </c>
      <c r="G1" s="2006" t="s">
        <v>1696</v>
      </c>
      <c r="H1" s="2006" t="s">
        <v>1697</v>
      </c>
      <c r="I1" s="2006" t="s">
        <v>1698</v>
      </c>
      <c r="J1" s="2006" t="s">
        <v>1699</v>
      </c>
      <c r="K1" s="2006" t="s">
        <v>1700</v>
      </c>
      <c r="L1" s="2006" t="s">
        <v>1701</v>
      </c>
      <c r="M1" s="2006" t="s">
        <v>1702</v>
      </c>
      <c r="N1" s="2006" t="s">
        <v>1703</v>
      </c>
      <c r="O1" s="2006" t="s">
        <v>1704</v>
      </c>
      <c r="P1" s="2007" t="s">
        <v>753</v>
      </c>
      <c r="Q1" s="2007" t="s">
        <v>1144</v>
      </c>
      <c r="R1" s="2006" t="s">
        <v>1138</v>
      </c>
      <c r="S1" s="2006" t="s">
        <v>1705</v>
      </c>
      <c r="T1" s="2008" t="s">
        <v>1706</v>
      </c>
      <c r="U1" s="2006" t="s">
        <v>1707</v>
      </c>
      <c r="V1" s="2006" t="s">
        <v>1708</v>
      </c>
      <c r="W1" s="2006" t="s">
        <v>755</v>
      </c>
    </row>
    <row r="2" spans="1:23">
      <c r="A2" s="2010" t="s">
        <v>22</v>
      </c>
      <c r="B2" s="2010" t="s">
        <v>1709</v>
      </c>
      <c r="C2" s="2011" t="s">
        <v>760</v>
      </c>
      <c r="D2" s="2012" t="s">
        <v>1710</v>
      </c>
      <c r="E2" s="2012" t="s">
        <v>1711</v>
      </c>
      <c r="F2" s="2012" t="s">
        <v>1712</v>
      </c>
      <c r="G2" s="2012">
        <v>40</v>
      </c>
      <c r="H2" s="2012" t="s">
        <v>1712</v>
      </c>
      <c r="I2" s="2012" t="s">
        <v>1713</v>
      </c>
      <c r="J2" s="2012" t="s">
        <v>1714</v>
      </c>
      <c r="K2" s="2012" t="s">
        <v>1715</v>
      </c>
      <c r="L2" s="2012" t="s">
        <v>1715</v>
      </c>
      <c r="M2" s="2012" t="s">
        <v>1715</v>
      </c>
      <c r="N2" s="2012" t="s">
        <v>1715</v>
      </c>
      <c r="O2" s="2012" t="s">
        <v>1715</v>
      </c>
      <c r="P2" s="2012" t="s">
        <v>1715</v>
      </c>
      <c r="Q2" s="2012" t="s">
        <v>1715</v>
      </c>
      <c r="R2" s="2012" t="s">
        <v>1140</v>
      </c>
      <c r="S2" s="2012" t="s">
        <v>1715</v>
      </c>
      <c r="T2" s="2012" t="s">
        <v>1716</v>
      </c>
      <c r="U2" s="2012" t="s">
        <v>1715</v>
      </c>
      <c r="V2" s="2012" t="s">
        <v>1717</v>
      </c>
      <c r="W2" s="2012" t="s">
        <v>1715</v>
      </c>
    </row>
    <row r="3" spans="1:23">
      <c r="A3" s="2010" t="s">
        <v>1718</v>
      </c>
      <c r="B3" s="2013" t="s">
        <v>1145</v>
      </c>
      <c r="C3" s="2014" t="s">
        <v>761</v>
      </c>
      <c r="D3" s="2012" t="s">
        <v>1719</v>
      </c>
      <c r="E3" s="2012" t="s">
        <v>16</v>
      </c>
      <c r="F3" s="2012" t="s">
        <v>1720</v>
      </c>
      <c r="G3" s="2012">
        <v>50</v>
      </c>
      <c r="H3" s="2012" t="s">
        <v>1720</v>
      </c>
      <c r="I3" s="2012" t="s">
        <v>1721</v>
      </c>
      <c r="J3" s="2012" t="s">
        <v>1722</v>
      </c>
      <c r="K3" s="2012" t="s">
        <v>1723</v>
      </c>
      <c r="L3" s="2012" t="s">
        <v>1723</v>
      </c>
      <c r="M3" s="2012" t="s">
        <v>1723</v>
      </c>
      <c r="N3" s="2012" t="s">
        <v>1723</v>
      </c>
      <c r="O3" s="2012" t="s">
        <v>1723</v>
      </c>
      <c r="P3" s="2012" t="s">
        <v>1723</v>
      </c>
      <c r="Q3" s="2012" t="s">
        <v>1723</v>
      </c>
      <c r="R3" s="2012" t="s">
        <v>1139</v>
      </c>
      <c r="S3" s="2012" t="s">
        <v>1723</v>
      </c>
      <c r="T3" s="2012" t="s">
        <v>1724</v>
      </c>
      <c r="U3" s="2012" t="s">
        <v>1723</v>
      </c>
      <c r="V3" s="2012" t="s">
        <v>1725</v>
      </c>
      <c r="W3" s="2012" t="s">
        <v>1723</v>
      </c>
    </row>
    <row r="4" spans="1:23">
      <c r="A4" s="2010" t="s">
        <v>1726</v>
      </c>
      <c r="B4" s="2010" t="s">
        <v>1727</v>
      </c>
      <c r="C4" s="2011" t="s">
        <v>762</v>
      </c>
      <c r="D4" s="2012" t="s">
        <v>868</v>
      </c>
      <c r="E4" s="2012" t="s">
        <v>1728</v>
      </c>
      <c r="F4" s="2012" t="s">
        <v>1729</v>
      </c>
      <c r="G4" s="2012">
        <v>70</v>
      </c>
      <c r="H4" s="2012" t="s">
        <v>1729</v>
      </c>
      <c r="I4" s="2012" t="s">
        <v>1730</v>
      </c>
      <c r="K4" s="2012" t="s">
        <v>1731</v>
      </c>
      <c r="L4" s="2012" t="s">
        <v>1731</v>
      </c>
      <c r="M4" s="2012" t="s">
        <v>1731</v>
      </c>
      <c r="N4" s="2012" t="s">
        <v>1731</v>
      </c>
      <c r="O4" s="2012" t="s">
        <v>1731</v>
      </c>
      <c r="P4" s="2012" t="s">
        <v>1731</v>
      </c>
      <c r="Q4" s="2012" t="s">
        <v>1731</v>
      </c>
      <c r="R4" s="2012" t="s">
        <v>1141</v>
      </c>
      <c r="S4" s="2012" t="s">
        <v>1731</v>
      </c>
      <c r="T4" s="2012" t="s">
        <v>1732</v>
      </c>
      <c r="U4" s="2012" t="s">
        <v>1731</v>
      </c>
      <c r="W4" s="2012" t="s">
        <v>1731</v>
      </c>
    </row>
    <row r="5" spans="1:23">
      <c r="A5" s="2010" t="s">
        <v>1733</v>
      </c>
      <c r="B5" s="2013" t="s">
        <v>3128</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ht="14.25">
      <c r="A17" s="2010" t="s">
        <v>1767</v>
      </c>
      <c r="B17" s="2959" t="s">
        <v>3253</v>
      </c>
      <c r="C17" s="2011"/>
    </row>
    <row r="18" spans="1:3" ht="14.25">
      <c r="A18" s="2010" t="s">
        <v>1768</v>
      </c>
      <c r="B18" s="2959" t="s">
        <v>3254</v>
      </c>
      <c r="C18" s="2011"/>
    </row>
    <row r="19" spans="1:3" ht="14.25">
      <c r="A19" s="2010" t="s">
        <v>1769</v>
      </c>
      <c r="B19" s="2959" t="s">
        <v>3255</v>
      </c>
      <c r="C19" s="2011"/>
    </row>
    <row r="20" spans="1:3">
      <c r="A20" s="2010" t="s">
        <v>1770</v>
      </c>
      <c r="B20" s="2010" t="s">
        <v>757</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永定镇MC00-0017-0620地块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18" t="s">
        <v>1285</v>
      </c>
    </row>
    <row r="52" spans="1:4">
      <c r="A52" s="2017" t="s">
        <v>858</v>
      </c>
      <c r="B52" s="2017" t="s">
        <v>859</v>
      </c>
      <c r="C52" s="2015" t="s">
        <v>860</v>
      </c>
      <c r="D52" s="2015" t="s">
        <v>861</v>
      </c>
    </row>
    <row r="53" spans="1:4">
      <c r="A53" s="302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18" t="s">
        <v>864</v>
      </c>
      <c r="C54" s="2015" t="s">
        <v>1282</v>
      </c>
    </row>
    <row r="55" spans="1:4">
      <c r="A55" s="3020"/>
      <c r="B55" s="2018" t="s">
        <v>865</v>
      </c>
      <c r="C55" s="2015" t="s">
        <v>1283</v>
      </c>
    </row>
    <row r="56" spans="1:4">
      <c r="A56" s="3020"/>
      <c r="B56" s="2018" t="s">
        <v>866</v>
      </c>
      <c r="C56" s="2015" t="s">
        <v>1287</v>
      </c>
    </row>
    <row r="57" spans="1:4">
      <c r="A57" s="3020"/>
      <c r="B57" s="2018" t="s">
        <v>867</v>
      </c>
      <c r="C57" s="2015" t="s">
        <v>1284</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1777</v>
      </c>
      <c r="B1" s="3021" t="str">
        <f>IF(B10="北京市","北京市",C10)&amp;F10&amp;IF(结果表!G1="在建","出让国有建设用地使用权及在建建筑物",IF(结果表!G1="土地","出让国有建设用地使用权",))&amp;B9&amp;"预评估"</f>
        <v>北京市门头沟区永定镇MC00-0017-0620地块出让国有建设用地使用权及在建建筑物房地产抵押价值预评估</v>
      </c>
      <c r="C1" s="3022"/>
      <c r="D1" s="3022"/>
      <c r="E1" s="3022"/>
      <c r="F1" s="3022"/>
      <c r="G1" s="3022"/>
      <c r="H1" s="3022"/>
      <c r="I1" s="302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北京市门头沟区永定镇MC00-0017-0620地块出让国有建设用地使用权及在建建筑物房地产抵押价值</v>
      </c>
    </row>
    <row r="2" spans="1:19" ht="18" customHeight="1">
      <c r="A2" s="2022" t="s">
        <v>1778</v>
      </c>
      <c r="B2" s="1034"/>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北京市门头沟区永定镇MC00-0017-0620地块出让国有建设用地使用权及在建建筑物房地产</v>
      </c>
    </row>
    <row r="3" spans="1:19" ht="18" customHeight="1">
      <c r="A3" s="2031" t="s">
        <v>1779</v>
      </c>
      <c r="B3" s="2032">
        <v>43126</v>
      </c>
      <c r="C3" s="2033" t="s">
        <v>1780</v>
      </c>
      <c r="D3" s="2032">
        <f>B3</f>
        <v>43126</v>
      </c>
      <c r="E3" s="2022"/>
      <c r="F3" s="2022"/>
      <c r="G3" s="2022"/>
      <c r="H3" s="2022"/>
      <c r="I3" s="2022"/>
      <c r="J3" s="2022"/>
      <c r="K3" s="2023"/>
      <c r="L3" s="2024"/>
      <c r="M3" s="2024"/>
      <c r="N3" s="2025"/>
      <c r="O3" s="2026"/>
      <c r="P3" s="2025"/>
      <c r="Q3" s="2025"/>
      <c r="R3" s="2025"/>
      <c r="S3" s="2027"/>
    </row>
    <row r="4" spans="1:19" ht="18" customHeight="1" thickBot="1">
      <c r="A4" s="2034" t="s">
        <v>1781</v>
      </c>
      <c r="B4" s="2035" t="s">
        <v>3045</v>
      </c>
      <c r="C4" s="1032">
        <f ca="1">SUMIF(注册房地产估价师,B4,估价师及机构信息!B3:B24)</f>
        <v>1120000080</v>
      </c>
      <c r="D4" s="2035" t="s">
        <v>3046</v>
      </c>
      <c r="E4" s="1033">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欧红伟（注册号：1120000080)、崔锴（注册号：1120100036)</v>
      </c>
      <c r="L4" s="2024"/>
      <c r="M4" s="2024"/>
      <c r="N4" s="2025"/>
      <c r="O4" s="2026"/>
      <c r="P4" s="2025"/>
      <c r="Q4" s="2025"/>
      <c r="R4" s="2025"/>
      <c r="S4" s="2027"/>
    </row>
    <row r="5" spans="1:19" ht="18" customHeight="1" thickTop="1">
      <c r="A5" s="2040" t="s">
        <v>1782</v>
      </c>
      <c r="B5" s="2918" t="s">
        <v>3043</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1783</v>
      </c>
      <c r="B6" s="2919" t="s">
        <v>3044</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1784</v>
      </c>
      <c r="B7" s="2047"/>
      <c r="C7" s="2044"/>
      <c r="D7" s="2045"/>
      <c r="E7" s="2030"/>
      <c r="F7" s="2038"/>
      <c r="G7" s="2038"/>
      <c r="H7" s="2038"/>
      <c r="I7" s="2038"/>
      <c r="J7" s="2038"/>
      <c r="K7" s="2048"/>
      <c r="L7" s="2024"/>
      <c r="M7" s="2024"/>
      <c r="N7" s="2025"/>
      <c r="O7" s="2026"/>
      <c r="P7" s="2025"/>
      <c r="Q7" s="2025"/>
      <c r="R7" s="2025"/>
    </row>
    <row r="8" spans="1:19" ht="18" customHeight="1">
      <c r="A8" s="2043" t="s">
        <v>1785</v>
      </c>
      <c r="B8" s="2049" t="s">
        <v>3047</v>
      </c>
      <c r="C8" s="2050"/>
      <c r="D8" s="3024" t="s">
        <v>1786</v>
      </c>
      <c r="E8" s="2051" t="s">
        <v>3048</v>
      </c>
      <c r="F8" s="2052"/>
      <c r="G8" s="2022"/>
      <c r="H8" s="2022"/>
      <c r="I8" s="2022"/>
      <c r="J8" s="2038"/>
      <c r="K8" s="2039"/>
      <c r="L8" s="2024"/>
      <c r="M8" s="2024"/>
      <c r="N8" s="2025"/>
      <c r="O8" s="2026"/>
      <c r="P8" s="2025"/>
      <c r="Q8" s="2025"/>
      <c r="R8" s="2025"/>
    </row>
    <row r="9" spans="1:19" ht="18" customHeight="1" thickBot="1">
      <c r="A9" s="2036" t="s">
        <v>1787</v>
      </c>
      <c r="B9" s="2053" t="s">
        <v>3048</v>
      </c>
      <c r="C9" s="2054"/>
      <c r="D9" s="3025"/>
      <c r="E9" s="2053" t="s">
        <v>70</v>
      </c>
      <c r="F9" s="2055"/>
      <c r="G9" s="2056"/>
      <c r="H9" s="2056"/>
      <c r="I9" s="2056"/>
      <c r="J9" s="2038"/>
      <c r="K9" s="2048"/>
      <c r="L9" s="2024"/>
      <c r="M9" s="2024"/>
      <c r="N9" s="2025"/>
      <c r="O9" s="2026"/>
      <c r="P9" s="2025"/>
      <c r="Q9" s="2025"/>
      <c r="R9" s="2025"/>
    </row>
    <row r="10" spans="1:19" ht="18" customHeight="1" thickTop="1">
      <c r="A10" s="2057" t="s">
        <v>1788</v>
      </c>
      <c r="B10" s="2058" t="s">
        <v>3049</v>
      </c>
      <c r="C10" s="2059"/>
      <c r="D10" s="2042"/>
      <c r="E10" s="2060" t="s">
        <v>1789</v>
      </c>
      <c r="F10" s="2061" t="s">
        <v>3050</v>
      </c>
      <c r="G10" s="2062"/>
      <c r="H10" s="2063"/>
      <c r="I10" s="2042"/>
      <c r="J10" s="2038"/>
      <c r="K10" s="2048"/>
      <c r="L10" s="2024"/>
      <c r="M10" s="2024"/>
      <c r="N10" s="2025"/>
      <c r="O10" s="2026"/>
      <c r="P10" s="2025"/>
      <c r="Q10" s="2025"/>
      <c r="R10" s="2025"/>
    </row>
    <row r="11" spans="1:19" ht="18" customHeight="1">
      <c r="A11" s="2064" t="s">
        <v>1790</v>
      </c>
      <c r="B11" s="2065" t="s">
        <v>3051</v>
      </c>
      <c r="C11" s="2066" t="str">
        <f>B5</f>
        <v>北京绿城中交房地产开发有限公司</v>
      </c>
      <c r="D11" s="2067"/>
      <c r="E11" s="2038"/>
      <c r="F11" s="2038"/>
      <c r="G11" s="2038"/>
      <c r="H11" s="2038"/>
      <c r="I11" s="2038"/>
      <c r="J11" s="2038"/>
      <c r="K11" s="2048"/>
      <c r="L11" s="2024"/>
      <c r="M11" s="2024"/>
      <c r="N11" s="2025"/>
      <c r="O11" s="2026"/>
      <c r="P11" s="2025"/>
      <c r="Q11" s="2025"/>
      <c r="R11" s="2025"/>
    </row>
    <row r="12" spans="1:19" ht="18" customHeight="1">
      <c r="A12" s="2068" t="s">
        <v>1791</v>
      </c>
      <c r="B12" s="2065" t="s">
        <v>3156</v>
      </c>
      <c r="C12" s="2069" t="s">
        <v>1792</v>
      </c>
      <c r="D12" s="2070" t="s">
        <v>1793</v>
      </c>
      <c r="E12" s="2070" t="s">
        <v>1794</v>
      </c>
      <c r="F12" s="2070" t="s">
        <v>1795</v>
      </c>
      <c r="G12" s="2070" t="s">
        <v>1796</v>
      </c>
      <c r="H12" s="2070" t="s">
        <v>1797</v>
      </c>
      <c r="I12" s="2070" t="s">
        <v>1798</v>
      </c>
      <c r="J12" s="2038"/>
      <c r="K12" s="2048"/>
      <c r="L12" s="2024"/>
      <c r="M12" s="2024"/>
      <c r="N12" s="2025"/>
      <c r="O12" s="2026"/>
      <c r="P12" s="2025"/>
      <c r="Q12" s="2025"/>
      <c r="R12" s="2025"/>
    </row>
    <row r="13" spans="1:19" ht="18" customHeight="1">
      <c r="A13" s="2071"/>
      <c r="B13" s="2072"/>
      <c r="C13" s="2073" t="s">
        <v>1799</v>
      </c>
      <c r="D13" s="1042">
        <v>67935</v>
      </c>
      <c r="E13" s="1042">
        <v>56977</v>
      </c>
      <c r="F13" s="1042">
        <v>60630</v>
      </c>
      <c r="G13" s="1042">
        <v>60630</v>
      </c>
      <c r="H13" s="1042">
        <v>60630</v>
      </c>
      <c r="I13" s="1042"/>
      <c r="J13" s="2038"/>
      <c r="K13" s="2048"/>
      <c r="L13" s="2024"/>
      <c r="M13" s="2024"/>
      <c r="N13" s="2025"/>
      <c r="O13" s="2026"/>
      <c r="P13" s="2025"/>
      <c r="Q13" s="2025"/>
      <c r="R13" s="2025"/>
    </row>
    <row r="14" spans="1:19" ht="18" customHeight="1">
      <c r="A14" s="2071"/>
      <c r="B14" s="2072"/>
      <c r="C14" s="2073" t="s">
        <v>1800</v>
      </c>
      <c r="D14" s="1045">
        <v>70</v>
      </c>
      <c r="E14" s="1045">
        <v>40</v>
      </c>
      <c r="F14" s="1045">
        <v>50</v>
      </c>
      <c r="G14" s="1045">
        <v>50</v>
      </c>
      <c r="H14" s="1045">
        <v>50</v>
      </c>
      <c r="I14" s="1045"/>
      <c r="J14" s="2038"/>
      <c r="K14" s="2074"/>
      <c r="L14" s="2024"/>
      <c r="M14" s="2024"/>
      <c r="N14" s="2025"/>
      <c r="O14" s="2026"/>
      <c r="P14" s="2025"/>
      <c r="Q14" s="2025"/>
      <c r="R14" s="2025"/>
    </row>
    <row r="15" spans="1:19" ht="18" customHeight="1">
      <c r="A15" s="2057"/>
      <c r="B15" s="2075"/>
      <c r="C15" s="2073" t="s">
        <v>1801</v>
      </c>
      <c r="D15" s="1044">
        <f>IF(B12="出让",IF(D13="","",ROUNDDOWN(MIN((D13-$D$3)/365,D14),2)),D14)</f>
        <v>67.959999999999994</v>
      </c>
      <c r="E15" s="1044">
        <f>IF(B12="出让",IF(E13="","",ROUNDDOWN(MIN((E13-$D$3)/365,E14),2)),E14)</f>
        <v>37.94</v>
      </c>
      <c r="F15" s="1044">
        <f>IF(B12="出让",IF(F13="","",ROUNDDOWN(MIN((F13-$D$3)/365,F14),2)),F14)</f>
        <v>47.95</v>
      </c>
      <c r="G15" s="1044">
        <f>IF(B12="出让",IF(G13="","",ROUNDDOWN(MIN((G13-$D$3)/365,G14),2)),G14)</f>
        <v>47.95</v>
      </c>
      <c r="H15" s="1044">
        <f>IF(B12="出让",IF(H13="","",ROUNDDOWN(MIN((H13-$D$3)/365,H14),2)),H14)</f>
        <v>47.95</v>
      </c>
      <c r="I15" s="1044" t="str">
        <f>IF(B12="出让",IF(I13="","",ROUNDDOWN(MIN((I13-$D$3)/365,I14),2)),I14)</f>
        <v/>
      </c>
      <c r="J15" s="2038"/>
      <c r="K15" s="2076"/>
      <c r="L15" s="2077"/>
      <c r="M15" s="2077"/>
      <c r="N15" s="2078"/>
      <c r="O15" s="2077"/>
      <c r="P15" s="2078"/>
      <c r="Q15" s="2025"/>
      <c r="R15" s="2025"/>
    </row>
    <row r="16" spans="1:19" ht="30.75" customHeight="1">
      <c r="A16" s="2060" t="s">
        <v>1802</v>
      </c>
      <c r="B16" s="3031"/>
      <c r="C16" s="3032"/>
      <c r="D16" s="3033"/>
      <c r="E16" s="2079" t="s">
        <v>1803</v>
      </c>
      <c r="F16" s="3034"/>
      <c r="G16" s="3035"/>
      <c r="H16" s="3035"/>
      <c r="I16" s="3036"/>
      <c r="J16" s="2025"/>
      <c r="K16" s="2076"/>
      <c r="L16" s="2077"/>
      <c r="M16" s="2077"/>
      <c r="N16" s="2078"/>
      <c r="O16" s="2077"/>
      <c r="P16" s="2078"/>
      <c r="Q16" s="2025"/>
      <c r="R16" s="2025"/>
    </row>
    <row r="17" spans="1:22" ht="18" customHeight="1">
      <c r="A17" s="2080" t="s">
        <v>1804</v>
      </c>
      <c r="B17" s="2031" t="s">
        <v>1805</v>
      </c>
      <c r="C17" s="1049">
        <f>'数据-汇总表'!E3</f>
        <v>136408.82</v>
      </c>
      <c r="D17" s="2081" t="s">
        <v>1806</v>
      </c>
      <c r="E17" s="3037" t="s">
        <v>1807</v>
      </c>
      <c r="F17" s="3038"/>
      <c r="G17" s="3038"/>
      <c r="H17" s="3038"/>
      <c r="I17" s="3039"/>
      <c r="J17" s="2025"/>
      <c r="K17" s="2082"/>
      <c r="L17" s="2077"/>
      <c r="M17" s="2077"/>
      <c r="N17" s="2078"/>
      <c r="O17" s="2077"/>
      <c r="P17" s="2078"/>
      <c r="Q17" s="2025"/>
      <c r="R17" s="2025"/>
      <c r="S17" s="2025"/>
      <c r="T17" s="2025"/>
      <c r="U17" s="2025"/>
      <c r="V17" s="2025"/>
    </row>
    <row r="18" spans="1:22" ht="36" customHeight="1" thickBot="1">
      <c r="A18" s="2083" t="s">
        <v>1808</v>
      </c>
      <c r="B18" s="2034" t="s">
        <v>1809</v>
      </c>
      <c r="C18" s="1439">
        <f>'数据-汇总表'!D3</f>
        <v>35880.089999999997</v>
      </c>
      <c r="D18" s="2084" t="s">
        <v>1806</v>
      </c>
      <c r="E18" s="3040" t="s">
        <v>1810</v>
      </c>
      <c r="F18" s="3041"/>
      <c r="G18" s="3041"/>
      <c r="H18" s="3041"/>
      <c r="I18" s="3042"/>
      <c r="J18" s="2025"/>
      <c r="K18" s="2082"/>
      <c r="L18" s="2077"/>
      <c r="M18" s="2077"/>
      <c r="N18" s="2078"/>
      <c r="O18" s="2077"/>
      <c r="P18" s="2078"/>
      <c r="Q18" s="2025"/>
      <c r="R18" s="2025"/>
      <c r="S18" s="2025"/>
      <c r="T18" s="2025"/>
      <c r="U18" s="2025"/>
      <c r="V18" s="2025"/>
    </row>
    <row r="19" spans="1:22" ht="37.5" customHeight="1" thickTop="1" thickBot="1">
      <c r="A19" s="371" t="s">
        <v>1811</v>
      </c>
      <c r="B19" s="350" t="s">
        <v>1812</v>
      </c>
      <c r="C19" s="2085"/>
      <c r="D19" s="2086" t="s">
        <v>1813</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1814</v>
      </c>
      <c r="B20" s="3027" t="s">
        <v>1815</v>
      </c>
      <c r="C20" s="3028"/>
      <c r="D20" s="3029" t="s">
        <v>1816</v>
      </c>
      <c r="E20" s="3030"/>
      <c r="F20" s="2091" t="s">
        <v>1817</v>
      </c>
      <c r="G20" s="2038"/>
      <c r="H20" s="2038"/>
      <c r="I20" s="2038"/>
      <c r="J20" s="2038"/>
      <c r="K20" s="3026" t="s">
        <v>1818</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1819</v>
      </c>
      <c r="C21" s="2093" t="s">
        <v>1820</v>
      </c>
      <c r="D21" s="2094" t="s">
        <v>1821</v>
      </c>
      <c r="E21" s="2095" t="s">
        <v>1820</v>
      </c>
      <c r="F21" s="2096"/>
      <c r="G21" s="2038"/>
      <c r="H21" s="2038"/>
      <c r="I21" s="2038"/>
      <c r="J21" s="2038"/>
      <c r="K21" s="302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1822</v>
      </c>
      <c r="C22" s="2093" t="s">
        <v>1823</v>
      </c>
      <c r="D22" s="2022"/>
      <c r="E22" s="2022"/>
      <c r="F22" s="2098"/>
      <c r="G22" s="2038"/>
      <c r="H22" s="2038"/>
      <c r="I22" s="2038"/>
      <c r="J22" s="2038"/>
      <c r="K22" s="302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1824</v>
      </c>
      <c r="B23" s="181" t="s">
        <v>1825</v>
      </c>
      <c r="C23" s="2100"/>
      <c r="D23" s="2101" t="s">
        <v>1825</v>
      </c>
      <c r="E23" s="2102"/>
      <c r="F23" s="2098"/>
      <c r="G23" s="2038"/>
      <c r="H23" s="2038"/>
      <c r="I23" s="2038"/>
      <c r="J23" s="2038"/>
      <c r="K23" s="2103"/>
      <c r="L23" s="745"/>
      <c r="M23" s="2024"/>
      <c r="N23" s="2078"/>
      <c r="O23" s="2077"/>
      <c r="P23" s="2078"/>
      <c r="Q23" s="2025"/>
      <c r="R23" s="2025"/>
      <c r="S23" s="2025"/>
      <c r="T23" s="2025"/>
      <c r="U23" s="2025"/>
      <c r="V23" s="2025"/>
    </row>
    <row r="24" spans="1:22" ht="18" customHeight="1">
      <c r="A24" s="2104"/>
      <c r="B24" s="181" t="s">
        <v>1826</v>
      </c>
      <c r="C24" s="2105"/>
      <c r="D24" s="2099" t="s">
        <v>1826</v>
      </c>
      <c r="E24" s="2106"/>
      <c r="F24" s="2098"/>
      <c r="G24" s="2038"/>
      <c r="H24" s="2038"/>
      <c r="I24" s="2038"/>
      <c r="J24" s="2038"/>
      <c r="K24" s="2103"/>
      <c r="L24" s="745"/>
      <c r="M24" s="2024"/>
      <c r="N24" s="2078"/>
      <c r="O24" s="2077"/>
      <c r="P24" s="2078"/>
      <c r="Q24" s="2025"/>
      <c r="R24" s="2025"/>
      <c r="S24" s="2025"/>
      <c r="T24" s="2025"/>
      <c r="U24" s="2025"/>
      <c r="V24" s="2025"/>
    </row>
    <row r="25" spans="1:22" ht="18" customHeight="1">
      <c r="A25" s="2104"/>
      <c r="B25" s="181" t="s">
        <v>1827</v>
      </c>
      <c r="C25" s="2105"/>
      <c r="D25" s="2099" t="s">
        <v>1827</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1828</v>
      </c>
      <c r="C26" s="2109"/>
      <c r="D26" s="2110" t="s">
        <v>1829</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44" t="s">
        <v>1830</v>
      </c>
      <c r="B27" s="2057" t="s">
        <v>1831</v>
      </c>
      <c r="C27" s="2113" t="s">
        <v>3052</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44"/>
      <c r="B28" s="2031" t="s">
        <v>1832</v>
      </c>
      <c r="C28" s="2115" t="s">
        <v>3053</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44"/>
      <c r="B29" s="2031" t="s">
        <v>1833</v>
      </c>
      <c r="C29" s="2118" t="s">
        <v>3054</v>
      </c>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45"/>
      <c r="B30" s="2031" t="s">
        <v>1834</v>
      </c>
      <c r="C30" s="3046" t="s">
        <v>3055</v>
      </c>
      <c r="D30" s="3047"/>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48" t="s">
        <v>1835</v>
      </c>
      <c r="B31" s="2120" t="s">
        <v>3056</v>
      </c>
      <c r="C31" s="2121" t="str">
        <f>IF(B31="现房","成新及维护状况正常否",IF(B31="在建","工程状态是否正常",IF(B31="土地","是否闲置","-")))</f>
        <v>工程状态是否正常</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49"/>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49"/>
      <c r="B33" s="2124"/>
      <c r="C33" s="2064"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1836</v>
      </c>
      <c r="B34" s="2127" t="s">
        <v>3057</v>
      </c>
      <c r="C34" s="2127" t="s">
        <v>3058</v>
      </c>
      <c r="D34" s="2127" t="s">
        <v>3059</v>
      </c>
      <c r="E34" s="2948" t="s">
        <v>3215</v>
      </c>
      <c r="F34" s="2948" t="s">
        <v>3216</v>
      </c>
      <c r="G34" s="2948" t="s">
        <v>3217</v>
      </c>
      <c r="H34" s="2127"/>
      <c r="I34" s="2038"/>
      <c r="J34" s="2038"/>
      <c r="K34" s="1791">
        <f>COUNTIF(B34:H34,"——")</f>
        <v>0</v>
      </c>
      <c r="L34" s="2069" t="s">
        <v>1837</v>
      </c>
      <c r="M34" s="2069" t="s">
        <v>1838</v>
      </c>
      <c r="N34" s="2069" t="s">
        <v>1839</v>
      </c>
      <c r="O34" s="2069" t="s">
        <v>1840</v>
      </c>
      <c r="P34" s="2069" t="s">
        <v>1841</v>
      </c>
      <c r="Q34" s="2069" t="s">
        <v>1842</v>
      </c>
      <c r="R34" s="2069" t="s">
        <v>1843</v>
      </c>
      <c r="S34" s="3043" t="s">
        <v>1844</v>
      </c>
      <c r="T34" s="2128" t="str">
        <f>NUMBERSTRING(7-K34,1)&amp;"通"</f>
        <v>七通</v>
      </c>
      <c r="U34" s="2025"/>
      <c r="V34" s="2025"/>
    </row>
    <row r="35" spans="1:22" ht="18" customHeight="1">
      <c r="A35" s="2129"/>
      <c r="B35" s="3050" t="s">
        <v>1845</v>
      </c>
      <c r="C35" s="3050"/>
      <c r="D35" s="3050"/>
      <c r="E35" s="3050"/>
      <c r="F35" s="2130">
        <f>C10</f>
        <v>0</v>
      </c>
      <c r="G35" s="2038"/>
      <c r="H35" s="2038"/>
      <c r="I35" s="2038"/>
      <c r="J35" s="2038"/>
      <c r="K35" s="2069"/>
      <c r="L35" s="2069"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043"/>
      <c r="T35" s="47" t="str">
        <f>IF(T34="一通",L35,IF(T34="二通",M35,IF(T34="三通",N35,IF(T34="四通",O35,IF(T34="五通",P35,IF(T34="六通",Q35,R35))))))</f>
        <v>通路、通电、通上水、通下水、通讯、燃气、</v>
      </c>
      <c r="U35" s="2025"/>
      <c r="V35" s="2025"/>
    </row>
    <row r="36" spans="1:22" ht="18" customHeight="1">
      <c r="A36" s="2131"/>
      <c r="B36" s="2130" t="s">
        <v>1846</v>
      </c>
      <c r="C36" s="2130" t="s">
        <v>1847</v>
      </c>
      <c r="D36" s="2130" t="s">
        <v>1848</v>
      </c>
      <c r="E36" s="2130" t="s">
        <v>1849</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1850</v>
      </c>
      <c r="B37" s="2134" t="s">
        <v>526</v>
      </c>
      <c r="C37" s="2134" t="s">
        <v>526</v>
      </c>
      <c r="D37" s="2134" t="s">
        <v>526</v>
      </c>
      <c r="E37" s="2134" t="s">
        <v>526</v>
      </c>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1851</v>
      </c>
      <c r="B38" s="2136" t="s">
        <v>3060</v>
      </c>
      <c r="C38" s="2136" t="s">
        <v>3060</v>
      </c>
      <c r="D38" s="2136" t="s">
        <v>3060</v>
      </c>
      <c r="E38" s="2136" t="s">
        <v>3060</v>
      </c>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1852</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4"/>
      <c r="L40" s="2077"/>
      <c r="M40" s="2077"/>
      <c r="N40" s="2078"/>
      <c r="O40" s="2077"/>
      <c r="P40" s="2025"/>
      <c r="Q40" s="2025"/>
      <c r="R40" s="2025"/>
      <c r="S40" s="2025"/>
      <c r="T40" s="2025"/>
      <c r="U40" s="2025"/>
      <c r="V40" s="2025"/>
    </row>
    <row r="41" spans="1:22" ht="18" customHeight="1">
      <c r="A41" s="8" t="s">
        <v>1853</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9" t="s">
        <v>1854</v>
      </c>
      <c r="B42" s="1791" t="s">
        <v>1855</v>
      </c>
      <c r="C42" s="1791" t="s">
        <v>1856</v>
      </c>
      <c r="D42" s="1791" t="s">
        <v>1857</v>
      </c>
      <c r="E42" s="1791" t="s">
        <v>1858</v>
      </c>
      <c r="F42" s="1791" t="s">
        <v>1859</v>
      </c>
      <c r="G42" s="1791" t="s">
        <v>1860</v>
      </c>
      <c r="H42" s="1791" t="s">
        <v>1861</v>
      </c>
      <c r="I42" s="1791" t="s">
        <v>1862</v>
      </c>
      <c r="J42" s="2146" t="s">
        <v>1863</v>
      </c>
      <c r="K42" s="2070" t="s">
        <v>1864</v>
      </c>
      <c r="L42" s="2070" t="s">
        <v>1865</v>
      </c>
      <c r="M42" s="2070" t="s">
        <v>1866</v>
      </c>
      <c r="N42" s="1791" t="s">
        <v>1867</v>
      </c>
      <c r="O42" s="1791" t="s">
        <v>1868</v>
      </c>
      <c r="P42" s="1791" t="s">
        <v>1869</v>
      </c>
      <c r="Q42" s="2069" t="s">
        <v>1870</v>
      </c>
      <c r="R42" s="2069" t="s">
        <v>1871</v>
      </c>
      <c r="S42" s="2025"/>
      <c r="T42" s="2025"/>
      <c r="U42" s="2025"/>
      <c r="V42" s="2025"/>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Q16" activePane="bottomRight" state="frozen"/>
      <selection activeCell="C50" sqref="C50"/>
      <selection pane="topRight" activeCell="C50" sqref="C50"/>
      <selection pane="bottomLeft" activeCell="C50" sqref="C50"/>
      <selection pane="bottomRight" activeCell="G34" sqref="G3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0" width="10.75" style="2153" customWidth="1"/>
    <col min="21"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1872</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1873</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1874</v>
      </c>
      <c r="B2" s="11" t="s">
        <v>1875</v>
      </c>
      <c r="C2" s="11" t="s">
        <v>1876</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1877</v>
      </c>
      <c r="AZ2" s="1265" t="s">
        <v>1878</v>
      </c>
      <c r="BA2" s="11" t="s">
        <v>1879</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2947">
        <v>38778.720000000001</v>
      </c>
      <c r="B3" s="13">
        <f>IF(C3="否",G5-AT5,G5)</f>
        <v>147428.82000000004</v>
      </c>
      <c r="C3" s="2162" t="s">
        <v>3062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1880</v>
      </c>
      <c r="B5" s="1799"/>
      <c r="C5" s="1799"/>
      <c r="D5" s="1802"/>
      <c r="E5" s="15" t="s">
        <v>1</v>
      </c>
      <c r="F5" s="15">
        <f>SUM(F13:F587)</f>
        <v>0</v>
      </c>
      <c r="G5" s="15">
        <f>SUM(G13:G587)</f>
        <v>147428.82000000004</v>
      </c>
      <c r="H5" s="15">
        <f t="shared" ref="H5:AT5" si="0">SUM(H13:H656)</f>
        <v>129371.84</v>
      </c>
      <c r="I5" s="15">
        <f t="shared" si="0"/>
        <v>103555.41999999998</v>
      </c>
      <c r="J5" s="15">
        <f t="shared" si="0"/>
        <v>0</v>
      </c>
      <c r="K5" s="15">
        <f t="shared" si="0"/>
        <v>1556.41</v>
      </c>
      <c r="L5" s="15">
        <f t="shared" si="0"/>
        <v>0</v>
      </c>
      <c r="M5" s="15">
        <f t="shared" si="0"/>
        <v>1150.56</v>
      </c>
      <c r="N5" s="15">
        <f t="shared" si="0"/>
        <v>0</v>
      </c>
      <c r="O5" s="15">
        <f t="shared" si="0"/>
        <v>20003</v>
      </c>
      <c r="P5" s="15">
        <f t="shared" si="0"/>
        <v>0</v>
      </c>
      <c r="Q5" s="15">
        <f t="shared" si="0"/>
        <v>2256.4499999999998</v>
      </c>
      <c r="R5" s="15">
        <f t="shared" si="0"/>
        <v>0</v>
      </c>
      <c r="S5" s="15">
        <f t="shared" si="0"/>
        <v>850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7036.98</v>
      </c>
      <c r="AD5" s="15">
        <f t="shared" si="0"/>
        <v>2051.69</v>
      </c>
      <c r="AE5" s="15">
        <f t="shared" si="0"/>
        <v>0</v>
      </c>
      <c r="AF5" s="15">
        <f t="shared" si="0"/>
        <v>3444.1800000000003</v>
      </c>
      <c r="AG5" s="15">
        <f t="shared" si="0"/>
        <v>0</v>
      </c>
      <c r="AH5" s="15">
        <f t="shared" si="0"/>
        <v>0</v>
      </c>
      <c r="AI5" s="15">
        <f t="shared" si="0"/>
        <v>0</v>
      </c>
      <c r="AJ5" s="15">
        <f t="shared" si="0"/>
        <v>50</v>
      </c>
      <c r="AK5" s="15">
        <f t="shared" si="0"/>
        <v>0</v>
      </c>
      <c r="AL5" s="15">
        <f t="shared" si="0"/>
        <v>0</v>
      </c>
      <c r="AM5" s="15">
        <f t="shared" si="0"/>
        <v>0</v>
      </c>
      <c r="AN5" s="15">
        <f t="shared" si="0"/>
        <v>1491.1100000000001</v>
      </c>
      <c r="AO5" s="15">
        <f t="shared" si="0"/>
        <v>0</v>
      </c>
      <c r="AP5" s="15">
        <f t="shared" si="0"/>
        <v>0</v>
      </c>
      <c r="AQ5" s="15">
        <f t="shared" si="0"/>
        <v>0</v>
      </c>
      <c r="AR5" s="15">
        <f t="shared" si="0"/>
        <v>0</v>
      </c>
      <c r="AS5" s="15">
        <f t="shared" si="0"/>
        <v>0</v>
      </c>
      <c r="AT5" s="15">
        <f t="shared" si="0"/>
        <v>11020</v>
      </c>
      <c r="AU5" s="1798"/>
      <c r="AV5" s="14" t="s">
        <v>1880</v>
      </c>
      <c r="AW5" s="1799"/>
      <c r="AX5" s="1799"/>
      <c r="AY5" s="16" t="s">
        <v>3</v>
      </c>
      <c r="AZ5" s="17">
        <f t="shared" ref="AZ5:BT5" si="1">SUM(AZ13:AZ656)</f>
        <v>136408.82</v>
      </c>
      <c r="BA5" s="17">
        <f t="shared" si="1"/>
        <v>129371.84</v>
      </c>
      <c r="BB5" s="17">
        <f t="shared" si="1"/>
        <v>103555.41999999998</v>
      </c>
      <c r="BC5" s="17">
        <f t="shared" si="1"/>
        <v>1556.41</v>
      </c>
      <c r="BD5" s="17">
        <f t="shared" si="1"/>
        <v>1150.56</v>
      </c>
      <c r="BE5" s="17">
        <f t="shared" si="1"/>
        <v>20003</v>
      </c>
      <c r="BF5" s="17">
        <f t="shared" si="1"/>
        <v>2256.4499999999998</v>
      </c>
      <c r="BG5" s="17">
        <f t="shared" si="1"/>
        <v>850</v>
      </c>
      <c r="BH5" s="17">
        <f t="shared" si="1"/>
        <v>0</v>
      </c>
      <c r="BI5" s="17">
        <f t="shared" si="1"/>
        <v>0</v>
      </c>
      <c r="BJ5" s="17">
        <f t="shared" si="1"/>
        <v>0</v>
      </c>
      <c r="BK5" s="17">
        <f t="shared" si="1"/>
        <v>0</v>
      </c>
      <c r="BL5" s="17">
        <f t="shared" si="1"/>
        <v>7036.98</v>
      </c>
      <c r="BM5" s="17">
        <f t="shared" si="1"/>
        <v>2051.69</v>
      </c>
      <c r="BN5" s="17">
        <f t="shared" si="1"/>
        <v>3444.1800000000003</v>
      </c>
      <c r="BO5" s="17">
        <f t="shared" si="1"/>
        <v>0</v>
      </c>
      <c r="BP5" s="17">
        <f t="shared" si="1"/>
        <v>50</v>
      </c>
      <c r="BQ5" s="17">
        <f t="shared" si="1"/>
        <v>0</v>
      </c>
      <c r="BR5" s="17">
        <f t="shared" si="1"/>
        <v>1491.1100000000001</v>
      </c>
      <c r="BS5" s="17">
        <f t="shared" si="1"/>
        <v>0</v>
      </c>
      <c r="BT5" s="18">
        <f t="shared" si="1"/>
        <v>0</v>
      </c>
    </row>
    <row r="6" spans="1:72" s="2171" customFormat="1" ht="12.75">
      <c r="A6" s="14" t="s">
        <v>1881</v>
      </c>
      <c r="B6" s="2168"/>
      <c r="C6" s="2168"/>
      <c r="D6" s="2169"/>
      <c r="E6" s="15">
        <f>H6+AC6+AT6</f>
        <v>38778.719999999994</v>
      </c>
      <c r="F6" s="15" t="s">
        <v>1</v>
      </c>
      <c r="G6" s="15" t="s">
        <v>2</v>
      </c>
      <c r="H6" s="19">
        <f>SUMIF(I$12:AB$12,"总值",I6:AB6)</f>
        <v>34029.14</v>
      </c>
      <c r="I6" s="15">
        <f t="shared" ref="I6:AB6" si="2">ROUND($A$3*I5/$B$3,2)</f>
        <v>27238.55</v>
      </c>
      <c r="J6" s="15">
        <f t="shared" si="2"/>
        <v>0</v>
      </c>
      <c r="K6" s="15">
        <f t="shared" si="2"/>
        <v>409.39</v>
      </c>
      <c r="L6" s="15">
        <f t="shared" si="2"/>
        <v>0</v>
      </c>
      <c r="M6" s="15">
        <f t="shared" si="2"/>
        <v>302.64</v>
      </c>
      <c r="N6" s="15">
        <f t="shared" si="2"/>
        <v>0</v>
      </c>
      <c r="O6" s="15">
        <f t="shared" si="2"/>
        <v>5261.46</v>
      </c>
      <c r="P6" s="15">
        <f t="shared" si="2"/>
        <v>0</v>
      </c>
      <c r="Q6" s="15">
        <f t="shared" si="2"/>
        <v>593.52</v>
      </c>
      <c r="R6" s="15">
        <f t="shared" si="2"/>
        <v>0</v>
      </c>
      <c r="S6" s="15">
        <f t="shared" si="2"/>
        <v>223.58</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1850.95</v>
      </c>
      <c r="AD6" s="15">
        <f t="shared" ref="AD6:AS6" si="3">ROUND($A$3*AD5/$B$3,2)</f>
        <v>539.66</v>
      </c>
      <c r="AE6" s="15">
        <f t="shared" si="3"/>
        <v>0</v>
      </c>
      <c r="AF6" s="15">
        <f t="shared" si="3"/>
        <v>905.93</v>
      </c>
      <c r="AG6" s="15">
        <f t="shared" si="3"/>
        <v>0</v>
      </c>
      <c r="AH6" s="15">
        <f t="shared" si="3"/>
        <v>0</v>
      </c>
      <c r="AI6" s="15">
        <f t="shared" si="3"/>
        <v>0</v>
      </c>
      <c r="AJ6" s="15">
        <f t="shared" si="3"/>
        <v>13.15</v>
      </c>
      <c r="AK6" s="15">
        <f t="shared" si="3"/>
        <v>0</v>
      </c>
      <c r="AL6" s="15">
        <f t="shared" si="3"/>
        <v>0</v>
      </c>
      <c r="AM6" s="15">
        <f t="shared" si="3"/>
        <v>0</v>
      </c>
      <c r="AN6" s="15">
        <f t="shared" si="3"/>
        <v>392.21</v>
      </c>
      <c r="AO6" s="15">
        <f t="shared" si="3"/>
        <v>0</v>
      </c>
      <c r="AP6" s="15">
        <f t="shared" si="3"/>
        <v>0</v>
      </c>
      <c r="AQ6" s="15">
        <f t="shared" si="3"/>
        <v>0</v>
      </c>
      <c r="AR6" s="15">
        <f t="shared" si="3"/>
        <v>0</v>
      </c>
      <c r="AS6" s="15">
        <f t="shared" si="3"/>
        <v>0</v>
      </c>
      <c r="AT6" s="19">
        <f>IF(C3="是",ROUND($A$3*AT5/$B$3,2),0)</f>
        <v>2898.63</v>
      </c>
      <c r="AU6" s="2170"/>
      <c r="AV6" s="14" t="s">
        <v>1881</v>
      </c>
      <c r="AW6" s="2168"/>
      <c r="AX6" s="2168"/>
      <c r="AY6" s="20">
        <f>IF(AY3&gt;0,AY3,ROUND($A$3*AZ5/$B$3,2))</f>
        <v>35880.089999999997</v>
      </c>
      <c r="AZ6" s="15" t="s">
        <v>3</v>
      </c>
      <c r="BA6" s="15">
        <f>ROUND($AY$6*BA5/$AZ$5,2)</f>
        <v>34029.129999999997</v>
      </c>
      <c r="BB6" s="15">
        <f>ROUND($AY$6*BB5/$AZ$5,2)</f>
        <v>27238.55</v>
      </c>
      <c r="BC6" s="15">
        <f t="shared" ref="BC6:BH6" si="4">ROUND($AY$6*BC5/$AZ$5,2)</f>
        <v>409.39</v>
      </c>
      <c r="BD6" s="15">
        <f t="shared" si="4"/>
        <v>302.64</v>
      </c>
      <c r="BE6" s="15">
        <f t="shared" si="4"/>
        <v>5261.46</v>
      </c>
      <c r="BF6" s="15">
        <f t="shared" si="4"/>
        <v>593.52</v>
      </c>
      <c r="BG6" s="15">
        <f t="shared" si="4"/>
        <v>223.58</v>
      </c>
      <c r="BH6" s="15">
        <f t="shared" si="4"/>
        <v>0</v>
      </c>
      <c r="BI6" s="15">
        <f t="shared" ref="BI6:BT6" si="5">ROUND($AY$6*BI5/$AZ$5,2)</f>
        <v>0</v>
      </c>
      <c r="BJ6" s="15">
        <f t="shared" si="5"/>
        <v>0</v>
      </c>
      <c r="BK6" s="15">
        <f t="shared" si="5"/>
        <v>0</v>
      </c>
      <c r="BL6" s="15">
        <f t="shared" si="5"/>
        <v>1850.96</v>
      </c>
      <c r="BM6" s="15">
        <f t="shared" si="5"/>
        <v>539.66</v>
      </c>
      <c r="BN6" s="15">
        <f t="shared" si="5"/>
        <v>905.93</v>
      </c>
      <c r="BO6" s="15">
        <f t="shared" si="5"/>
        <v>0</v>
      </c>
      <c r="BP6" s="15">
        <f t="shared" si="5"/>
        <v>13.15</v>
      </c>
      <c r="BQ6" s="15">
        <f t="shared" si="5"/>
        <v>0</v>
      </c>
      <c r="BR6" s="15">
        <f t="shared" si="5"/>
        <v>392.21</v>
      </c>
      <c r="BS6" s="15">
        <f t="shared" si="5"/>
        <v>0</v>
      </c>
      <c r="BT6" s="21">
        <f t="shared" si="5"/>
        <v>0</v>
      </c>
    </row>
    <row r="7" spans="1:72" s="2161" customFormat="1" ht="24.75">
      <c r="A7" s="2103" t="s">
        <v>1882</v>
      </c>
      <c r="B7" s="2103" t="s">
        <v>1883</v>
      </c>
      <c r="C7" s="2103" t="s">
        <v>1884</v>
      </c>
      <c r="D7" s="2103" t="s">
        <v>1885</v>
      </c>
      <c r="E7" s="2103" t="s">
        <v>1886</v>
      </c>
      <c r="F7" s="2103" t="s">
        <v>1887</v>
      </c>
      <c r="G7" s="2172" t="s">
        <v>1888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1889</v>
      </c>
      <c r="AV7" s="22" t="s">
        <v>1890</v>
      </c>
      <c r="AW7" s="2160" t="s">
        <v>1891</v>
      </c>
      <c r="AX7" s="22" t="s">
        <v>1884</v>
      </c>
      <c r="AY7" s="1799" t="s">
        <v>1892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1893</v>
      </c>
      <c r="H8" s="2178" t="s">
        <v>1894</v>
      </c>
      <c r="I8" s="2179"/>
      <c r="J8" s="1814"/>
      <c r="K8" s="1814"/>
      <c r="L8" s="1814"/>
      <c r="M8" s="1814"/>
      <c r="N8" s="1814"/>
      <c r="O8" s="1814"/>
      <c r="P8" s="1814"/>
      <c r="Q8" s="1814"/>
      <c r="R8" s="1814"/>
      <c r="S8" s="1814"/>
      <c r="T8" s="1814"/>
      <c r="U8" s="1814"/>
      <c r="V8" s="2180"/>
      <c r="W8" s="1814"/>
      <c r="X8" s="1814"/>
      <c r="Y8" s="1814"/>
      <c r="Z8" s="1814"/>
      <c r="AA8" s="2180"/>
      <c r="AB8" s="2181"/>
      <c r="AC8" s="976" t="s">
        <v>1895</v>
      </c>
      <c r="AD8" s="2182"/>
      <c r="AE8" s="2174"/>
      <c r="AF8" s="1814"/>
      <c r="AG8" s="1814"/>
      <c r="AH8" s="1814"/>
      <c r="AI8" s="1814"/>
      <c r="AJ8" s="1814"/>
      <c r="AK8" s="1814"/>
      <c r="AL8" s="1814"/>
      <c r="AM8" s="1814"/>
      <c r="AN8" s="1814"/>
      <c r="AO8" s="1814"/>
      <c r="AP8" s="1814"/>
      <c r="AQ8" s="1814"/>
      <c r="AR8" s="1814"/>
      <c r="AS8" s="1814"/>
      <c r="AT8" s="1287" t="s">
        <v>1896</v>
      </c>
      <c r="AU8" s="2176" t="s">
        <v>1897</v>
      </c>
      <c r="AV8" s="1287"/>
      <c r="AW8" s="2159"/>
      <c r="AX8" s="1287"/>
      <c r="AY8" s="2160" t="s">
        <v>1898</v>
      </c>
      <c r="AZ8" s="1813" t="s">
        <v>1899</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3" customFormat="1" ht="12.75">
      <c r="A9" s="2176"/>
      <c r="B9" s="2176"/>
      <c r="C9" s="2176"/>
      <c r="D9" s="2176"/>
      <c r="E9" s="2176"/>
      <c r="F9" s="2176"/>
      <c r="G9" s="1287"/>
      <c r="H9" s="2184" t="s">
        <v>1900</v>
      </c>
      <c r="I9" s="2920" t="s">
        <v>3068</v>
      </c>
      <c r="J9" s="976"/>
      <c r="K9" s="2920" t="s">
        <v>3068</v>
      </c>
      <c r="L9" s="976"/>
      <c r="M9" s="2920" t="s">
        <v>3068</v>
      </c>
      <c r="N9" s="976"/>
      <c r="O9" s="2920" t="s">
        <v>3225</v>
      </c>
      <c r="P9" s="976"/>
      <c r="Q9" s="2920" t="s">
        <v>3225</v>
      </c>
      <c r="R9" s="976"/>
      <c r="S9" s="2920" t="s">
        <v>3225</v>
      </c>
      <c r="T9" s="976"/>
      <c r="U9" s="2185"/>
      <c r="V9" s="976"/>
      <c r="W9" s="2185"/>
      <c r="X9" s="2186"/>
      <c r="Y9" s="2185"/>
      <c r="Z9" s="976"/>
      <c r="AA9" s="2185"/>
      <c r="AB9" s="976"/>
      <c r="AC9" s="2177" t="s">
        <v>1900</v>
      </c>
      <c r="AD9" s="14" t="s">
        <v>1901</v>
      </c>
      <c r="AE9" s="1293"/>
      <c r="AF9" s="14" t="s">
        <v>1902</v>
      </c>
      <c r="AG9" s="1293"/>
      <c r="AH9" s="14" t="s">
        <v>1901</v>
      </c>
      <c r="AI9" s="1293"/>
      <c r="AJ9" s="14" t="s">
        <v>1902</v>
      </c>
      <c r="AK9" s="1293"/>
      <c r="AL9" s="14" t="s">
        <v>1901</v>
      </c>
      <c r="AM9" s="1293"/>
      <c r="AN9" s="14" t="s">
        <v>1902</v>
      </c>
      <c r="AO9" s="1293"/>
      <c r="AP9" s="14" t="s">
        <v>1901</v>
      </c>
      <c r="AQ9" s="1293"/>
      <c r="AR9" s="14" t="s">
        <v>1902</v>
      </c>
      <c r="AS9" s="2187"/>
      <c r="AT9" s="2176"/>
      <c r="AU9" s="2176" t="s">
        <v>1903</v>
      </c>
      <c r="AV9" s="1287"/>
      <c r="AW9" s="2159"/>
      <c r="AX9" s="1287"/>
      <c r="AY9" s="27"/>
      <c r="AZ9" s="27" t="s">
        <v>1893</v>
      </c>
      <c r="BA9" s="2188" t="s">
        <v>1904</v>
      </c>
      <c r="BB9" s="2189"/>
      <c r="BC9" s="1333"/>
      <c r="BD9" s="1333"/>
      <c r="BE9" s="1333"/>
      <c r="BF9" s="1333"/>
      <c r="BG9" s="1333"/>
      <c r="BH9" s="1333"/>
      <c r="BI9" s="1333"/>
      <c r="BJ9" s="1333"/>
      <c r="BK9" s="2190"/>
      <c r="BL9" s="14" t="s">
        <v>1905</v>
      </c>
      <c r="BM9" s="1814"/>
      <c r="BN9" s="2179"/>
      <c r="BO9" s="1814"/>
      <c r="BP9" s="1814"/>
      <c r="BQ9" s="1814"/>
      <c r="BR9" s="1814"/>
      <c r="BS9" s="1814"/>
      <c r="BT9" s="25"/>
    </row>
    <row r="10" spans="1:72" s="2183" customFormat="1" ht="12.75">
      <c r="A10" s="2176"/>
      <c r="B10" s="2176"/>
      <c r="C10" s="2176"/>
      <c r="D10" s="2176"/>
      <c r="E10" s="2176"/>
      <c r="F10" s="2176"/>
      <c r="G10" s="1287"/>
      <c r="H10" s="27"/>
      <c r="I10" s="2920" t="s">
        <v>3069</v>
      </c>
      <c r="J10" s="976"/>
      <c r="K10" s="2922" t="s">
        <v>3222</v>
      </c>
      <c r="L10" s="976"/>
      <c r="M10" s="2922" t="s">
        <v>1378</v>
      </c>
      <c r="N10" s="976"/>
      <c r="O10" s="2922" t="s">
        <v>3226</v>
      </c>
      <c r="P10" s="976"/>
      <c r="Q10" s="2922" t="s">
        <v>3222</v>
      </c>
      <c r="R10" s="976"/>
      <c r="S10" s="2922" t="s">
        <v>1378</v>
      </c>
      <c r="T10" s="976"/>
      <c r="U10" s="2191"/>
      <c r="V10" s="976"/>
      <c r="W10" s="2191"/>
      <c r="X10" s="976"/>
      <c r="Y10" s="2191"/>
      <c r="Z10" s="976"/>
      <c r="AA10" s="2191"/>
      <c r="AB10" s="976"/>
      <c r="AC10" s="1287"/>
      <c r="AD10" s="14" t="s">
        <v>1906</v>
      </c>
      <c r="AE10" s="2192"/>
      <c r="AF10" s="14" t="s">
        <v>1906</v>
      </c>
      <c r="AG10" s="2192"/>
      <c r="AH10" s="14" t="s">
        <v>1907</v>
      </c>
      <c r="AI10" s="2192"/>
      <c r="AJ10" s="14" t="s">
        <v>1907</v>
      </c>
      <c r="AK10" s="2192"/>
      <c r="AL10" s="14" t="s">
        <v>1908</v>
      </c>
      <c r="AM10" s="1293"/>
      <c r="AN10" s="14" t="s">
        <v>1908</v>
      </c>
      <c r="AO10" s="1293"/>
      <c r="AP10" s="14" t="s">
        <v>1909</v>
      </c>
      <c r="AQ10" s="1293"/>
      <c r="AR10" s="14" t="s">
        <v>1909</v>
      </c>
      <c r="AS10" s="1293"/>
      <c r="AT10" s="2176"/>
      <c r="AU10" s="2176"/>
      <c r="AV10" s="1287"/>
      <c r="AW10" s="2159"/>
      <c r="AX10" s="1287"/>
      <c r="AY10" s="27"/>
      <c r="AZ10" s="27"/>
      <c r="BA10" s="2193" t="s">
        <v>1900</v>
      </c>
      <c r="BB10" s="2194" t="str">
        <f>I9</f>
        <v>地上</v>
      </c>
      <c r="BC10" s="28" t="str">
        <f>K9</f>
        <v>地上</v>
      </c>
      <c r="BD10" s="28" t="str">
        <f>M9</f>
        <v>地上</v>
      </c>
      <c r="BE10" s="28" t="str">
        <f>O9</f>
        <v>地下</v>
      </c>
      <c r="BF10" s="28" t="str">
        <f>Q9</f>
        <v>地下</v>
      </c>
      <c r="BG10" s="28" t="str">
        <f>S9</f>
        <v>地下</v>
      </c>
      <c r="BH10" s="28">
        <f>U9</f>
        <v>0</v>
      </c>
      <c r="BI10" s="28">
        <f>W9</f>
        <v>0</v>
      </c>
      <c r="BJ10" s="28">
        <f>Y9</f>
        <v>0</v>
      </c>
      <c r="BK10" s="28">
        <f>AA9</f>
        <v>0</v>
      </c>
      <c r="BL10" s="24" t="s">
        <v>1900</v>
      </c>
      <c r="BM10" s="1813" t="str">
        <f>AD9</f>
        <v>地上</v>
      </c>
      <c r="BN10" s="28" t="str">
        <f>AF9</f>
        <v>地下</v>
      </c>
      <c r="BO10" s="1813" t="str">
        <f>AH9</f>
        <v>地上</v>
      </c>
      <c r="BP10" s="28" t="str">
        <f>AJ9</f>
        <v>地下</v>
      </c>
      <c r="BQ10" s="1813" t="str">
        <f>AL9</f>
        <v>地上</v>
      </c>
      <c r="BR10" s="28" t="str">
        <f>AN9</f>
        <v>地下</v>
      </c>
      <c r="BS10" s="1813" t="str">
        <f>AP9</f>
        <v>地上</v>
      </c>
      <c r="BT10" s="2195" t="str">
        <f>AR9</f>
        <v>地下</v>
      </c>
    </row>
    <row r="11" spans="1:72" s="2183" customFormat="1" ht="12.75">
      <c r="A11" s="2176"/>
      <c r="B11" s="2176"/>
      <c r="C11" s="2176"/>
      <c r="D11" s="2176"/>
      <c r="E11" s="2176"/>
      <c r="F11" s="2176"/>
      <c r="G11" s="1287"/>
      <c r="H11" s="2193"/>
      <c r="I11" s="2921" t="s">
        <v>3070</v>
      </c>
      <c r="J11" s="2197"/>
      <c r="K11" s="2921" t="s">
        <v>3223</v>
      </c>
      <c r="L11" s="2197"/>
      <c r="M11" s="2921" t="s">
        <v>3224</v>
      </c>
      <c r="N11" s="2197"/>
      <c r="O11" s="2921"/>
      <c r="P11" s="2197"/>
      <c r="Q11" s="2921" t="s">
        <v>3223</v>
      </c>
      <c r="R11" s="2197"/>
      <c r="S11" s="2921" t="s">
        <v>3224</v>
      </c>
      <c r="T11" s="2197"/>
      <c r="U11" s="2196"/>
      <c r="V11" s="2197"/>
      <c r="W11" s="2196"/>
      <c r="X11" s="2197"/>
      <c r="Y11" s="2196"/>
      <c r="Z11" s="2197"/>
      <c r="AA11" s="2196"/>
      <c r="AB11" s="2197"/>
      <c r="AC11" s="1287"/>
      <c r="AD11" s="2198" t="s">
        <v>1910</v>
      </c>
      <c r="AE11" s="1815"/>
      <c r="AF11" s="2198" t="s">
        <v>1910</v>
      </c>
      <c r="AG11" s="1815"/>
      <c r="AH11" s="2198" t="s">
        <v>1911</v>
      </c>
      <c r="AI11" s="2199"/>
      <c r="AJ11" s="2198" t="s">
        <v>1911</v>
      </c>
      <c r="AK11" s="1815"/>
      <c r="AL11" s="1813"/>
      <c r="AM11" s="1815"/>
      <c r="AN11" s="1813"/>
      <c r="AO11" s="1815"/>
      <c r="AP11" s="1813"/>
      <c r="AQ11" s="1815"/>
      <c r="AR11" s="1813"/>
      <c r="AS11" s="1815"/>
      <c r="AT11" s="2159"/>
      <c r="AU11" s="2176"/>
      <c r="AV11" s="1287"/>
      <c r="AW11" s="2159"/>
      <c r="AX11" s="1287"/>
      <c r="AY11" s="27"/>
      <c r="AZ11" s="27"/>
      <c r="BA11" s="27"/>
      <c r="BB11" s="2181" t="str">
        <f>I10</f>
        <v>住宅</v>
      </c>
      <c r="BC11" s="2181" t="str">
        <f>K10</f>
        <v>仓储</v>
      </c>
      <c r="BD11" s="2181" t="str">
        <f>M10</f>
        <v>商业</v>
      </c>
      <c r="BE11" s="2181" t="str">
        <f>O10</f>
        <v>车库</v>
      </c>
      <c r="BF11" s="2181" t="str">
        <f>Q10</f>
        <v>仓储</v>
      </c>
      <c r="BG11" s="2181" t="str">
        <f>S10</f>
        <v>商业</v>
      </c>
      <c r="BH11" s="2181">
        <f>U10</f>
        <v>0</v>
      </c>
      <c r="BI11" s="2181">
        <f>W10</f>
        <v>0</v>
      </c>
      <c r="BJ11" s="2181">
        <f>Y10</f>
        <v>0</v>
      </c>
      <c r="BK11" s="2181">
        <f>AA10</f>
        <v>0</v>
      </c>
      <c r="BL11" s="1287"/>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8" t="s">
        <v>1913</v>
      </c>
      <c r="W12" s="11" t="s">
        <v>1912</v>
      </c>
      <c r="X12" s="11" t="s">
        <v>1913</v>
      </c>
      <c r="Y12" s="11" t="s">
        <v>1912</v>
      </c>
      <c r="Z12" s="11" t="s">
        <v>1913</v>
      </c>
      <c r="AA12" s="11" t="s">
        <v>1912</v>
      </c>
      <c r="AB12" s="11" t="s">
        <v>1913</v>
      </c>
      <c r="AC12" s="2203"/>
      <c r="AD12" s="180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1" t="s">
        <v>1913</v>
      </c>
      <c r="AT12" s="2204"/>
      <c r="AU12" s="2201"/>
      <c r="AV12" s="30"/>
      <c r="AW12" s="2160"/>
      <c r="AX12" s="30"/>
      <c r="AY12" s="2205"/>
      <c r="AZ12" s="27"/>
      <c r="BA12" s="2193"/>
      <c r="BB12" s="23" t="str">
        <f>I11</f>
        <v>平层住宅</v>
      </c>
      <c r="BC12" s="2206" t="str">
        <f>K11</f>
        <v>戊类库房</v>
      </c>
      <c r="BD12" s="2206" t="str">
        <f>M11</f>
        <v>底商</v>
      </c>
      <c r="BE12" s="2181">
        <f>O11</f>
        <v>0</v>
      </c>
      <c r="BF12" s="2181" t="str">
        <f>Q11</f>
        <v>戊类库房</v>
      </c>
      <c r="BG12" s="2181" t="str">
        <f>S11</f>
        <v>底商</v>
      </c>
      <c r="BH12" s="2181">
        <f>U11</f>
        <v>0</v>
      </c>
      <c r="BI12" s="2181">
        <f>W11</f>
        <v>0</v>
      </c>
      <c r="BJ12" s="2181">
        <f>Y11</f>
        <v>0</v>
      </c>
      <c r="BK12" s="2181">
        <f>AA11</f>
        <v>0</v>
      </c>
      <c r="BL12" s="1287"/>
      <c r="BM12" s="1813" t="str">
        <f>AD11</f>
        <v>（住宅）</v>
      </c>
      <c r="BN12" s="1813" t="str">
        <f>AF11</f>
        <v>（住宅）</v>
      </c>
      <c r="BO12" s="23" t="str">
        <f>AH11</f>
        <v>（住宅、计出让金）</v>
      </c>
      <c r="BP12" s="23" t="str">
        <f>AJ11</f>
        <v>（住宅、计出让金）</v>
      </c>
      <c r="BQ12" s="23">
        <f>AL11</f>
        <v>0</v>
      </c>
      <c r="BR12" s="23">
        <f>AN11</f>
        <v>0</v>
      </c>
      <c r="BS12" s="24">
        <f>AP11</f>
        <v>0</v>
      </c>
      <c r="BT12" s="2200">
        <f>AR11</f>
        <v>0</v>
      </c>
    </row>
    <row r="13" spans="1:72" s="2161" customFormat="1" ht="51">
      <c r="A13" s="1267" t="s">
        <v>3061</v>
      </c>
      <c r="B13" s="2950" t="s">
        <v>3242</v>
      </c>
      <c r="C13" s="1267" t="s">
        <v>3063</v>
      </c>
      <c r="D13" s="2207" t="s">
        <v>3062</v>
      </c>
      <c r="E13" s="15">
        <f>IF($C$3="是",ROUND($A$3*G13/$B$3,2),ROUND($A$3*(G13-AT13)/$B$3,2))</f>
        <v>3926.22</v>
      </c>
      <c r="F13" s="31"/>
      <c r="G13" s="32">
        <f>H13+AC13+AT13</f>
        <v>14926.68</v>
      </c>
      <c r="H13" s="19">
        <f>SUMIF(I$12:AB$12,"总值",I13:AB13)</f>
        <v>14926.68</v>
      </c>
      <c r="I13" s="2969">
        <v>14926.68</v>
      </c>
      <c r="J13" s="2208"/>
      <c r="K13" s="2208"/>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京（2016）门头沟区不动产权第0000012号</v>
      </c>
      <c r="AW13" s="11" t="str">
        <f t="shared" si="6"/>
        <v>测绘报告</v>
      </c>
      <c r="AX13" s="11" t="str">
        <f t="shared" si="6"/>
        <v>6#</v>
      </c>
      <c r="AY13" s="1802">
        <f>ROUND($AY$6*AZ13/$AZ$5,2)</f>
        <v>3926.22</v>
      </c>
      <c r="AZ13" s="15">
        <f>BA13+BL13</f>
        <v>14926.68</v>
      </c>
      <c r="BA13" s="15">
        <f>SUM(BB13:BK13)</f>
        <v>14926.68</v>
      </c>
      <c r="BB13" s="15">
        <f>IF($D13="是",I13-J13,0)</f>
        <v>14926.68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3.5">
      <c r="A14" s="1267"/>
      <c r="B14" s="2950" t="s">
        <v>3242</v>
      </c>
      <c r="C14" s="1267" t="s">
        <v>3064</v>
      </c>
      <c r="D14" s="2207" t="s">
        <v>3062</v>
      </c>
      <c r="E14" s="15">
        <f>IF($C$3="是",ROUND($A$3*G14/$B$3,2),ROUND($A$3*(G14-AT14)/$B$3,2))</f>
        <v>1686.18</v>
      </c>
      <c r="F14" s="31"/>
      <c r="G14" s="32">
        <f>H14+AC14+AT14</f>
        <v>6410.52</v>
      </c>
      <c r="H14" s="19">
        <f>SUMIF(I$12:AB$12,"总值",I14:AB14)</f>
        <v>6410.52</v>
      </c>
      <c r="I14" s="2969">
        <v>6410.52</v>
      </c>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t="str">
        <f t="shared" si="6"/>
        <v>测绘报告</v>
      </c>
      <c r="AX14" s="11" t="str">
        <f t="shared" si="6"/>
        <v>7#</v>
      </c>
      <c r="AY14" s="1802">
        <f>ROUND($AY$6*AZ14/$AZ$5,2)</f>
        <v>1686.18</v>
      </c>
      <c r="AZ14" s="15">
        <f>BA14+BL14</f>
        <v>6410.52</v>
      </c>
      <c r="BA14" s="15">
        <f>SUM(BB14:BK14)</f>
        <v>6410.52</v>
      </c>
      <c r="BB14" s="15">
        <f>IF($D14="是",I14-J14,0)</f>
        <v>6410.52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3.5">
      <c r="A15" s="1267"/>
      <c r="B15" s="2950" t="s">
        <v>3242</v>
      </c>
      <c r="C15" s="1267" t="s">
        <v>3065</v>
      </c>
      <c r="D15" s="2207" t="s">
        <v>3062</v>
      </c>
      <c r="E15" s="15">
        <f>IF($C$3="是",ROUND($A$3*G15/$B$3,2),ROUND($A$3*(G15-AT15)/$B$3,2))</f>
        <v>1734.93</v>
      </c>
      <c r="F15" s="31"/>
      <c r="G15" s="32">
        <f>H15+AC15+AT15</f>
        <v>6595.84</v>
      </c>
      <c r="H15" s="19">
        <f>SUMIF(I$12:AB$12,"总值",I15:AB15)</f>
        <v>6595.84</v>
      </c>
      <c r="I15" s="2969">
        <v>6595.84</v>
      </c>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t="str">
        <f t="shared" si="6"/>
        <v>测绘报告</v>
      </c>
      <c r="AX15" s="11" t="str">
        <f t="shared" si="6"/>
        <v>8#</v>
      </c>
      <c r="AY15" s="1802">
        <f>ROUND($AY$6*AZ15/$AZ$5,2)</f>
        <v>1734.93</v>
      </c>
      <c r="AZ15" s="15">
        <f>BA15+BL15</f>
        <v>6595.84</v>
      </c>
      <c r="BA15" s="15">
        <f>SUM(BB15:BK15)</f>
        <v>6595.84</v>
      </c>
      <c r="BB15" s="15">
        <f>IF($D15="是",I15-J15,0)</f>
        <v>6595.84</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3.5">
      <c r="A16" s="1267"/>
      <c r="B16" s="2950" t="s">
        <v>3242</v>
      </c>
      <c r="C16" s="1267" t="s">
        <v>3066</v>
      </c>
      <c r="D16" s="2207" t="s">
        <v>3062</v>
      </c>
      <c r="E16" s="15">
        <f>IF($C$3="是",ROUND($A$3*G16/$B$3,2),ROUND($A$3*(G16-AT16)/$B$3,2))</f>
        <v>991.64</v>
      </c>
      <c r="F16" s="31"/>
      <c r="G16" s="32">
        <f>H16+AC16+AT16</f>
        <v>3770</v>
      </c>
      <c r="H16" s="19">
        <f>SUMIF(I$12:AB$12,"总值",I16:AB16)</f>
        <v>3770</v>
      </c>
      <c r="I16" s="2969">
        <v>3770</v>
      </c>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t="str">
        <f t="shared" si="6"/>
        <v>测绘报告</v>
      </c>
      <c r="AX16" s="11" t="str">
        <f t="shared" si="6"/>
        <v>10#</v>
      </c>
      <c r="AY16" s="1802">
        <f>ROUND($AY$6*AZ16/$AZ$5,2)</f>
        <v>991.64</v>
      </c>
      <c r="AZ16" s="15">
        <f>BA16+BL16</f>
        <v>3770</v>
      </c>
      <c r="BA16" s="15">
        <f>SUM(BB16:BK16)</f>
        <v>3770</v>
      </c>
      <c r="BB16" s="15">
        <f>IF($D16="是",I16-J16,0)</f>
        <v>3770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3.5">
      <c r="A17" s="1267"/>
      <c r="B17" s="2950" t="s">
        <v>3242</v>
      </c>
      <c r="C17" s="1267" t="s">
        <v>3067</v>
      </c>
      <c r="D17" s="2207" t="s">
        <v>3062</v>
      </c>
      <c r="E17" s="15">
        <f>IF($C$3="是",ROUND($A$3*G17/$B$3,2),ROUND($A$3*(G17-AT17)/$B$3,2))</f>
        <v>1249.1300000000001</v>
      </c>
      <c r="F17" s="31"/>
      <c r="G17" s="32">
        <f>H17+AC17+AT17</f>
        <v>4748.95</v>
      </c>
      <c r="H17" s="19">
        <f>SUMIF(I$12:AB$12,"总值",I17:AB17)</f>
        <v>4748.95</v>
      </c>
      <c r="I17" s="2969">
        <v>4748.95</v>
      </c>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t="str">
        <f t="shared" si="6"/>
        <v>测绘报告</v>
      </c>
      <c r="AX17" s="11" t="str">
        <f t="shared" si="6"/>
        <v>11#</v>
      </c>
      <c r="AY17" s="1802">
        <f>ROUND($AY$6*AZ17/$AZ$5,2)</f>
        <v>1249.1300000000001</v>
      </c>
      <c r="AZ17" s="15">
        <f>BA17+BL17</f>
        <v>4748.95</v>
      </c>
      <c r="BA17" s="15">
        <f>SUM(BB17:BK17)</f>
        <v>4748.95</v>
      </c>
      <c r="BB17" s="15">
        <f>IF($D17="是",I17-J17,0)</f>
        <v>4748.95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idden="1">
      <c r="A18" s="9"/>
      <c r="B18" s="2950"/>
      <c r="C18" s="1267"/>
      <c r="D18" s="221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idden="1">
      <c r="A19" s="9"/>
      <c r="B19" s="2950"/>
      <c r="C19" s="1267"/>
      <c r="D19" s="294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hidden="1">
      <c r="A20" s="9"/>
      <c r="B20" s="2950"/>
      <c r="C20" s="1267"/>
      <c r="D20" s="294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idden="1">
      <c r="A21" s="9"/>
      <c r="B21" s="2950"/>
      <c r="C21" s="1267"/>
      <c r="D21" s="294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hidden="1">
      <c r="A22" s="9"/>
      <c r="B22" s="2950"/>
      <c r="C22" s="1267"/>
      <c r="D22" s="294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2950" t="s">
        <v>3242</v>
      </c>
      <c r="C23" s="33" t="s">
        <v>3227</v>
      </c>
      <c r="D23" s="2207" t="s">
        <v>3062</v>
      </c>
      <c r="E23" s="34">
        <f t="shared" si="7"/>
        <v>2865.99</v>
      </c>
      <c r="F23" s="35"/>
      <c r="G23" s="36">
        <f t="shared" si="8"/>
        <v>10895.93</v>
      </c>
      <c r="H23" s="37">
        <f t="shared" si="9"/>
        <v>9317.08</v>
      </c>
      <c r="I23" s="2970">
        <v>9317.08</v>
      </c>
      <c r="J23" s="38"/>
      <c r="K23" s="38"/>
      <c r="L23" s="38"/>
      <c r="M23" s="38"/>
      <c r="N23" s="38"/>
      <c r="O23" s="38"/>
      <c r="P23" s="38"/>
      <c r="Q23" s="38"/>
      <c r="R23" s="38"/>
      <c r="S23" s="38"/>
      <c r="T23" s="38"/>
      <c r="U23" s="38"/>
      <c r="V23" s="38"/>
      <c r="W23" s="38"/>
      <c r="X23" s="38"/>
      <c r="Y23" s="38"/>
      <c r="Z23" s="38"/>
      <c r="AA23" s="38"/>
      <c r="AB23" s="38"/>
      <c r="AC23" s="34">
        <f t="shared" si="10"/>
        <v>1578.85</v>
      </c>
      <c r="AD23" s="43">
        <f>164.89+72.36+203.39+105.26+165.41+261.63+72.38+59.52+12.74+101.98</f>
        <v>1219.56</v>
      </c>
      <c r="AE23" s="43"/>
      <c r="AF23" s="43">
        <f>204.42+54.27+100.6</f>
        <v>359.28999999999996</v>
      </c>
      <c r="AG23" s="39"/>
      <c r="AH23" s="39"/>
      <c r="AI23" s="39"/>
      <c r="AJ23" s="39"/>
      <c r="AK23" s="39"/>
      <c r="AL23" s="43"/>
      <c r="AM23" s="43"/>
      <c r="AN23" s="43"/>
      <c r="AO23" s="39"/>
      <c r="AP23" s="39"/>
      <c r="AQ23" s="39"/>
      <c r="AR23" s="39"/>
      <c r="AS23" s="39"/>
      <c r="AT23" s="40"/>
      <c r="AU23" s="2213"/>
      <c r="AV23" s="1791">
        <f t="shared" si="11"/>
        <v>0</v>
      </c>
      <c r="AW23" s="1791" t="str">
        <f t="shared" si="12"/>
        <v>测绘报告</v>
      </c>
      <c r="AX23" s="1791" t="str">
        <f t="shared" si="13"/>
        <v>1号</v>
      </c>
      <c r="AY23" s="41">
        <f t="shared" si="14"/>
        <v>2865.99</v>
      </c>
      <c r="AZ23" s="34">
        <f t="shared" si="15"/>
        <v>10895.93</v>
      </c>
      <c r="BA23" s="34">
        <f t="shared" si="16"/>
        <v>9317.08</v>
      </c>
      <c r="BB23" s="34">
        <f t="shared" si="17"/>
        <v>9317.08</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1578.85</v>
      </c>
      <c r="BM23" s="34">
        <f t="shared" si="28"/>
        <v>1219.56</v>
      </c>
      <c r="BN23" s="34">
        <f t="shared" si="29"/>
        <v>359.28999999999996</v>
      </c>
      <c r="BO23" s="34">
        <f t="shared" si="30"/>
        <v>0</v>
      </c>
      <c r="BP23" s="34">
        <f t="shared" si="31"/>
        <v>0</v>
      </c>
      <c r="BQ23" s="34">
        <f t="shared" si="32"/>
        <v>0</v>
      </c>
      <c r="BR23" s="34">
        <f t="shared" si="33"/>
        <v>0</v>
      </c>
      <c r="BS23" s="34">
        <f t="shared" si="34"/>
        <v>0</v>
      </c>
      <c r="BT23" s="42">
        <f t="shared" si="35"/>
        <v>0</v>
      </c>
    </row>
    <row r="24" spans="1:72">
      <c r="A24" s="9"/>
      <c r="B24" s="2950" t="s">
        <v>3242</v>
      </c>
      <c r="C24" s="33" t="s">
        <v>3229</v>
      </c>
      <c r="D24" s="2207" t="s">
        <v>3062</v>
      </c>
      <c r="E24" s="34">
        <f t="shared" si="7"/>
        <v>6174.91</v>
      </c>
      <c r="F24" s="35"/>
      <c r="G24" s="36">
        <f t="shared" si="8"/>
        <v>23475.74</v>
      </c>
      <c r="H24" s="37">
        <f t="shared" si="9"/>
        <v>21874.350000000002</v>
      </c>
      <c r="I24" s="2970">
        <v>21378.54</v>
      </c>
      <c r="J24" s="38"/>
      <c r="K24" s="2970">
        <v>309.83</v>
      </c>
      <c r="L24" s="38"/>
      <c r="M24" s="2970">
        <v>185.98</v>
      </c>
      <c r="N24" s="38"/>
      <c r="O24" s="38"/>
      <c r="P24" s="38"/>
      <c r="Q24" s="38"/>
      <c r="R24" s="38"/>
      <c r="S24" s="38"/>
      <c r="T24" s="38"/>
      <c r="U24" s="38"/>
      <c r="V24" s="38"/>
      <c r="W24" s="38"/>
      <c r="X24" s="38"/>
      <c r="Y24" s="38"/>
      <c r="Z24" s="38"/>
      <c r="AA24" s="38"/>
      <c r="AB24" s="38"/>
      <c r="AC24" s="34">
        <f t="shared" si="10"/>
        <v>1601.39</v>
      </c>
      <c r="AD24" s="43">
        <f>95.44+125.41+256.94+171.99+110.2+43.29+28.86</f>
        <v>832.13</v>
      </c>
      <c r="AE24" s="43"/>
      <c r="AF24" s="43">
        <f>171.09+389.47+11.71+103.46+93.53</f>
        <v>769.2600000000001</v>
      </c>
      <c r="AG24" s="39"/>
      <c r="AH24" s="39"/>
      <c r="AI24" s="39"/>
      <c r="AJ24" s="39"/>
      <c r="AK24" s="39"/>
      <c r="AL24" s="43"/>
      <c r="AM24" s="43"/>
      <c r="AN24" s="43"/>
      <c r="AO24" s="39"/>
      <c r="AP24" s="39"/>
      <c r="AQ24" s="39"/>
      <c r="AR24" s="39"/>
      <c r="AS24" s="39"/>
      <c r="AT24" s="40"/>
      <c r="AU24" s="2213"/>
      <c r="AV24" s="1791">
        <f t="shared" si="11"/>
        <v>0</v>
      </c>
      <c r="AW24" s="1791" t="str">
        <f t="shared" si="12"/>
        <v>测绘报告</v>
      </c>
      <c r="AX24" s="1791" t="str">
        <f t="shared" si="13"/>
        <v>2号</v>
      </c>
      <c r="AY24" s="41">
        <f t="shared" si="14"/>
        <v>6174.91</v>
      </c>
      <c r="AZ24" s="34">
        <f t="shared" si="15"/>
        <v>23475.74</v>
      </c>
      <c r="BA24" s="34">
        <f t="shared" si="16"/>
        <v>21874.350000000002</v>
      </c>
      <c r="BB24" s="34">
        <f t="shared" si="17"/>
        <v>21378.54</v>
      </c>
      <c r="BC24" s="34">
        <f t="shared" si="18"/>
        <v>309.83</v>
      </c>
      <c r="BD24" s="34">
        <f t="shared" si="19"/>
        <v>185.98</v>
      </c>
      <c r="BE24" s="34">
        <f t="shared" si="20"/>
        <v>0</v>
      </c>
      <c r="BF24" s="34">
        <f t="shared" si="21"/>
        <v>0</v>
      </c>
      <c r="BG24" s="34">
        <f t="shared" si="22"/>
        <v>0</v>
      </c>
      <c r="BH24" s="34">
        <f t="shared" si="23"/>
        <v>0</v>
      </c>
      <c r="BI24" s="34">
        <f t="shared" si="24"/>
        <v>0</v>
      </c>
      <c r="BJ24" s="34">
        <f t="shared" si="25"/>
        <v>0</v>
      </c>
      <c r="BK24" s="34">
        <f t="shared" si="26"/>
        <v>0</v>
      </c>
      <c r="BL24" s="34">
        <f t="shared" si="27"/>
        <v>1601.39</v>
      </c>
      <c r="BM24" s="34">
        <f t="shared" si="28"/>
        <v>832.13</v>
      </c>
      <c r="BN24" s="34">
        <f t="shared" si="29"/>
        <v>769.2600000000001</v>
      </c>
      <c r="BO24" s="34">
        <f t="shared" si="30"/>
        <v>0</v>
      </c>
      <c r="BP24" s="34">
        <f t="shared" si="31"/>
        <v>0</v>
      </c>
      <c r="BQ24" s="34">
        <f t="shared" si="32"/>
        <v>0</v>
      </c>
      <c r="BR24" s="34">
        <f t="shared" si="33"/>
        <v>0</v>
      </c>
      <c r="BS24" s="34">
        <f t="shared" si="34"/>
        <v>0</v>
      </c>
      <c r="BT24" s="42">
        <f t="shared" si="35"/>
        <v>0</v>
      </c>
    </row>
    <row r="25" spans="1:72">
      <c r="A25" s="9"/>
      <c r="B25" s="2950" t="s">
        <v>3242</v>
      </c>
      <c r="C25" s="33" t="s">
        <v>3231</v>
      </c>
      <c r="D25" s="2207" t="s">
        <v>3062</v>
      </c>
      <c r="E25" s="34">
        <f t="shared" si="7"/>
        <v>2635.21</v>
      </c>
      <c r="F25" s="35"/>
      <c r="G25" s="36">
        <f t="shared" si="8"/>
        <v>10018.540000000001</v>
      </c>
      <c r="H25" s="37">
        <f t="shared" si="9"/>
        <v>10018.540000000001</v>
      </c>
      <c r="I25" s="2970">
        <v>9256.7900000000009</v>
      </c>
      <c r="J25" s="38"/>
      <c r="K25" s="38"/>
      <c r="L25" s="38"/>
      <c r="M25" s="2970">
        <v>761.75</v>
      </c>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1">
        <f t="shared" si="11"/>
        <v>0</v>
      </c>
      <c r="AW25" s="1791" t="str">
        <f t="shared" si="12"/>
        <v>测绘报告</v>
      </c>
      <c r="AX25" s="1791" t="str">
        <f t="shared" si="13"/>
        <v>3号</v>
      </c>
      <c r="AY25" s="41">
        <f t="shared" si="14"/>
        <v>2635.21</v>
      </c>
      <c r="AZ25" s="34">
        <f t="shared" si="15"/>
        <v>10018.540000000001</v>
      </c>
      <c r="BA25" s="34">
        <f t="shared" si="16"/>
        <v>10018.540000000001</v>
      </c>
      <c r="BB25" s="34">
        <f t="shared" si="17"/>
        <v>9256.7900000000009</v>
      </c>
      <c r="BC25" s="34">
        <f t="shared" si="18"/>
        <v>0</v>
      </c>
      <c r="BD25" s="34">
        <f t="shared" si="19"/>
        <v>761.75</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50" t="s">
        <v>3242</v>
      </c>
      <c r="C26" s="33" t="s">
        <v>3233</v>
      </c>
      <c r="D26" s="2207" t="s">
        <v>3062</v>
      </c>
      <c r="E26" s="34">
        <f t="shared" si="7"/>
        <v>2505.52</v>
      </c>
      <c r="F26" s="35"/>
      <c r="G26" s="36">
        <f t="shared" si="8"/>
        <v>9525.4600000000009</v>
      </c>
      <c r="H26" s="37">
        <f t="shared" si="9"/>
        <v>9072.7200000000012</v>
      </c>
      <c r="I26" s="2970">
        <v>8542.1</v>
      </c>
      <c r="J26" s="38"/>
      <c r="K26" s="2970">
        <v>530.62</v>
      </c>
      <c r="L26" s="38"/>
      <c r="M26" s="38"/>
      <c r="N26" s="38"/>
      <c r="O26" s="38"/>
      <c r="P26" s="38"/>
      <c r="Q26" s="38"/>
      <c r="R26" s="38"/>
      <c r="S26" s="38"/>
      <c r="T26" s="38"/>
      <c r="U26" s="38"/>
      <c r="V26" s="38"/>
      <c r="W26" s="38"/>
      <c r="X26" s="38"/>
      <c r="Y26" s="38"/>
      <c r="Z26" s="38"/>
      <c r="AA26" s="38"/>
      <c r="AB26" s="38"/>
      <c r="AC26" s="34">
        <f t="shared" si="10"/>
        <v>452.74</v>
      </c>
      <c r="AD26" s="39"/>
      <c r="AE26" s="39"/>
      <c r="AF26" s="43">
        <v>452.74</v>
      </c>
      <c r="AG26" s="39"/>
      <c r="AH26" s="39"/>
      <c r="AI26" s="39"/>
      <c r="AJ26" s="39"/>
      <c r="AK26" s="39"/>
      <c r="AL26" s="39"/>
      <c r="AM26" s="39"/>
      <c r="AN26" s="43"/>
      <c r="AO26" s="39"/>
      <c r="AP26" s="39"/>
      <c r="AQ26" s="39"/>
      <c r="AR26" s="39"/>
      <c r="AS26" s="39"/>
      <c r="AT26" s="40"/>
      <c r="AU26" s="2213"/>
      <c r="AV26" s="1791">
        <f t="shared" si="11"/>
        <v>0</v>
      </c>
      <c r="AW26" s="1791" t="str">
        <f t="shared" si="12"/>
        <v>测绘报告</v>
      </c>
      <c r="AX26" s="1791" t="str">
        <f t="shared" si="13"/>
        <v>4号</v>
      </c>
      <c r="AY26" s="41">
        <f t="shared" si="14"/>
        <v>2505.52</v>
      </c>
      <c r="AZ26" s="34">
        <f t="shared" si="15"/>
        <v>9525.4600000000009</v>
      </c>
      <c r="BA26" s="34">
        <f t="shared" si="16"/>
        <v>9072.7200000000012</v>
      </c>
      <c r="BB26" s="34">
        <f t="shared" si="17"/>
        <v>8542.1</v>
      </c>
      <c r="BC26" s="34">
        <f t="shared" si="18"/>
        <v>530.62</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452.74</v>
      </c>
      <c r="BM26" s="34">
        <f t="shared" si="28"/>
        <v>0</v>
      </c>
      <c r="BN26" s="34">
        <f t="shared" si="29"/>
        <v>452.74</v>
      </c>
      <c r="BO26" s="34">
        <f t="shared" si="30"/>
        <v>0</v>
      </c>
      <c r="BP26" s="34">
        <f t="shared" si="31"/>
        <v>0</v>
      </c>
      <c r="BQ26" s="34">
        <f t="shared" si="32"/>
        <v>0</v>
      </c>
      <c r="BR26" s="34">
        <f t="shared" si="33"/>
        <v>0</v>
      </c>
      <c r="BS26" s="34">
        <f t="shared" si="34"/>
        <v>0</v>
      </c>
      <c r="BT26" s="42">
        <f t="shared" si="35"/>
        <v>0</v>
      </c>
    </row>
    <row r="27" spans="1:72">
      <c r="A27" s="9"/>
      <c r="B27" s="2950" t="s">
        <v>3242</v>
      </c>
      <c r="C27" s="33" t="s">
        <v>3235</v>
      </c>
      <c r="D27" s="2207" t="s">
        <v>3062</v>
      </c>
      <c r="E27" s="34">
        <f t="shared" si="7"/>
        <v>2508.42</v>
      </c>
      <c r="F27" s="35"/>
      <c r="G27" s="36">
        <f t="shared" si="8"/>
        <v>9536.52</v>
      </c>
      <c r="H27" s="37">
        <f t="shared" si="9"/>
        <v>9077.880000000001</v>
      </c>
      <c r="I27" s="2970">
        <v>8546.9500000000007</v>
      </c>
      <c r="J27" s="38"/>
      <c r="K27" s="2970">
        <v>530.92999999999995</v>
      </c>
      <c r="L27" s="38"/>
      <c r="M27" s="38"/>
      <c r="N27" s="38"/>
      <c r="O27" s="38"/>
      <c r="P27" s="38"/>
      <c r="Q27" s="38"/>
      <c r="R27" s="38"/>
      <c r="S27" s="38"/>
      <c r="T27" s="38"/>
      <c r="U27" s="38"/>
      <c r="V27" s="38"/>
      <c r="W27" s="38"/>
      <c r="X27" s="38"/>
      <c r="Y27" s="38"/>
      <c r="Z27" s="38"/>
      <c r="AA27" s="38"/>
      <c r="AB27" s="38"/>
      <c r="AC27" s="34">
        <f t="shared" si="10"/>
        <v>458.64</v>
      </c>
      <c r="AD27" s="39"/>
      <c r="AE27" s="39"/>
      <c r="AF27" s="39">
        <v>458.64</v>
      </c>
      <c r="AG27" s="39"/>
      <c r="AH27" s="39"/>
      <c r="AI27" s="39"/>
      <c r="AJ27" s="39"/>
      <c r="AK27" s="39"/>
      <c r="AL27" s="39"/>
      <c r="AM27" s="39"/>
      <c r="AN27" s="43"/>
      <c r="AO27" s="39"/>
      <c r="AP27" s="39"/>
      <c r="AQ27" s="39"/>
      <c r="AR27" s="39"/>
      <c r="AS27" s="39"/>
      <c r="AT27" s="40"/>
      <c r="AU27" s="2213"/>
      <c r="AV27" s="1791">
        <f t="shared" si="11"/>
        <v>0</v>
      </c>
      <c r="AW27" s="1791" t="str">
        <f t="shared" si="12"/>
        <v>测绘报告</v>
      </c>
      <c r="AX27" s="1791" t="str">
        <f t="shared" si="13"/>
        <v>5号</v>
      </c>
      <c r="AY27" s="41">
        <f t="shared" si="14"/>
        <v>2508.42</v>
      </c>
      <c r="AZ27" s="34">
        <f t="shared" si="15"/>
        <v>9536.52</v>
      </c>
      <c r="BA27" s="34">
        <f t="shared" si="16"/>
        <v>9077.880000000001</v>
      </c>
      <c r="BB27" s="34">
        <f t="shared" si="17"/>
        <v>8546.9500000000007</v>
      </c>
      <c r="BC27" s="34">
        <f t="shared" si="18"/>
        <v>530.92999999999995</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458.64</v>
      </c>
      <c r="BM27" s="34">
        <f t="shared" si="28"/>
        <v>0</v>
      </c>
      <c r="BN27" s="34">
        <f t="shared" si="29"/>
        <v>458.64</v>
      </c>
      <c r="BO27" s="34">
        <f t="shared" si="30"/>
        <v>0</v>
      </c>
      <c r="BP27" s="34">
        <f t="shared" si="31"/>
        <v>0</v>
      </c>
      <c r="BQ27" s="34">
        <f t="shared" si="32"/>
        <v>0</v>
      </c>
      <c r="BR27" s="34">
        <f t="shared" si="33"/>
        <v>0</v>
      </c>
      <c r="BS27" s="34">
        <f t="shared" si="34"/>
        <v>0</v>
      </c>
      <c r="BT27" s="42">
        <f t="shared" si="35"/>
        <v>0</v>
      </c>
    </row>
    <row r="28" spans="1:72">
      <c r="A28" s="9"/>
      <c r="B28" s="2950" t="s">
        <v>3242</v>
      </c>
      <c r="C28" s="33" t="s">
        <v>3237</v>
      </c>
      <c r="D28" s="2207" t="s">
        <v>3062</v>
      </c>
      <c r="E28" s="34">
        <f t="shared" si="7"/>
        <v>685.79</v>
      </c>
      <c r="F28" s="35"/>
      <c r="G28" s="36">
        <f t="shared" si="8"/>
        <v>2607.2299999999996</v>
      </c>
      <c r="H28" s="37">
        <f t="shared" si="9"/>
        <v>2039.9799999999996</v>
      </c>
      <c r="I28" s="2970">
        <f>16966.66-I13</f>
        <v>2039.9799999999996</v>
      </c>
      <c r="J28" s="38"/>
      <c r="K28" s="38"/>
      <c r="L28" s="38"/>
      <c r="M28" s="38"/>
      <c r="N28" s="38"/>
      <c r="O28" s="38"/>
      <c r="P28" s="38"/>
      <c r="Q28" s="38"/>
      <c r="R28" s="38"/>
      <c r="S28" s="38"/>
      <c r="T28" s="38"/>
      <c r="U28" s="38"/>
      <c r="V28" s="38"/>
      <c r="W28" s="38"/>
      <c r="X28" s="38"/>
      <c r="Y28" s="38"/>
      <c r="Z28" s="38"/>
      <c r="AA28" s="38"/>
      <c r="AB28" s="38"/>
      <c r="AC28" s="34">
        <f t="shared" si="10"/>
        <v>567.25</v>
      </c>
      <c r="AD28" s="39"/>
      <c r="AE28" s="39"/>
      <c r="AF28" s="43">
        <v>567.25</v>
      </c>
      <c r="AG28" s="39"/>
      <c r="AH28" s="39"/>
      <c r="AI28" s="39"/>
      <c r="AJ28" s="39"/>
      <c r="AK28" s="39"/>
      <c r="AL28" s="39"/>
      <c r="AM28" s="39"/>
      <c r="AN28" s="43"/>
      <c r="AO28" s="39"/>
      <c r="AP28" s="39"/>
      <c r="AQ28" s="39"/>
      <c r="AR28" s="39"/>
      <c r="AS28" s="39"/>
      <c r="AT28" s="40"/>
      <c r="AU28" s="2213"/>
      <c r="AV28" s="1791">
        <f t="shared" si="11"/>
        <v>0</v>
      </c>
      <c r="AW28" s="1791" t="str">
        <f t="shared" si="12"/>
        <v>测绘报告</v>
      </c>
      <c r="AX28" s="1791" t="str">
        <f t="shared" si="13"/>
        <v>6号</v>
      </c>
      <c r="AY28" s="41">
        <f t="shared" si="14"/>
        <v>685.79</v>
      </c>
      <c r="AZ28" s="34">
        <f t="shared" si="15"/>
        <v>2607.2299999999996</v>
      </c>
      <c r="BA28" s="34">
        <f t="shared" si="16"/>
        <v>2039.9799999999996</v>
      </c>
      <c r="BB28" s="34">
        <f t="shared" si="17"/>
        <v>2039.9799999999996</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567.25</v>
      </c>
      <c r="BM28" s="34">
        <f t="shared" si="28"/>
        <v>0</v>
      </c>
      <c r="BN28" s="34">
        <f t="shared" si="29"/>
        <v>567.25</v>
      </c>
      <c r="BO28" s="34">
        <f t="shared" si="30"/>
        <v>0</v>
      </c>
      <c r="BP28" s="34">
        <f t="shared" si="31"/>
        <v>0</v>
      </c>
      <c r="BQ28" s="34">
        <f t="shared" si="32"/>
        <v>0</v>
      </c>
      <c r="BR28" s="34">
        <f t="shared" si="33"/>
        <v>0</v>
      </c>
      <c r="BS28" s="34">
        <f t="shared" si="34"/>
        <v>0</v>
      </c>
      <c r="BT28" s="42">
        <f t="shared" si="35"/>
        <v>0</v>
      </c>
    </row>
    <row r="29" spans="1:72">
      <c r="A29" s="9"/>
      <c r="B29" s="2950" t="s">
        <v>3242</v>
      </c>
      <c r="C29" s="33" t="s">
        <v>3238</v>
      </c>
      <c r="D29" s="2207" t="s">
        <v>3062</v>
      </c>
      <c r="E29" s="34">
        <f t="shared" si="7"/>
        <v>171.77</v>
      </c>
      <c r="F29" s="35"/>
      <c r="G29" s="36">
        <f t="shared" si="8"/>
        <v>653.03</v>
      </c>
      <c r="H29" s="37">
        <f t="shared" si="9"/>
        <v>653.03</v>
      </c>
      <c r="I29" s="38"/>
      <c r="J29" s="38"/>
      <c r="K29" s="2972">
        <v>185.03</v>
      </c>
      <c r="L29" s="38"/>
      <c r="M29" s="38"/>
      <c r="N29" s="38"/>
      <c r="O29" s="38"/>
      <c r="P29" s="38"/>
      <c r="Q29" s="2972">
        <v>468</v>
      </c>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1">
        <f t="shared" si="11"/>
        <v>0</v>
      </c>
      <c r="AW29" s="1791" t="str">
        <f t="shared" si="12"/>
        <v>测绘报告</v>
      </c>
      <c r="AX29" s="1791" t="str">
        <f t="shared" si="13"/>
        <v>7号</v>
      </c>
      <c r="AY29" s="41">
        <f t="shared" si="14"/>
        <v>171.77</v>
      </c>
      <c r="AZ29" s="34">
        <f t="shared" si="15"/>
        <v>653.03</v>
      </c>
      <c r="BA29" s="34">
        <f t="shared" si="16"/>
        <v>653.03</v>
      </c>
      <c r="BB29" s="34">
        <f t="shared" si="17"/>
        <v>0</v>
      </c>
      <c r="BC29" s="34">
        <f t="shared" si="18"/>
        <v>185.03</v>
      </c>
      <c r="BD29" s="34">
        <f t="shared" si="19"/>
        <v>0</v>
      </c>
      <c r="BE29" s="34">
        <f t="shared" si="20"/>
        <v>0</v>
      </c>
      <c r="BF29" s="34">
        <f t="shared" si="21"/>
        <v>468</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50" t="s">
        <v>3242</v>
      </c>
      <c r="C30" s="33" t="s">
        <v>3239</v>
      </c>
      <c r="D30" s="2207" t="s">
        <v>3062</v>
      </c>
      <c r="E30" s="34">
        <f t="shared" si="7"/>
        <v>123.13</v>
      </c>
      <c r="F30" s="35"/>
      <c r="G30" s="36">
        <f t="shared" si="8"/>
        <v>468.12</v>
      </c>
      <c r="H30" s="37">
        <f t="shared" si="9"/>
        <v>468.12</v>
      </c>
      <c r="I30" s="38"/>
      <c r="J30" s="38"/>
      <c r="K30" s="38"/>
      <c r="L30" s="38"/>
      <c r="M30" s="38"/>
      <c r="N30" s="38"/>
      <c r="O30" s="38"/>
      <c r="P30" s="38"/>
      <c r="Q30" s="2970">
        <v>468.12</v>
      </c>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1">
        <f t="shared" si="11"/>
        <v>0</v>
      </c>
      <c r="AW30" s="1791" t="str">
        <f t="shared" si="12"/>
        <v>测绘报告</v>
      </c>
      <c r="AX30" s="1791" t="str">
        <f t="shared" si="13"/>
        <v>8号</v>
      </c>
      <c r="AY30" s="41">
        <f t="shared" si="14"/>
        <v>123.13</v>
      </c>
      <c r="AZ30" s="34">
        <f t="shared" si="15"/>
        <v>468.12</v>
      </c>
      <c r="BA30" s="34">
        <f t="shared" si="16"/>
        <v>468.12</v>
      </c>
      <c r="BB30" s="34">
        <f t="shared" si="17"/>
        <v>0</v>
      </c>
      <c r="BC30" s="34">
        <f t="shared" si="18"/>
        <v>0</v>
      </c>
      <c r="BD30" s="34">
        <f t="shared" si="19"/>
        <v>0</v>
      </c>
      <c r="BE30" s="34">
        <f t="shared" si="20"/>
        <v>0</v>
      </c>
      <c r="BF30" s="34">
        <f t="shared" si="21"/>
        <v>468.12</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50" t="s">
        <v>3242</v>
      </c>
      <c r="C31" s="33" t="s">
        <v>3240</v>
      </c>
      <c r="D31" s="2207" t="s">
        <v>3062</v>
      </c>
      <c r="E31" s="34">
        <f t="shared" si="7"/>
        <v>949.12</v>
      </c>
      <c r="F31" s="35"/>
      <c r="G31" s="36">
        <f t="shared" si="8"/>
        <v>3608.37</v>
      </c>
      <c r="H31" s="37">
        <f t="shared" si="9"/>
        <v>3608.37</v>
      </c>
      <c r="I31" s="2970">
        <f>6916.62-I16</f>
        <v>3146.62</v>
      </c>
      <c r="J31" s="38"/>
      <c r="K31" s="38"/>
      <c r="L31" s="38"/>
      <c r="M31" s="38"/>
      <c r="N31" s="38"/>
      <c r="O31" s="38"/>
      <c r="P31" s="38"/>
      <c r="Q31" s="2970">
        <v>461.75</v>
      </c>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1">
        <f t="shared" si="11"/>
        <v>0</v>
      </c>
      <c r="AW31" s="1791" t="str">
        <f t="shared" si="12"/>
        <v>测绘报告</v>
      </c>
      <c r="AX31" s="1791" t="str">
        <f t="shared" si="13"/>
        <v>10号</v>
      </c>
      <c r="AY31" s="41">
        <f t="shared" si="14"/>
        <v>949.12</v>
      </c>
      <c r="AZ31" s="34">
        <f t="shared" si="15"/>
        <v>3608.37</v>
      </c>
      <c r="BA31" s="34">
        <f t="shared" si="16"/>
        <v>3608.37</v>
      </c>
      <c r="BB31" s="34">
        <f t="shared" si="17"/>
        <v>3146.62</v>
      </c>
      <c r="BC31" s="34">
        <f t="shared" si="18"/>
        <v>0</v>
      </c>
      <c r="BD31" s="34">
        <f t="shared" si="19"/>
        <v>0</v>
      </c>
      <c r="BE31" s="34">
        <f t="shared" si="20"/>
        <v>0</v>
      </c>
      <c r="BF31" s="34">
        <f t="shared" si="21"/>
        <v>461.75</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2950" t="s">
        <v>3242</v>
      </c>
      <c r="C32" s="33" t="s">
        <v>3241</v>
      </c>
      <c r="D32" s="2207" t="s">
        <v>3062</v>
      </c>
      <c r="E32" s="34">
        <f t="shared" si="7"/>
        <v>105.93</v>
      </c>
      <c r="F32" s="35"/>
      <c r="G32" s="36">
        <f t="shared" si="8"/>
        <v>402.74</v>
      </c>
      <c r="H32" s="37">
        <f t="shared" si="9"/>
        <v>402.74</v>
      </c>
      <c r="I32" s="38"/>
      <c r="J32" s="38"/>
      <c r="K32" s="38"/>
      <c r="L32" s="38"/>
      <c r="M32" s="38"/>
      <c r="N32" s="38"/>
      <c r="O32" s="38"/>
      <c r="P32" s="38"/>
      <c r="Q32" s="2970">
        <v>402.74</v>
      </c>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1">
        <f t="shared" si="11"/>
        <v>0</v>
      </c>
      <c r="AW32" s="1791" t="str">
        <f t="shared" si="12"/>
        <v>测绘报告</v>
      </c>
      <c r="AX32" s="1791" t="str">
        <f t="shared" si="13"/>
        <v>11号</v>
      </c>
      <c r="AY32" s="41">
        <f t="shared" si="14"/>
        <v>105.93</v>
      </c>
      <c r="AZ32" s="34">
        <f t="shared" si="15"/>
        <v>402.74</v>
      </c>
      <c r="BA32" s="34">
        <f t="shared" si="16"/>
        <v>402.74</v>
      </c>
      <c r="BB32" s="34">
        <f t="shared" si="17"/>
        <v>0</v>
      </c>
      <c r="BC32" s="34">
        <f t="shared" si="18"/>
        <v>0</v>
      </c>
      <c r="BD32" s="34">
        <f t="shared" si="19"/>
        <v>0</v>
      </c>
      <c r="BE32" s="34">
        <f t="shared" si="20"/>
        <v>0</v>
      </c>
      <c r="BF32" s="34">
        <f t="shared" si="21"/>
        <v>402.74</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ht="42.75">
      <c r="A33" s="9"/>
      <c r="B33" s="2951" t="s">
        <v>3243</v>
      </c>
      <c r="C33" s="33" t="s">
        <v>3244</v>
      </c>
      <c r="D33" s="2207" t="s">
        <v>3062</v>
      </c>
      <c r="E33" s="34">
        <f t="shared" si="7"/>
        <v>53.35</v>
      </c>
      <c r="F33" s="35"/>
      <c r="G33" s="36">
        <f t="shared" si="8"/>
        <v>202.83</v>
      </c>
      <c r="H33" s="37">
        <f t="shared" si="9"/>
        <v>202.83</v>
      </c>
      <c r="I33" s="38"/>
      <c r="J33" s="38"/>
      <c r="K33" s="38"/>
      <c r="L33" s="38"/>
      <c r="M33" s="2970">
        <v>202.83</v>
      </c>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1">
        <f t="shared" si="11"/>
        <v>0</v>
      </c>
      <c r="AW33" s="1791" t="str">
        <f t="shared" si="12"/>
        <v>2016规（门）建字0020号</v>
      </c>
      <c r="AX33" s="1791" t="str">
        <f t="shared" si="13"/>
        <v>A号</v>
      </c>
      <c r="AY33" s="41">
        <f t="shared" si="14"/>
        <v>53.35</v>
      </c>
      <c r="AZ33" s="34">
        <f t="shared" si="15"/>
        <v>202.83</v>
      </c>
      <c r="BA33" s="34">
        <f t="shared" si="16"/>
        <v>202.83</v>
      </c>
      <c r="BB33" s="34">
        <f t="shared" si="17"/>
        <v>0</v>
      </c>
      <c r="BC33" s="34">
        <f t="shared" si="18"/>
        <v>0</v>
      </c>
      <c r="BD33" s="34">
        <f t="shared" si="19"/>
        <v>202.83</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ht="42.75">
      <c r="A34" s="9"/>
      <c r="B34" s="2951" t="s">
        <v>3245</v>
      </c>
      <c r="C34" s="2950" t="s">
        <v>3246</v>
      </c>
      <c r="D34" s="2207" t="s">
        <v>3062</v>
      </c>
      <c r="E34" s="34">
        <f t="shared" si="7"/>
        <v>8958.7800000000007</v>
      </c>
      <c r="F34" s="35"/>
      <c r="G34" s="36">
        <f t="shared" si="8"/>
        <v>34059.47</v>
      </c>
      <c r="H34" s="37">
        <f t="shared" si="9"/>
        <v>20961</v>
      </c>
      <c r="I34" s="38"/>
      <c r="J34" s="38"/>
      <c r="K34" s="38"/>
      <c r="L34" s="38"/>
      <c r="M34" s="38"/>
      <c r="N34" s="38"/>
      <c r="O34" s="2970">
        <v>20003</v>
      </c>
      <c r="P34" s="38"/>
      <c r="Q34" s="2970">
        <v>108</v>
      </c>
      <c r="R34" s="38"/>
      <c r="S34" s="2970">
        <v>850</v>
      </c>
      <c r="T34" s="38"/>
      <c r="U34" s="38"/>
      <c r="V34" s="38"/>
      <c r="W34" s="38"/>
      <c r="X34" s="38"/>
      <c r="Y34" s="38"/>
      <c r="Z34" s="38"/>
      <c r="AA34" s="38"/>
      <c r="AB34" s="38"/>
      <c r="AC34" s="34">
        <f t="shared" si="10"/>
        <v>2078.4700000000003</v>
      </c>
      <c r="AD34" s="39"/>
      <c r="AE34" s="39"/>
      <c r="AF34" s="2971">
        <f>200+30+20+8+540+30+9</f>
        <v>837</v>
      </c>
      <c r="AG34" s="39"/>
      <c r="AH34" s="39"/>
      <c r="AI34" s="39"/>
      <c r="AJ34" s="2971">
        <v>50</v>
      </c>
      <c r="AK34" s="39"/>
      <c r="AL34" s="39"/>
      <c r="AM34" s="39"/>
      <c r="AN34" s="2971">
        <v>1191.47</v>
      </c>
      <c r="AO34" s="39"/>
      <c r="AP34" s="39"/>
      <c r="AQ34" s="39"/>
      <c r="AR34" s="39"/>
      <c r="AS34" s="39"/>
      <c r="AT34" s="2973">
        <f>120+10900</f>
        <v>11020</v>
      </c>
      <c r="AU34" s="2213"/>
      <c r="AV34" s="1791">
        <f t="shared" si="11"/>
        <v>0</v>
      </c>
      <c r="AW34" s="1791" t="str">
        <f t="shared" si="12"/>
        <v>2016规（门）建字0020号</v>
      </c>
      <c r="AX34" s="1791" t="str">
        <f t="shared" si="13"/>
        <v>地下车库</v>
      </c>
      <c r="AY34" s="41">
        <f t="shared" si="14"/>
        <v>6060.15</v>
      </c>
      <c r="AZ34" s="34">
        <f t="shared" si="15"/>
        <v>23039.47</v>
      </c>
      <c r="BA34" s="34">
        <f t="shared" si="16"/>
        <v>20961</v>
      </c>
      <c r="BB34" s="34">
        <f t="shared" si="17"/>
        <v>0</v>
      </c>
      <c r="BC34" s="34">
        <f t="shared" si="18"/>
        <v>0</v>
      </c>
      <c r="BD34" s="34">
        <f t="shared" si="19"/>
        <v>0</v>
      </c>
      <c r="BE34" s="34">
        <f t="shared" si="20"/>
        <v>20003</v>
      </c>
      <c r="BF34" s="34">
        <f t="shared" si="21"/>
        <v>108</v>
      </c>
      <c r="BG34" s="34">
        <f t="shared" si="22"/>
        <v>850</v>
      </c>
      <c r="BH34" s="34">
        <f t="shared" si="23"/>
        <v>0</v>
      </c>
      <c r="BI34" s="34">
        <f t="shared" si="24"/>
        <v>0</v>
      </c>
      <c r="BJ34" s="34">
        <f t="shared" si="25"/>
        <v>0</v>
      </c>
      <c r="BK34" s="34">
        <f t="shared" si="26"/>
        <v>0</v>
      </c>
      <c r="BL34" s="34">
        <f t="shared" si="27"/>
        <v>2078.4700000000003</v>
      </c>
      <c r="BM34" s="34">
        <f t="shared" si="28"/>
        <v>0</v>
      </c>
      <c r="BN34" s="34">
        <f t="shared" si="29"/>
        <v>837</v>
      </c>
      <c r="BO34" s="34">
        <f t="shared" si="30"/>
        <v>0</v>
      </c>
      <c r="BP34" s="34">
        <f t="shared" si="31"/>
        <v>50</v>
      </c>
      <c r="BQ34" s="34">
        <f t="shared" si="32"/>
        <v>0</v>
      </c>
      <c r="BR34" s="34">
        <f t="shared" si="33"/>
        <v>1191.47</v>
      </c>
      <c r="BS34" s="34">
        <f t="shared" si="34"/>
        <v>0</v>
      </c>
      <c r="BT34" s="42">
        <f t="shared" si="35"/>
        <v>0</v>
      </c>
    </row>
    <row r="35" spans="1:72" ht="42.75">
      <c r="A35" s="9"/>
      <c r="B35" s="2951" t="s">
        <v>3249</v>
      </c>
      <c r="C35" s="33" t="s">
        <v>3248</v>
      </c>
      <c r="D35" s="2207" t="s">
        <v>3062</v>
      </c>
      <c r="E35" s="34">
        <f t="shared" si="7"/>
        <v>1452.69</v>
      </c>
      <c r="F35" s="35"/>
      <c r="G35" s="36">
        <f t="shared" si="8"/>
        <v>5522.85</v>
      </c>
      <c r="H35" s="37">
        <f t="shared" si="9"/>
        <v>5223.21</v>
      </c>
      <c r="I35" s="2970">
        <v>4875.37</v>
      </c>
      <c r="J35" s="38"/>
      <c r="K35" s="38"/>
      <c r="L35" s="38"/>
      <c r="M35" s="38"/>
      <c r="N35" s="38"/>
      <c r="O35" s="38"/>
      <c r="P35" s="38"/>
      <c r="Q35" s="2970">
        <v>347.84</v>
      </c>
      <c r="R35" s="38"/>
      <c r="S35" s="38"/>
      <c r="T35" s="38"/>
      <c r="U35" s="38"/>
      <c r="V35" s="38"/>
      <c r="W35" s="38"/>
      <c r="X35" s="38"/>
      <c r="Y35" s="38"/>
      <c r="Z35" s="38"/>
      <c r="AA35" s="38"/>
      <c r="AB35" s="38"/>
      <c r="AC35" s="34">
        <f t="shared" si="10"/>
        <v>299.64</v>
      </c>
      <c r="AD35" s="39"/>
      <c r="AE35" s="39"/>
      <c r="AF35" s="39"/>
      <c r="AG35" s="39"/>
      <c r="AH35" s="39"/>
      <c r="AI35" s="39"/>
      <c r="AJ35" s="39"/>
      <c r="AK35" s="39"/>
      <c r="AL35" s="39"/>
      <c r="AM35" s="39"/>
      <c r="AN35" s="2971">
        <v>299.64</v>
      </c>
      <c r="AO35" s="39"/>
      <c r="AP35" s="39"/>
      <c r="AQ35" s="39"/>
      <c r="AR35" s="39"/>
      <c r="AS35" s="39"/>
      <c r="AT35" s="40"/>
      <c r="AU35" s="2213"/>
      <c r="AV35" s="1791">
        <f t="shared" si="11"/>
        <v>0</v>
      </c>
      <c r="AW35" s="1791" t="str">
        <f t="shared" si="12"/>
        <v>2017规（门）建字0026号</v>
      </c>
      <c r="AX35" s="1791" t="str">
        <f t="shared" si="13"/>
        <v>9号楼</v>
      </c>
      <c r="AY35" s="41">
        <f t="shared" si="14"/>
        <v>1452.69</v>
      </c>
      <c r="AZ35" s="34">
        <f t="shared" si="15"/>
        <v>5522.85</v>
      </c>
      <c r="BA35" s="34">
        <f t="shared" si="16"/>
        <v>5223.21</v>
      </c>
      <c r="BB35" s="34">
        <f t="shared" si="17"/>
        <v>4875.37</v>
      </c>
      <c r="BC35" s="34">
        <f t="shared" si="18"/>
        <v>0</v>
      </c>
      <c r="BD35" s="34">
        <f t="shared" si="19"/>
        <v>0</v>
      </c>
      <c r="BE35" s="34">
        <f t="shared" si="20"/>
        <v>0</v>
      </c>
      <c r="BF35" s="34">
        <f t="shared" si="21"/>
        <v>347.84</v>
      </c>
      <c r="BG35" s="34">
        <f t="shared" si="22"/>
        <v>0</v>
      </c>
      <c r="BH35" s="34">
        <f t="shared" si="23"/>
        <v>0</v>
      </c>
      <c r="BI35" s="34">
        <f t="shared" si="24"/>
        <v>0</v>
      </c>
      <c r="BJ35" s="34">
        <f t="shared" si="25"/>
        <v>0</v>
      </c>
      <c r="BK35" s="34">
        <f t="shared" si="26"/>
        <v>0</v>
      </c>
      <c r="BL35" s="34">
        <f t="shared" si="27"/>
        <v>299.64</v>
      </c>
      <c r="BM35" s="34">
        <f t="shared" si="28"/>
        <v>0</v>
      </c>
      <c r="BN35" s="34">
        <f t="shared" si="29"/>
        <v>0</v>
      </c>
      <c r="BO35" s="34">
        <f t="shared" si="30"/>
        <v>0</v>
      </c>
      <c r="BP35" s="34">
        <f t="shared" si="31"/>
        <v>0</v>
      </c>
      <c r="BQ35" s="34">
        <f t="shared" si="32"/>
        <v>0</v>
      </c>
      <c r="BR35" s="34">
        <f t="shared" si="33"/>
        <v>299.64</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J25" sqref="J25"/>
    </sheetView>
  </sheetViews>
  <sheetFormatPr defaultRowHeight="13.5"/>
  <cols>
    <col min="5" max="5" width="11.625" bestFit="1" customWidth="1"/>
  </cols>
  <sheetData>
    <row r="1" spans="1:6">
      <c r="A1" s="2935" t="s">
        <v>3137</v>
      </c>
      <c r="B1" s="2935" t="s">
        <v>3143</v>
      </c>
      <c r="C1" s="2935" t="s">
        <v>3147</v>
      </c>
      <c r="D1" s="2935" t="s">
        <v>3148</v>
      </c>
      <c r="E1" s="2935" t="s">
        <v>3149</v>
      </c>
      <c r="F1" s="2935" t="s">
        <v>3150</v>
      </c>
    </row>
    <row r="2" spans="1:6">
      <c r="A2" s="2935" t="s">
        <v>3138</v>
      </c>
      <c r="B2" s="2935" t="s">
        <v>3144</v>
      </c>
      <c r="C2">
        <v>25</v>
      </c>
      <c r="D2" s="2936">
        <v>0.45</v>
      </c>
      <c r="E2" s="2208">
        <f>'数据-基础表'!G13+'数据-基础表'!G28</f>
        <v>17533.91</v>
      </c>
    </row>
    <row r="3" spans="1:6">
      <c r="A3" s="2935" t="s">
        <v>3139</v>
      </c>
      <c r="B3" s="2935" t="s">
        <v>3145</v>
      </c>
      <c r="C3">
        <v>9</v>
      </c>
      <c r="D3" s="2936">
        <v>0.5</v>
      </c>
      <c r="E3" s="2208">
        <f>'数据-基础表'!G14+'数据-基础表'!G29</f>
        <v>7063.55</v>
      </c>
    </row>
    <row r="4" spans="1:6">
      <c r="A4" s="2935" t="s">
        <v>3140</v>
      </c>
      <c r="B4" s="2935" t="s">
        <v>3145</v>
      </c>
      <c r="C4">
        <v>9</v>
      </c>
      <c r="D4" s="2936">
        <f>D3</f>
        <v>0.5</v>
      </c>
      <c r="E4" s="2208">
        <f>'数据-基础表'!G15+'数据-基础表'!G30</f>
        <v>7063.96</v>
      </c>
    </row>
    <row r="5" spans="1:6">
      <c r="A5" s="2935" t="s">
        <v>3141</v>
      </c>
      <c r="B5" s="2935" t="s">
        <v>3146</v>
      </c>
      <c r="C5">
        <v>11</v>
      </c>
      <c r="D5" s="2936">
        <v>0.35</v>
      </c>
      <c r="E5" s="2208">
        <f>'数据-基础表'!G16+'数据-基础表'!G31</f>
        <v>7378.37</v>
      </c>
    </row>
    <row r="6" spans="1:6">
      <c r="A6" s="2935" t="s">
        <v>3142</v>
      </c>
      <c r="B6" s="2935" t="s">
        <v>3145</v>
      </c>
      <c r="C6">
        <v>8</v>
      </c>
      <c r="D6" s="2936">
        <f>D3</f>
        <v>0.5</v>
      </c>
      <c r="E6" s="2208">
        <f>'数据-基础表'!G32+'数据-基础表'!G17</f>
        <v>5151.6899999999996</v>
      </c>
    </row>
    <row r="8" spans="1:6">
      <c r="A8" s="2935" t="s">
        <v>3228</v>
      </c>
      <c r="B8" s="2935" t="s">
        <v>3145</v>
      </c>
      <c r="C8" s="2935">
        <v>24</v>
      </c>
      <c r="D8" s="2936">
        <f>$D$3</f>
        <v>0.5</v>
      </c>
      <c r="E8">
        <f>'数据-基础表'!G23</f>
        <v>10895.93</v>
      </c>
    </row>
    <row r="9" spans="1:6">
      <c r="A9" s="2935" t="s">
        <v>3230</v>
      </c>
      <c r="B9" s="2935" t="s">
        <v>3145</v>
      </c>
      <c r="C9" s="2935">
        <v>26</v>
      </c>
      <c r="D9" s="2936">
        <f t="shared" ref="D9:D15" si="0">$D$3</f>
        <v>0.5</v>
      </c>
      <c r="E9">
        <f>'数据-基础表'!G24</f>
        <v>23475.74</v>
      </c>
    </row>
    <row r="10" spans="1:6">
      <c r="A10" s="2935" t="s">
        <v>3232</v>
      </c>
      <c r="B10" s="2935" t="s">
        <v>3145</v>
      </c>
      <c r="C10" s="2935">
        <v>24</v>
      </c>
      <c r="D10" s="2936">
        <f t="shared" si="0"/>
        <v>0.5</v>
      </c>
      <c r="E10">
        <f>'数据-基础表'!G25</f>
        <v>10018.540000000001</v>
      </c>
    </row>
    <row r="11" spans="1:6">
      <c r="A11" s="2935" t="s">
        <v>3234</v>
      </c>
      <c r="B11" s="2935" t="s">
        <v>3145</v>
      </c>
      <c r="C11" s="2935">
        <v>16</v>
      </c>
      <c r="D11" s="2936">
        <f t="shared" si="0"/>
        <v>0.5</v>
      </c>
      <c r="E11">
        <f>'数据-基础表'!G26</f>
        <v>9525.4600000000009</v>
      </c>
    </row>
    <row r="12" spans="1:6">
      <c r="A12" s="2935" t="s">
        <v>3236</v>
      </c>
      <c r="B12" s="2935" t="s">
        <v>3145</v>
      </c>
      <c r="C12" s="2935">
        <v>16</v>
      </c>
      <c r="D12" s="2936">
        <f t="shared" si="0"/>
        <v>0.5</v>
      </c>
      <c r="E12">
        <f>'数据-基础表'!G27</f>
        <v>9536.52</v>
      </c>
    </row>
    <row r="13" spans="1:6">
      <c r="A13" s="2935" t="s">
        <v>3247</v>
      </c>
      <c r="B13" s="2935" t="s">
        <v>3145</v>
      </c>
      <c r="C13" s="2935">
        <v>0</v>
      </c>
      <c r="D13" s="2936">
        <v>0</v>
      </c>
      <c r="E13">
        <f>'数据-基础表'!G35</f>
        <v>5522.85</v>
      </c>
    </row>
    <row r="14" spans="1:6">
      <c r="A14" s="2935" t="s">
        <v>3251</v>
      </c>
      <c r="B14" s="2935" t="s">
        <v>3145</v>
      </c>
      <c r="D14" s="2936">
        <f t="shared" si="0"/>
        <v>0.5</v>
      </c>
      <c r="E14">
        <f>'数据-基础表'!G33</f>
        <v>202.83</v>
      </c>
    </row>
    <row r="15" spans="1:6">
      <c r="A15" s="2935" t="s">
        <v>3252</v>
      </c>
      <c r="B15" s="2935" t="s">
        <v>3145</v>
      </c>
      <c r="D15" s="2936">
        <f t="shared" si="0"/>
        <v>0.5</v>
      </c>
      <c r="E15">
        <f>'数据-基础表'!G34-'数据-基础表'!AT34</f>
        <v>23039.47</v>
      </c>
    </row>
    <row r="17" spans="4:6">
      <c r="E17" s="2968">
        <f>SUM(E2:E15)</f>
        <v>136408.82</v>
      </c>
      <c r="F17">
        <f>ROUND((E2*D2+E3*D3+E4*D4+E5*D5+E6*D6+E8*D8+E9*D9+E10*D10+E11*D11+E12*D12+E13*D13+E14*D14+E15*D15)/E17,2)</f>
        <v>0.47</v>
      </c>
    </row>
    <row r="19" spans="4:6">
      <c r="D19" s="2935" t="s">
        <v>3291</v>
      </c>
      <c r="E19" s="2968">
        <f>E17-E13</f>
        <v>130885.97</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8" sqref="F28:G2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1939</v>
      </c>
      <c r="B1" s="1387"/>
      <c r="C1" s="1387"/>
      <c r="D1" s="1387"/>
      <c r="E1" s="1387"/>
      <c r="F1" s="1387"/>
      <c r="G1" s="1387"/>
      <c r="H1" s="1387"/>
      <c r="I1" s="1387"/>
      <c r="J1" s="1387"/>
      <c r="K1" s="1387"/>
      <c r="L1" s="1387"/>
      <c r="M1" s="1387"/>
      <c r="N1" s="1387"/>
      <c r="O1" s="1387"/>
      <c r="P1" s="1387"/>
    </row>
    <row r="2" spans="1:16" ht="15">
      <c r="A2" s="3062" t="s">
        <v>1940</v>
      </c>
      <c r="B2" s="3062"/>
      <c r="C2" s="3062"/>
      <c r="D2" s="962" t="s">
        <v>1916</v>
      </c>
      <c r="E2" s="2221" t="s">
        <v>1917</v>
      </c>
      <c r="F2" s="1387"/>
      <c r="G2" s="2222"/>
      <c r="H2" s="2223"/>
      <c r="I2" s="2224" t="s">
        <v>1941</v>
      </c>
      <c r="J2" s="1387"/>
      <c r="K2" s="1387"/>
      <c r="L2" s="1387"/>
      <c r="M2" s="1387"/>
      <c r="N2" s="1422"/>
      <c r="O2" s="1387"/>
      <c r="P2" s="1387"/>
    </row>
    <row r="3" spans="1:16" ht="15.75" thickBot="1">
      <c r="A3" s="3063" t="s">
        <v>1914</v>
      </c>
      <c r="B3" s="3063"/>
      <c r="C3" s="3063"/>
      <c r="D3" s="45">
        <f>'数据-基础表'!AY6</f>
        <v>35880.089999999997</v>
      </c>
      <c r="E3" s="45">
        <f>'数据-基础表'!AZ5</f>
        <v>136408.82</v>
      </c>
      <c r="F3" s="1387"/>
      <c r="G3" s="1394"/>
      <c r="H3" s="1242" t="s">
        <v>1915</v>
      </c>
      <c r="I3" s="54">
        <f>ROUND('数据-基础表'!B3/'数据-基础表'!A3,2)</f>
        <v>3.8</v>
      </c>
      <c r="J3" s="1387"/>
      <c r="K3" s="1387"/>
      <c r="L3" s="1387"/>
      <c r="M3" s="1387"/>
      <c r="N3" s="1422"/>
      <c r="O3" s="1387"/>
      <c r="P3" s="1387"/>
    </row>
    <row r="4" spans="1:16" ht="15">
      <c r="A4" s="3064"/>
      <c r="B4" s="3065"/>
      <c r="C4" s="3066"/>
      <c r="D4" s="2225" t="s">
        <v>1916</v>
      </c>
      <c r="E4" s="2226" t="s">
        <v>1917</v>
      </c>
      <c r="F4" s="1387"/>
      <c r="G4" s="2227" t="s">
        <v>1942</v>
      </c>
      <c r="H4" s="1242" t="s">
        <v>1922</v>
      </c>
      <c r="I4" s="54">
        <f>ROUND(SUMIF('数据-基础表'!I9:AS9,"地上",'数据-基础表'!I5:AS5)/'数据-基础表'!A3,2)</f>
        <v>2.79</v>
      </c>
      <c r="J4" s="1387"/>
      <c r="K4" s="1387"/>
      <c r="L4" s="1387"/>
      <c r="M4" s="1387"/>
      <c r="N4" s="1422"/>
      <c r="O4" s="1387"/>
      <c r="P4" s="1387"/>
    </row>
    <row r="5" spans="1:16">
      <c r="A5" s="46" t="s">
        <v>1918</v>
      </c>
      <c r="B5" s="3067" t="s">
        <v>1919</v>
      </c>
      <c r="C5" s="3067"/>
      <c r="D5" s="47">
        <f>ROUND($D$3*E5/$E$3,2)</f>
        <v>27238.55</v>
      </c>
      <c r="E5" s="48">
        <f>SUMIF('数据-基础表'!$11:$11,"住宅",'数据-基础表'!$5:$5)</f>
        <v>103555.41999999998</v>
      </c>
      <c r="F5" s="1387"/>
      <c r="G5" s="1394"/>
      <c r="H5" s="1242" t="s">
        <v>1915</v>
      </c>
      <c r="I5" s="54">
        <f>ROUND(E31/D31,2)</f>
        <v>3.8</v>
      </c>
      <c r="J5" s="1387"/>
      <c r="K5" s="1387"/>
      <c r="L5" s="1387"/>
      <c r="M5" s="1387"/>
      <c r="N5" s="1387"/>
      <c r="O5" s="1387"/>
      <c r="P5" s="1387"/>
    </row>
    <row r="6" spans="1:16" ht="15" thickBot="1">
      <c r="A6" s="2228"/>
      <c r="B6" s="3067" t="s">
        <v>1920</v>
      </c>
      <c r="C6" s="3067"/>
      <c r="D6" s="47">
        <f>ROUND($D$3*E6/$E$3,2)</f>
        <v>8641.5400000000009</v>
      </c>
      <c r="E6" s="48">
        <f>E3-E5</f>
        <v>32853.400000000023</v>
      </c>
      <c r="F6" s="1387"/>
      <c r="G6" s="2229" t="s">
        <v>1921</v>
      </c>
      <c r="H6" s="1394" t="s">
        <v>1922</v>
      </c>
      <c r="I6" s="934">
        <f>ROUND(F31/D31,2)</f>
        <v>3.02</v>
      </c>
      <c r="J6" s="1387"/>
      <c r="K6" s="1387"/>
      <c r="L6" s="1387"/>
      <c r="M6" s="1387"/>
      <c r="N6" s="1387"/>
      <c r="O6" s="1387"/>
      <c r="P6" s="1387"/>
    </row>
    <row r="7" spans="1:16" ht="15">
      <c r="A7" s="3059"/>
      <c r="B7" s="3060"/>
      <c r="C7" s="3061"/>
      <c r="D7" s="2225" t="s">
        <v>1916</v>
      </c>
      <c r="E7" s="2230" t="s">
        <v>1923</v>
      </c>
      <c r="F7" s="1387"/>
      <c r="G7" s="2222" t="s">
        <v>1924</v>
      </c>
      <c r="H7" s="63"/>
      <c r="I7" s="418"/>
      <c r="J7" s="1387"/>
      <c r="K7" s="1387"/>
      <c r="L7" s="1387"/>
      <c r="M7" s="1387"/>
      <c r="N7" s="1387"/>
      <c r="O7" s="1387"/>
      <c r="P7" s="1387"/>
    </row>
    <row r="8" spans="1:16">
      <c r="A8" s="46" t="s">
        <v>1925</v>
      </c>
      <c r="B8" s="49" t="s">
        <v>1926</v>
      </c>
      <c r="C8" s="47" t="s">
        <v>1927</v>
      </c>
      <c r="D8" s="47">
        <f t="shared" ref="D8:D15" si="0">ROUND($D$3*E8/$E$3,2)</f>
        <v>27950.57</v>
      </c>
      <c r="E8" s="50">
        <f>SUMIF('数据-基础表'!BB10:BK10,"地上",'数据-基础表'!BB5:BK5)</f>
        <v>106262.38999999998</v>
      </c>
      <c r="F8" s="1387"/>
      <c r="G8" s="2231"/>
      <c r="H8" s="2231"/>
      <c r="I8" s="1387"/>
      <c r="J8" s="1387"/>
      <c r="K8" s="1387"/>
      <c r="L8" s="1387"/>
      <c r="M8" s="1387"/>
      <c r="N8" s="1387"/>
      <c r="O8" s="1387"/>
      <c r="P8" s="1387"/>
    </row>
    <row r="9" spans="1:16">
      <c r="A9" s="2232"/>
      <c r="B9" s="2233"/>
      <c r="C9" s="47" t="s">
        <v>1928</v>
      </c>
      <c r="D9" s="47">
        <f t="shared" si="0"/>
        <v>0</v>
      </c>
      <c r="E9" s="51">
        <v>0</v>
      </c>
      <c r="F9" s="1387"/>
      <c r="G9" s="2231"/>
      <c r="H9" s="2231"/>
      <c r="I9" s="1387"/>
      <c r="J9" s="1387"/>
      <c r="K9" s="1387"/>
      <c r="L9" s="1387"/>
      <c r="M9" s="1387"/>
      <c r="N9" s="1387"/>
      <c r="O9" s="1387"/>
      <c r="P9" s="1387"/>
    </row>
    <row r="10" spans="1:16">
      <c r="A10" s="2232"/>
      <c r="B10" s="2233"/>
      <c r="C10" s="47" t="s">
        <v>1937</v>
      </c>
      <c r="D10" s="47">
        <f t="shared" si="0"/>
        <v>223.58</v>
      </c>
      <c r="E10" s="50">
        <f>SUMPRODUCT(('数据-基础表'!BB10:BK10="地下")*('数据-基础表'!BB11:BK11="商业")*('数据-基础表'!BB5:BK5))</f>
        <v>850</v>
      </c>
      <c r="F10" s="1387"/>
      <c r="G10" s="2231"/>
      <c r="H10" s="2231"/>
      <c r="I10" s="1387"/>
      <c r="J10" s="1387"/>
      <c r="K10" s="1387"/>
      <c r="L10" s="1387"/>
      <c r="M10" s="1387"/>
      <c r="N10" s="1387"/>
      <c r="O10" s="1387"/>
      <c r="P10" s="1387"/>
    </row>
    <row r="11" spans="1:16">
      <c r="A11" s="2232"/>
      <c r="B11" s="2233"/>
      <c r="C11" s="47" t="s">
        <v>1929</v>
      </c>
      <c r="D11" s="47">
        <f t="shared" si="0"/>
        <v>13.15</v>
      </c>
      <c r="E11" s="50">
        <f>SUMPRODUCT(('数据-基础表'!BB10:BK10="地下")*('数据-基础表'!BB11:BK11="办公")*('数据-基础表'!BB5:BK5))+'数据-基础表'!BP5</f>
        <v>50</v>
      </c>
      <c r="F11" s="1387"/>
      <c r="G11" s="2231"/>
      <c r="H11" s="2231"/>
      <c r="I11" s="1387"/>
      <c r="J11" s="1387"/>
      <c r="K11" s="1387"/>
      <c r="L11" s="1387"/>
      <c r="M11" s="1387"/>
      <c r="N11" s="1387"/>
      <c r="O11" s="1387"/>
      <c r="P11" s="1387"/>
    </row>
    <row r="12" spans="1:16">
      <c r="A12" s="2232"/>
      <c r="B12" s="2233"/>
      <c r="C12" s="47" t="s">
        <v>1930</v>
      </c>
      <c r="D12" s="47">
        <f t="shared" si="0"/>
        <v>593.52</v>
      </c>
      <c r="E12" s="50">
        <f>SUMPRODUCT(('数据-基础表'!BB10:BK10="地下")*('数据-基础表'!BB11:BK11="仓储")*('数据-基础表'!BB5:BK5))</f>
        <v>2256.4499999999998</v>
      </c>
      <c r="F12" s="1387"/>
      <c r="G12" s="2231"/>
      <c r="H12" s="2231"/>
      <c r="I12" s="1387"/>
      <c r="J12" s="1387"/>
      <c r="K12" s="1387"/>
      <c r="L12" s="1387"/>
      <c r="M12" s="1387"/>
      <c r="N12" s="1387"/>
      <c r="O12" s="1387"/>
      <c r="P12" s="1387"/>
    </row>
    <row r="13" spans="1:16">
      <c r="A13" s="2232"/>
      <c r="B13" s="2233"/>
      <c r="C13" s="47" t="s">
        <v>1931</v>
      </c>
      <c r="D13" s="47">
        <f t="shared" si="0"/>
        <v>5261.46</v>
      </c>
      <c r="E13" s="50">
        <f>SUMPRODUCT(('数据-基础表'!BB10:BK10="地下")*('数据-基础表'!BB11:BK11="车库")*('数据-基础表'!BB5:BK5))</f>
        <v>20003</v>
      </c>
      <c r="F13" s="1387"/>
      <c r="G13" s="2231"/>
      <c r="H13" s="2231"/>
      <c r="I13" s="1387"/>
      <c r="J13" s="1387"/>
      <c r="K13" s="1387"/>
      <c r="L13" s="1387"/>
      <c r="M13" s="1387"/>
      <c r="N13" s="1387"/>
      <c r="O13" s="1387"/>
      <c r="P13" s="1387"/>
    </row>
    <row r="14" spans="1:16">
      <c r="A14" s="2232"/>
      <c r="B14" s="2233"/>
      <c r="C14" s="47" t="s">
        <v>1943</v>
      </c>
      <c r="D14" s="47">
        <f t="shared" si="0"/>
        <v>0</v>
      </c>
      <c r="E14" s="50">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7" t="s">
        <v>1938</v>
      </c>
      <c r="D15" s="47">
        <f t="shared" si="0"/>
        <v>0</v>
      </c>
      <c r="E15" s="50">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49" t="s">
        <v>1932</v>
      </c>
      <c r="D16" s="49">
        <f>SUM(D8:D15)</f>
        <v>34042.280000000006</v>
      </c>
      <c r="E16" s="52">
        <f>SUM(E8:E15)</f>
        <v>129421.83999999998</v>
      </c>
      <c r="F16" s="1387"/>
      <c r="G16" s="2231"/>
      <c r="H16" s="2234" t="s">
        <v>1944</v>
      </c>
      <c r="I16" s="2235"/>
      <c r="J16" s="1387"/>
      <c r="K16" s="3056" t="s">
        <v>1944</v>
      </c>
      <c r="L16" s="3057"/>
      <c r="M16" s="3057"/>
      <c r="N16" s="3057"/>
      <c r="O16" s="3057"/>
      <c r="P16" s="3058"/>
    </row>
    <row r="17" spans="1:19" ht="15">
      <c r="A17" s="2236" t="s">
        <v>1945</v>
      </c>
      <c r="B17" s="2237" t="s">
        <v>1946</v>
      </c>
      <c r="C17" s="2238" t="s">
        <v>1947</v>
      </c>
      <c r="D17" s="2239" t="s">
        <v>1935</v>
      </c>
      <c r="E17" s="2240" t="s">
        <v>1936</v>
      </c>
      <c r="F17" s="2241"/>
      <c r="G17" s="2242"/>
      <c r="H17" s="2243" t="s">
        <v>1948</v>
      </c>
      <c r="I17" s="2244" t="s">
        <v>1933</v>
      </c>
      <c r="J17" s="1387"/>
      <c r="K17" s="3053" t="s">
        <v>1949</v>
      </c>
      <c r="L17" s="3054"/>
      <c r="M17" s="3055"/>
      <c r="N17" s="3053" t="s">
        <v>1950</v>
      </c>
      <c r="O17" s="3054"/>
      <c r="P17" s="3055"/>
      <c r="R17" s="2222" t="s">
        <v>1951</v>
      </c>
      <c r="S17" s="63"/>
    </row>
    <row r="18" spans="1:19" ht="15">
      <c r="A18" s="2232"/>
      <c r="B18" s="2245"/>
      <c r="C18" s="2246"/>
      <c r="D18" s="2247"/>
      <c r="E18" s="2248" t="s">
        <v>1952</v>
      </c>
      <c r="F18" s="2249" t="s">
        <v>1953</v>
      </c>
      <c r="G18" s="2250" t="s">
        <v>1954</v>
      </c>
      <c r="H18" s="1257" t="s">
        <v>1955</v>
      </c>
      <c r="I18" s="2251" t="s">
        <v>1956</v>
      </c>
      <c r="J18" s="1387"/>
      <c r="K18" s="1257" t="s">
        <v>1957</v>
      </c>
      <c r="L18" s="2252" t="s">
        <v>1958</v>
      </c>
      <c r="M18" s="1041" t="s">
        <v>1959</v>
      </c>
      <c r="N18" s="1257" t="s">
        <v>1957</v>
      </c>
      <c r="O18" s="2252" t="s">
        <v>1958</v>
      </c>
      <c r="P18" s="1041" t="s">
        <v>1959</v>
      </c>
      <c r="R18" s="1242" t="s">
        <v>1960</v>
      </c>
      <c r="S18" s="1242" t="s">
        <v>1961</v>
      </c>
    </row>
    <row r="19" spans="1:19">
      <c r="A19" s="2253"/>
      <c r="B19" s="49" t="s">
        <v>1934</v>
      </c>
      <c r="C19" s="2923" t="s">
        <v>3071</v>
      </c>
      <c r="D19" s="47">
        <f>ROUND($D$3*E19/$E$3,2)</f>
        <v>27238.55</v>
      </c>
      <c r="E19" s="55">
        <f t="shared" ref="E19:E26" si="1">SUM(F19:G19)</f>
        <v>103555.41999999998</v>
      </c>
      <c r="F19" s="56">
        <f>'数据-基础表'!I5</f>
        <v>103555.41999999998</v>
      </c>
      <c r="G19" s="57"/>
      <c r="H19" s="721">
        <f>ROUND($D$3*I19/$E$3,2)</f>
        <v>1772.7</v>
      </c>
      <c r="I19" s="50">
        <f t="shared" ref="I19:I26" si="2">IF($I$17="自定义",P19,M19)</f>
        <v>6739.43</v>
      </c>
      <c r="J19" s="1387"/>
      <c r="K19" s="1386">
        <f t="shared" ref="K19:K26" si="3">ROUND(E$28*E19/E$27,2)</f>
        <v>1193.56</v>
      </c>
      <c r="L19" s="1242">
        <f t="shared" ref="L19:L26" si="4">ROUND(IF(COUNTIF(C19,"*住宅*")&gt;0,E$29*E19/E$32,0),2)</f>
        <v>5545.87</v>
      </c>
      <c r="M19" s="1398">
        <f>K19+L19</f>
        <v>6739.43</v>
      </c>
      <c r="N19" s="2254"/>
      <c r="O19" s="2255"/>
      <c r="P19" s="1398">
        <f>N19+O19</f>
        <v>0</v>
      </c>
      <c r="R19" s="1242">
        <f t="shared" ref="R19:S26" si="5">D19+H19</f>
        <v>29011.25</v>
      </c>
      <c r="S19" s="1243">
        <f t="shared" si="5"/>
        <v>110294.84999999998</v>
      </c>
    </row>
    <row r="20" spans="1:19">
      <c r="A20" s="2256"/>
      <c r="B20" s="49" t="s">
        <v>1962</v>
      </c>
      <c r="C20" s="2962" t="s">
        <v>183</v>
      </c>
      <c r="D20" s="47">
        <f t="shared" ref="D20:D26" si="6">ROUND($D$3*E20/$E$3,2)</f>
        <v>526.21</v>
      </c>
      <c r="E20" s="55">
        <f t="shared" si="1"/>
        <v>2000.56</v>
      </c>
      <c r="F20" s="56">
        <f>'数据-基础表'!M5</f>
        <v>1150.56</v>
      </c>
      <c r="G20" s="57">
        <f>'数据-基础表'!S5</f>
        <v>850</v>
      </c>
      <c r="H20" s="721">
        <f t="shared" ref="H20:H26" si="7">ROUND($D$3*I20/$E$3,2)</f>
        <v>6.07</v>
      </c>
      <c r="I20" s="50">
        <f t="shared" si="2"/>
        <v>23.06</v>
      </c>
      <c r="J20" s="1387"/>
      <c r="K20" s="1386">
        <f t="shared" si="3"/>
        <v>23.06</v>
      </c>
      <c r="L20" s="1242">
        <f t="shared" si="4"/>
        <v>0</v>
      </c>
      <c r="M20" s="1398">
        <f t="shared" ref="M20:M26" si="8">K20+L20</f>
        <v>23.06</v>
      </c>
      <c r="N20" s="2254"/>
      <c r="O20" s="2255"/>
      <c r="P20" s="1398">
        <f t="shared" ref="P20:P26" si="9">N20+O20</f>
        <v>0</v>
      </c>
      <c r="R20" s="1242">
        <f t="shared" si="5"/>
        <v>532.28000000000009</v>
      </c>
      <c r="S20" s="1243">
        <f t="shared" si="5"/>
        <v>2023.62</v>
      </c>
    </row>
    <row r="21" spans="1:19">
      <c r="A21" s="2256"/>
      <c r="B21" s="49" t="s">
        <v>1962</v>
      </c>
      <c r="C21" s="2962" t="s">
        <v>3250</v>
      </c>
      <c r="D21" s="47">
        <f t="shared" si="6"/>
        <v>1002.91</v>
      </c>
      <c r="E21" s="55">
        <f t="shared" si="1"/>
        <v>3812.8599999999997</v>
      </c>
      <c r="F21" s="56">
        <f>'数据-基础表'!K5</f>
        <v>1556.41</v>
      </c>
      <c r="G21" s="57">
        <f>'数据-基础表'!Q5</f>
        <v>2256.4499999999998</v>
      </c>
      <c r="H21" s="721">
        <f t="shared" si="7"/>
        <v>11.56</v>
      </c>
      <c r="I21" s="50">
        <f t="shared" si="2"/>
        <v>43.95</v>
      </c>
      <c r="J21" s="1387"/>
      <c r="K21" s="1386">
        <f t="shared" si="3"/>
        <v>43.95</v>
      </c>
      <c r="L21" s="1242">
        <f t="shared" si="4"/>
        <v>0</v>
      </c>
      <c r="M21" s="1398">
        <f t="shared" si="8"/>
        <v>43.95</v>
      </c>
      <c r="N21" s="2254"/>
      <c r="O21" s="2255"/>
      <c r="P21" s="1398">
        <f t="shared" si="9"/>
        <v>0</v>
      </c>
      <c r="R21" s="1242">
        <f t="shared" si="5"/>
        <v>1014.4699999999999</v>
      </c>
      <c r="S21" s="1243">
        <f t="shared" si="5"/>
        <v>3856.8099999999995</v>
      </c>
    </row>
    <row r="22" spans="1:19">
      <c r="A22" s="2256"/>
      <c r="B22" s="49" t="s">
        <v>1962</v>
      </c>
      <c r="C22" s="2963" t="s">
        <v>605</v>
      </c>
      <c r="D22" s="47">
        <f t="shared" si="6"/>
        <v>5261.46</v>
      </c>
      <c r="E22" s="55">
        <f t="shared" si="1"/>
        <v>20003</v>
      </c>
      <c r="F22" s="60"/>
      <c r="G22" s="61">
        <f>'数据-基础表'!O5</f>
        <v>20003</v>
      </c>
      <c r="H22" s="721">
        <f t="shared" si="7"/>
        <v>60.64</v>
      </c>
      <c r="I22" s="50">
        <f t="shared" si="2"/>
        <v>230.55</v>
      </c>
      <c r="J22" s="1387"/>
      <c r="K22" s="1386">
        <f t="shared" si="3"/>
        <v>230.55</v>
      </c>
      <c r="L22" s="1242">
        <f t="shared" si="4"/>
        <v>0</v>
      </c>
      <c r="M22" s="1398">
        <f t="shared" si="8"/>
        <v>230.55</v>
      </c>
      <c r="N22" s="2254"/>
      <c r="O22" s="2255"/>
      <c r="P22" s="1398">
        <f t="shared" si="9"/>
        <v>0</v>
      </c>
      <c r="R22" s="1242">
        <f t="shared" si="5"/>
        <v>5322.1</v>
      </c>
      <c r="S22" s="1243">
        <f t="shared" si="5"/>
        <v>20233.55</v>
      </c>
    </row>
    <row r="23" spans="1:19">
      <c r="A23" s="2256"/>
      <c r="B23" s="49" t="s">
        <v>1962</v>
      </c>
      <c r="C23" s="59"/>
      <c r="D23" s="47">
        <f>ROUND($D$3*E23/$E$3,2)</f>
        <v>0</v>
      </c>
      <c r="E23" s="55">
        <f>SUM(F23:G23)</f>
        <v>0</v>
      </c>
      <c r="F23" s="60"/>
      <c r="G23" s="61"/>
      <c r="H23" s="721">
        <f>ROUND($D$3*I23/$E$3,2)</f>
        <v>0</v>
      </c>
      <c r="I23" s="50">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49" t="s">
        <v>1962</v>
      </c>
      <c r="C24" s="59"/>
      <c r="D24" s="47">
        <f>ROUND($D$3*E24/$E$3,2)</f>
        <v>0</v>
      </c>
      <c r="E24" s="55">
        <f>SUM(F24:G24)</f>
        <v>0</v>
      </c>
      <c r="F24" s="60"/>
      <c r="G24" s="61"/>
      <c r="H24" s="721">
        <f>ROUND($D$3*I24/$E$3,2)</f>
        <v>0</v>
      </c>
      <c r="I24" s="50">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49" t="s">
        <v>1962</v>
      </c>
      <c r="C25" s="59"/>
      <c r="D25" s="47">
        <f t="shared" si="6"/>
        <v>0</v>
      </c>
      <c r="E25" s="55">
        <f t="shared" si="1"/>
        <v>0</v>
      </c>
      <c r="F25" s="60"/>
      <c r="G25" s="61"/>
      <c r="H25" s="46">
        <f t="shared" si="7"/>
        <v>0</v>
      </c>
      <c r="I25" s="50">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49" t="s">
        <v>1962</v>
      </c>
      <c r="C26" s="62"/>
      <c r="D26" s="47">
        <f t="shared" si="6"/>
        <v>0</v>
      </c>
      <c r="E26" s="55">
        <f t="shared" si="1"/>
        <v>0</v>
      </c>
      <c r="F26" s="60"/>
      <c r="G26" s="61"/>
      <c r="H26" s="46">
        <f t="shared" si="7"/>
        <v>0</v>
      </c>
      <c r="I26" s="50">
        <f t="shared" si="2"/>
        <v>0</v>
      </c>
      <c r="J26" s="1387"/>
      <c r="K26" s="1393">
        <f t="shared" si="3"/>
        <v>0</v>
      </c>
      <c r="L26" s="1394">
        <f t="shared" si="4"/>
        <v>0</v>
      </c>
      <c r="M26" s="66">
        <f t="shared" si="8"/>
        <v>0</v>
      </c>
      <c r="N26" s="2257"/>
      <c r="O26" s="2258"/>
      <c r="P26" s="66">
        <f t="shared" si="9"/>
        <v>0</v>
      </c>
      <c r="R26" s="1242">
        <f t="shared" si="5"/>
        <v>0</v>
      </c>
      <c r="S26" s="1243">
        <f t="shared" si="5"/>
        <v>0</v>
      </c>
    </row>
    <row r="27" spans="1:19" ht="29.25" thickBot="1">
      <c r="A27" s="2256"/>
      <c r="B27" s="47"/>
      <c r="C27" s="2259" t="s">
        <v>1963</v>
      </c>
      <c r="D27" s="1388">
        <f>SUM(D19:D26)</f>
        <v>34029.129999999997</v>
      </c>
      <c r="E27" s="1389">
        <f>IF(SUM(E19:E26)='数据-基础表'!BA5,SUM(E19:E26),IF(F27="地上面积有误","面积有误","地下面积有误"))</f>
        <v>129371.83999999998</v>
      </c>
      <c r="F27" s="1388">
        <f>IF(SUM(F19:F26)=E8,SUM(F19:F26),"地上面积有误")</f>
        <v>106262.38999999998</v>
      </c>
      <c r="G27" s="1390">
        <f>SUM(G19:G26)</f>
        <v>23109.45</v>
      </c>
      <c r="H27" s="1391">
        <f>SUM(H19:H26)</f>
        <v>1850.97</v>
      </c>
      <c r="I27" s="1392">
        <f>SUM(I19:I26)</f>
        <v>7036.9900000000007</v>
      </c>
      <c r="J27" s="1387"/>
      <c r="K27" s="1395">
        <f>SUM(K19:K26)</f>
        <v>1491.12</v>
      </c>
      <c r="L27" s="1396">
        <f>SUM(L19:L26)</f>
        <v>5545.87</v>
      </c>
      <c r="M27" s="1399">
        <f>SUM(M19:M26)</f>
        <v>7036.9900000000007</v>
      </c>
      <c r="N27" s="1395">
        <f t="shared" ref="N27:O27" si="10">SUM(N19:N26)</f>
        <v>0</v>
      </c>
      <c r="O27" s="1396">
        <f t="shared" si="10"/>
        <v>0</v>
      </c>
      <c r="P27" s="1397">
        <f>SUM(P19:P26)</f>
        <v>0</v>
      </c>
      <c r="R27" s="1244" t="str">
        <f>IF(SUM(R19:R26)=$D$3,SUM(R19:R26),SUM(R19:R26)&amp;"误差"&amp;ROUND(SUM(R19:R26)-$D$3,2))</f>
        <v>35880.1误差0.01</v>
      </c>
      <c r="S27" s="1242" t="str">
        <f>IF(SUM(S19:S26)=$E$3,SUM(S19:S26),SUM(S19:S26)&amp;"误差"&amp;ROUND(SUM(S19:S26)-E3,2))</f>
        <v>136408.83误差0.01</v>
      </c>
    </row>
    <row r="28" spans="1:19">
      <c r="A28" s="2256"/>
      <c r="B28" s="49" t="s">
        <v>1964</v>
      </c>
      <c r="C28" s="1254" t="s">
        <v>1965</v>
      </c>
      <c r="D28" s="47">
        <f>ROUND($D$3*E28/$E$3,2)</f>
        <v>392.21</v>
      </c>
      <c r="E28" s="55">
        <f>SUM(F28:G28)</f>
        <v>1491.1100000000001</v>
      </c>
      <c r="F28" s="63">
        <f>'数据-基础表'!BQ5+'数据-基础表'!BS5</f>
        <v>0</v>
      </c>
      <c r="G28" s="64">
        <f>'数据-基础表'!BR5+'数据-基础表'!BT5</f>
        <v>1491.1100000000001</v>
      </c>
      <c r="H28" s="1387"/>
      <c r="I28" s="1387"/>
      <c r="J28" s="1387"/>
      <c r="K28" s="1387"/>
      <c r="L28" s="1387"/>
      <c r="M28" s="1387"/>
      <c r="N28" s="1387"/>
      <c r="O28" s="1387"/>
      <c r="P28" s="1387"/>
    </row>
    <row r="29" spans="1:19">
      <c r="A29" s="2256"/>
      <c r="B29" s="49" t="s">
        <v>1964</v>
      </c>
      <c r="C29" s="2260" t="s">
        <v>1966</v>
      </c>
      <c r="D29" s="47">
        <f>ROUND($D$3*E29/$E$3,2)</f>
        <v>1458.75</v>
      </c>
      <c r="E29" s="55">
        <f>SUM(F29:G29)</f>
        <v>5545.8700000000008</v>
      </c>
      <c r="F29" s="65">
        <f>'数据-基础表'!BM5+'数据-基础表'!BO5</f>
        <v>2051.69</v>
      </c>
      <c r="G29" s="66">
        <f>'数据-基础表'!BN5+'数据-基础表'!BP5</f>
        <v>3494.1800000000003</v>
      </c>
      <c r="H29" s="1387"/>
      <c r="I29" s="1387"/>
      <c r="J29" s="1387"/>
      <c r="K29" s="1387"/>
      <c r="L29" s="1387"/>
      <c r="M29" s="1387"/>
      <c r="N29" s="1387"/>
      <c r="O29" s="1387"/>
      <c r="P29" s="1387"/>
    </row>
    <row r="30" spans="1:19" ht="15">
      <c r="A30" s="2256"/>
      <c r="B30" s="49"/>
      <c r="C30" s="2261" t="s">
        <v>1963</v>
      </c>
      <c r="D30" s="1388">
        <f>SUM(D28:D29)</f>
        <v>1850.96</v>
      </c>
      <c r="E30" s="1388">
        <f>SUM(E28:E29)</f>
        <v>7036.9800000000014</v>
      </c>
      <c r="F30" s="1388">
        <f>SUM(F28:F29)</f>
        <v>2051.69</v>
      </c>
      <c r="G30" s="1390">
        <f>SUM(G28:G29)</f>
        <v>4985.2900000000009</v>
      </c>
      <c r="H30" s="1387"/>
      <c r="I30" s="1387"/>
      <c r="J30" s="1387"/>
      <c r="K30" s="1387"/>
      <c r="L30" s="1387"/>
      <c r="M30" s="1387"/>
      <c r="N30" s="1387"/>
      <c r="O30" s="1387"/>
      <c r="P30" s="1387"/>
    </row>
    <row r="31" spans="1:19" ht="15.75" thickBot="1">
      <c r="A31" s="2262"/>
      <c r="B31" s="2263"/>
      <c r="C31" s="1002" t="s">
        <v>1967</v>
      </c>
      <c r="D31" s="726">
        <f>D27+D30</f>
        <v>35880.089999999997</v>
      </c>
      <c r="E31" s="726">
        <f>E27+E30</f>
        <v>136408.81999999998</v>
      </c>
      <c r="F31" s="727">
        <f>F27+F30</f>
        <v>108314.07999999999</v>
      </c>
      <c r="G31" s="728">
        <f>G27+G30</f>
        <v>28094.74</v>
      </c>
      <c r="H31" s="1387"/>
      <c r="I31" s="1387"/>
      <c r="J31" s="1387"/>
      <c r="K31" s="1387"/>
      <c r="L31" s="1387"/>
      <c r="M31" s="1387"/>
      <c r="N31" s="1387"/>
      <c r="O31" s="1387"/>
      <c r="P31" s="1387"/>
    </row>
    <row r="32" spans="1:19">
      <c r="A32" s="2227"/>
      <c r="B32" s="2227" t="s">
        <v>1968</v>
      </c>
      <c r="C32" s="2227"/>
      <c r="D32" s="2227"/>
      <c r="E32" s="1269">
        <f>SUMIF(C19:C26,"*住宅*",E19:E26)</f>
        <v>103555.41999999998</v>
      </c>
      <c r="F32" s="2227"/>
      <c r="G32" s="2227"/>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29"/>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1970</v>
      </c>
      <c r="B2" s="1261">
        <f>项目基本情况!D3</f>
        <v>43126</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7"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8" t="s">
        <v>1975</v>
      </c>
      <c r="AA4" s="2238"/>
      <c r="AB4" s="2238"/>
      <c r="AC4" s="2238"/>
      <c r="AD4" s="2238"/>
      <c r="AE4" s="2236" t="s">
        <v>1976</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1977</v>
      </c>
      <c r="B5" s="2283" t="s">
        <v>1978</v>
      </c>
      <c r="C5" s="2284" t="s">
        <v>1979</v>
      </c>
      <c r="D5" s="2285" t="s">
        <v>1980</v>
      </c>
      <c r="E5" s="1263" t="s">
        <v>1981</v>
      </c>
      <c r="F5" s="2286" t="s">
        <v>1982</v>
      </c>
      <c r="G5" s="1263" t="s">
        <v>1983</v>
      </c>
      <c r="H5" s="1263" t="s">
        <v>1984</v>
      </c>
      <c r="I5" s="1263" t="s">
        <v>1985</v>
      </c>
      <c r="J5" s="2287" t="s">
        <v>1986</v>
      </c>
      <c r="K5" s="2288" t="s">
        <v>1987</v>
      </c>
      <c r="L5" s="2289" t="s">
        <v>1988</v>
      </c>
      <c r="M5" s="2290" t="s">
        <v>1989</v>
      </c>
      <c r="N5" s="2291" t="s">
        <v>1990</v>
      </c>
      <c r="O5" s="2289" t="s">
        <v>1991</v>
      </c>
      <c r="P5" s="2292" t="s">
        <v>1992</v>
      </c>
      <c r="Q5" s="68" t="s">
        <v>1993</v>
      </c>
      <c r="R5" s="2293" t="s">
        <v>1994</v>
      </c>
      <c r="S5" s="2294" t="s">
        <v>1995</v>
      </c>
      <c r="T5" s="2295" t="s">
        <v>1996</v>
      </c>
      <c r="U5" s="1262" t="s">
        <v>1997</v>
      </c>
      <c r="V5" s="1263" t="s">
        <v>1998</v>
      </c>
      <c r="W5" s="1263" t="s">
        <v>1999</v>
      </c>
      <c r="X5" s="70"/>
      <c r="Y5" s="69" t="s">
        <v>2000</v>
      </c>
      <c r="Z5" s="2296" t="s">
        <v>1997</v>
      </c>
      <c r="AA5" s="1263" t="s">
        <v>1998</v>
      </c>
      <c r="AB5" s="1263" t="s">
        <v>1999</v>
      </c>
      <c r="AC5" s="70"/>
      <c r="AD5" s="70" t="s">
        <v>2000</v>
      </c>
      <c r="AE5" s="1262" t="s">
        <v>2001</v>
      </c>
      <c r="AF5" s="1263" t="s">
        <v>2002</v>
      </c>
      <c r="AG5" s="69" t="s">
        <v>2003</v>
      </c>
      <c r="AH5" s="1262" t="s">
        <v>2004</v>
      </c>
      <c r="AI5" s="2296" t="s">
        <v>2005</v>
      </c>
      <c r="AJ5" s="2296" t="s">
        <v>2006</v>
      </c>
      <c r="AK5" s="1263" t="s">
        <v>2007</v>
      </c>
      <c r="AL5" s="1263" t="s">
        <v>2008</v>
      </c>
      <c r="AM5" s="69" t="s">
        <v>2009</v>
      </c>
      <c r="AN5" s="2297" t="s">
        <v>2010</v>
      </c>
      <c r="AO5" s="2069" t="s">
        <v>2011</v>
      </c>
      <c r="AP5" s="1244" t="s">
        <v>2012</v>
      </c>
      <c r="AQ5" s="2298" t="s">
        <v>2013</v>
      </c>
      <c r="AR5" s="2298" t="s">
        <v>2014</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住宅</v>
      </c>
      <c r="B6" s="2300" t="str">
        <f>IF(A6=0,"","经营性")</f>
        <v>经营性</v>
      </c>
      <c r="C6" s="2301" t="s">
        <v>3069</v>
      </c>
      <c r="D6" s="1046">
        <f>SUMIF(项目基本情况!D$12:I$12,C6,项目基本情况!D$14:I$14)</f>
        <v>70</v>
      </c>
      <c r="E6" s="1043">
        <f>IF(B6="","",SUMIF(项目基本情况!D$12:I$12,C6,项目基本情况!D$13:I$13))</f>
        <v>67935</v>
      </c>
      <c r="F6" s="71">
        <f>SUMIF(项目基本情况!D$12:I$12,C6,项目基本情况!D$15:I$15)</f>
        <v>67.959999999999994</v>
      </c>
      <c r="G6" s="72">
        <f>IF(ISERROR(ROUND(POWER(1+H6,D6-F6)*(POWER(1+H6,F6)-1)/(POWER(1+H6,D6)-1),3)),0,ROUND(POWER(1+H6,D6-F6)*(POWER(1+H6,F6)-1)/(POWER(1+H6,D6)-1),3))</f>
        <v>0.99399999999999999</v>
      </c>
      <c r="H6" s="799">
        <v>0.04</v>
      </c>
      <c r="I6" s="799">
        <v>4.4999999999999998E-2</v>
      </c>
      <c r="J6" s="73">
        <v>8.5000000000000006E-2</v>
      </c>
      <c r="K6" s="1246">
        <f>SUMIF('数据-汇总表'!C$19:C$33,A6,'数据-汇总表'!E$19:E$33)</f>
        <v>103555.41999999998</v>
      </c>
      <c r="L6" s="800">
        <v>4500</v>
      </c>
      <c r="M6" s="74">
        <f t="shared" ref="M6:M14" si="0">ROUND(K6*L6/10000,0)</f>
        <v>46600</v>
      </c>
      <c r="N6" s="798">
        <f>工程进度!F17</f>
        <v>0.47</v>
      </c>
      <c r="O6" s="74">
        <f>IF($N$5="成新度","——",ROUND(M6*N6,0))</f>
        <v>21902</v>
      </c>
      <c r="P6" s="75">
        <f>IF($N$5="成新度","——",M6-O6)</f>
        <v>24698</v>
      </c>
      <c r="Q6" s="801">
        <v>0.1</v>
      </c>
      <c r="R6" s="76">
        <f ca="1">SUMIF('数据-汇总表'!C$19:C$33,A6,'数据-汇总表'!R$19:R$27)</f>
        <v>29011.25</v>
      </c>
      <c r="S6" s="53">
        <f>IF('数据-汇总表'!$I$17="按面积比例",SUMIF('数据-汇总表'!C$19:C$33,A6,'数据-汇总表'!K$19:K$33),SUMIF('数据-汇总表'!C$19:C$33,A6,'数据-汇总表'!N$19:N$33))</f>
        <v>1193.56</v>
      </c>
      <c r="T6" s="1438">
        <f>ROUND($L$14*S6/10000,0)</f>
        <v>334</v>
      </c>
      <c r="U6" s="77"/>
      <c r="V6" s="78"/>
      <c r="W6" s="78"/>
      <c r="X6" s="1256"/>
      <c r="Y6" s="79"/>
      <c r="Z6" s="80"/>
      <c r="AA6" s="73"/>
      <c r="AB6" s="73"/>
      <c r="AC6" s="1256"/>
      <c r="AD6" s="81"/>
      <c r="AE6" s="1257">
        <f ca="1">IF(AN6="",0,SUMIF(INDIRECT("'"&amp;AN6&amp;"'"&amp;"!E:E"),$AE$5,INDIRECT("'"&amp;AN6&amp;"'"&amp;"!F:F")))</f>
        <v>0</v>
      </c>
      <c r="AF6" s="1800"/>
      <c r="AG6" s="145">
        <f>IF(AF6="",0,AE6-AF6)</f>
        <v>0</v>
      </c>
      <c r="AH6" s="82"/>
      <c r="AI6" s="84"/>
      <c r="AJ6" s="85"/>
      <c r="AK6" s="86"/>
      <c r="AL6" s="87"/>
      <c r="AM6" s="88"/>
      <c r="AN6" s="2302"/>
      <c r="AO6" s="54" t="e">
        <f ca="1">SUMIF(INDIRECT("'"&amp;AN6&amp;"'"&amp;"!A:A"),"总价",INDIRECT("'"&amp;AN6&amp;"'"&amp;"!B:B"))</f>
        <v>#REF!</v>
      </c>
      <c r="AP6" s="2303">
        <f>IF(C6="住宅",K6*L6,0)</f>
        <v>465999389.99999994</v>
      </c>
      <c r="AQ6" s="54">
        <f>ROUND($L$14*$N$14*S6/10000,0)</f>
        <v>157</v>
      </c>
      <c r="AR6" s="54">
        <f>ROUND($L$14*(1-$N$14)*S6/10000,0)</f>
        <v>177</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商业</v>
      </c>
      <c r="B7" s="2300" t="str">
        <f t="shared" ref="B7:B13" si="1">IF(A7=0,"","经营性")</f>
        <v>经营性</v>
      </c>
      <c r="C7" s="2301" t="s">
        <v>1378</v>
      </c>
      <c r="D7" s="1046">
        <f>SUMIF(项目基本情况!D$12:I$12,C7,项目基本情况!D$14:I$14)</f>
        <v>40</v>
      </c>
      <c r="E7" s="1043">
        <f>IF(B7="","",SUMIF(项目基本情况!D$12:I$12,C7,项目基本情况!D$13:I$13))</f>
        <v>56977</v>
      </c>
      <c r="F7" s="71">
        <f>SUMIF(项目基本情况!D$12:I$12,C7,项目基本情况!D$15:I$15)</f>
        <v>37.94</v>
      </c>
      <c r="G7" s="72">
        <f t="shared" ref="G7:G11" si="2">IF(ISERROR(ROUND(POWER(1+H7,D7-F7)*(POWER(1+H7,F7)-1)/(POWER(1+H7,D7)-1),3)),0,ROUND(POWER(1+H7,D7-F7)*(POWER(1+H7,F7)-1)/(POWER(1+H7,D7)-1),3))</f>
        <v>0.98399999999999999</v>
      </c>
      <c r="H7" s="799">
        <v>5.5E-2</v>
      </c>
      <c r="I7" s="799">
        <v>0.06</v>
      </c>
      <c r="J7" s="73">
        <v>8.5000000000000006E-2</v>
      </c>
      <c r="K7" s="1246">
        <f>SUMIF('数据-汇总表'!C$19:C$33,A7,'数据-汇总表'!E$19:E$33)</f>
        <v>2000.56</v>
      </c>
      <c r="L7" s="800">
        <v>3000</v>
      </c>
      <c r="M7" s="74">
        <f t="shared" si="0"/>
        <v>600</v>
      </c>
      <c r="N7" s="798">
        <f>N6</f>
        <v>0.47</v>
      </c>
      <c r="O7" s="74">
        <f t="shared" ref="O7:O14" si="3">IF($N$5="成新度","——",ROUND(M7*N7,0))</f>
        <v>282</v>
      </c>
      <c r="P7" s="75">
        <f t="shared" ref="P7:P14" si="4">IF($N$5="成新度","——",M7-O7)</f>
        <v>318</v>
      </c>
      <c r="Q7" s="801">
        <v>0.15</v>
      </c>
      <c r="R7" s="76">
        <f ca="1">SUMIF('数据-汇总表'!C$19:C$33,A7,'数据-汇总表'!R$19:R$27)</f>
        <v>532.28000000000009</v>
      </c>
      <c r="S7" s="53">
        <f>IF('数据-汇总表'!$I$17="按面积比例",SUMIF('数据-汇总表'!C$19:C$33,A7,'数据-汇总表'!K$19:K$33),SUMIF('数据-汇总表'!C$19:C$33,A7,'数据-汇总表'!N$19:N$33))</f>
        <v>23.06</v>
      </c>
      <c r="T7" s="1438">
        <f t="shared" ref="T7:T13" si="5">ROUND($L$14*S7/10000,0)</f>
        <v>6</v>
      </c>
      <c r="U7" s="77">
        <v>3.5</v>
      </c>
      <c r="V7" s="78">
        <v>3.5000000000000003E-2</v>
      </c>
      <c r="W7" s="78">
        <v>0.1</v>
      </c>
      <c r="X7" s="1256"/>
      <c r="Y7" s="79">
        <v>1</v>
      </c>
      <c r="Z7" s="80"/>
      <c r="AA7" s="73"/>
      <c r="AB7" s="73"/>
      <c r="AC7" s="1256"/>
      <c r="AD7" s="81"/>
      <c r="AE7" s="1257">
        <f t="shared" ref="AE7:AE13" ca="1" si="6">IF(AN7="",0,SUMIF(INDIRECT("'"&amp;AN7&amp;"'"&amp;"!E:E"),$AE$5,INDIRECT("'"&amp;AN7&amp;"'"&amp;"!F:F")))</f>
        <v>36.94</v>
      </c>
      <c r="AF7" s="1800"/>
      <c r="AG7" s="145">
        <f t="shared" ref="AG7:AG13" si="7">IF(AF7="",0,AE7-AF7)</f>
        <v>0</v>
      </c>
      <c r="AH7" s="82"/>
      <c r="AI7" s="84">
        <v>365</v>
      </c>
      <c r="AJ7" s="85"/>
      <c r="AK7" s="803">
        <v>0.01</v>
      </c>
      <c r="AL7" s="87">
        <v>1.5E-3</v>
      </c>
      <c r="AM7" s="88">
        <v>0.01</v>
      </c>
      <c r="AN7" s="2302" t="s">
        <v>3256</v>
      </c>
      <c r="AO7" s="54">
        <f t="shared" ref="AO7:AO13" ca="1" si="8">SUMIF(INDIRECT("'"&amp;AN7&amp;"'"&amp;"!A:A"),"总价",INDIRECT("'"&amp;AN7&amp;"'"&amp;"!B:B"))</f>
        <v>4640</v>
      </c>
      <c r="AP7" s="2303">
        <f t="shared" ref="AP7:AP13" si="9">IF(C7="住宅",K7*L7,0)</f>
        <v>0</v>
      </c>
      <c r="AQ7" s="54">
        <f t="shared" ref="AQ7:AQ13" si="10">ROUND($L$14*$N$14*S7/10000,0)</f>
        <v>3</v>
      </c>
      <c r="AR7" s="54">
        <f t="shared" ref="AR7:AR13" si="11">ROUND($L$14*(1-$N$14)*S7/10000,0)</f>
        <v>3</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仓储</v>
      </c>
      <c r="B8" s="2300" t="str">
        <f t="shared" si="1"/>
        <v>经营性</v>
      </c>
      <c r="C8" s="2301" t="s">
        <v>3222</v>
      </c>
      <c r="D8" s="1046">
        <f>SUMIF(项目基本情况!D$12:I$12,C8,项目基本情况!D$14:I$14)</f>
        <v>50</v>
      </c>
      <c r="E8" s="1043">
        <f>IF(B8="","",SUMIF(项目基本情况!D$12:I$12,C8,项目基本情况!D$13:I$13))</f>
        <v>60630</v>
      </c>
      <c r="F8" s="71">
        <f>SUMIF(项目基本情况!D$12:I$12,C8,项目基本情况!D$15:I$15)</f>
        <v>47.95</v>
      </c>
      <c r="G8" s="72">
        <f t="shared" si="2"/>
        <v>0.98799999999999999</v>
      </c>
      <c r="H8" s="799">
        <v>4.4999999999999998E-2</v>
      </c>
      <c r="I8" s="799">
        <v>5.5E-2</v>
      </c>
      <c r="J8" s="73">
        <v>8.5000000000000006E-2</v>
      </c>
      <c r="K8" s="1246">
        <f>SUMIF('数据-汇总表'!C$19:C$33,A8,'数据-汇总表'!E$19:E$33)</f>
        <v>3812.8599999999997</v>
      </c>
      <c r="L8" s="800">
        <v>2800</v>
      </c>
      <c r="M8" s="74">
        <f>ROUND(K8*L8/10000,0)</f>
        <v>1068</v>
      </c>
      <c r="N8" s="798">
        <f>N6</f>
        <v>0.47</v>
      </c>
      <c r="O8" s="74">
        <f t="shared" si="3"/>
        <v>502</v>
      </c>
      <c r="P8" s="75">
        <f t="shared" si="4"/>
        <v>566</v>
      </c>
      <c r="Q8" s="801">
        <v>0.05</v>
      </c>
      <c r="R8" s="76">
        <f ca="1">SUMIF('数据-汇总表'!C$19:C$33,A8,'数据-汇总表'!R$19:R$27)</f>
        <v>1014.4699999999999</v>
      </c>
      <c r="S8" s="53">
        <f>IF('数据-汇总表'!$I$17="按面积比例",SUMIF('数据-汇总表'!C$19:C$33,A8,'数据-汇总表'!K$19:K$33),SUMIF('数据-汇总表'!C$19:C$33,A8,'数据-汇总表'!N$19:N$33))</f>
        <v>43.95</v>
      </c>
      <c r="T8" s="1438">
        <f t="shared" si="5"/>
        <v>12</v>
      </c>
      <c r="U8" s="77">
        <v>1.4</v>
      </c>
      <c r="V8" s="78">
        <v>2.5000000000000001E-2</v>
      </c>
      <c r="W8" s="78">
        <v>0.1</v>
      </c>
      <c r="X8" s="1256"/>
      <c r="Y8" s="79">
        <v>1</v>
      </c>
      <c r="Z8" s="80"/>
      <c r="AA8" s="73"/>
      <c r="AB8" s="73"/>
      <c r="AC8" s="1256"/>
      <c r="AD8" s="81"/>
      <c r="AE8" s="1257">
        <f t="shared" ca="1" si="6"/>
        <v>46.95</v>
      </c>
      <c r="AF8" s="1800"/>
      <c r="AG8" s="145">
        <f t="shared" si="7"/>
        <v>0</v>
      </c>
      <c r="AH8" s="802"/>
      <c r="AI8" s="84">
        <v>365</v>
      </c>
      <c r="AJ8" s="85"/>
      <c r="AK8" s="803">
        <v>0.01</v>
      </c>
      <c r="AL8" s="87">
        <v>1.5E-3</v>
      </c>
      <c r="AM8" s="88">
        <v>0.01</v>
      </c>
      <c r="AN8" s="2302" t="s">
        <v>3257</v>
      </c>
      <c r="AO8" s="54">
        <f t="shared" ca="1" si="8"/>
        <v>3339</v>
      </c>
      <c r="AP8" s="2303">
        <f t="shared" si="9"/>
        <v>0</v>
      </c>
      <c r="AQ8" s="54">
        <f t="shared" si="10"/>
        <v>6</v>
      </c>
      <c r="AR8" s="54">
        <f t="shared" si="11"/>
        <v>7</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t="str">
        <f>'数据-汇总表'!C22</f>
        <v>车库</v>
      </c>
      <c r="B9" s="2300" t="str">
        <f t="shared" si="1"/>
        <v>经营性</v>
      </c>
      <c r="C9" s="2301" t="s">
        <v>3226</v>
      </c>
      <c r="D9" s="1046">
        <f>SUMIF(项目基本情况!D$12:I$12,C9,项目基本情况!D$14:I$14)</f>
        <v>50</v>
      </c>
      <c r="E9" s="1043">
        <f>IF(B9="","",SUMIF(项目基本情况!D$12:I$12,C9,项目基本情况!D$13:I$13))</f>
        <v>60630</v>
      </c>
      <c r="F9" s="71">
        <f>SUMIF(项目基本情况!D$12:I$12,C9,项目基本情况!D$15:I$15)</f>
        <v>47.95</v>
      </c>
      <c r="G9" s="72">
        <f t="shared" si="2"/>
        <v>0.98799999999999999</v>
      </c>
      <c r="H9" s="73">
        <v>4.4999999999999998E-2</v>
      </c>
      <c r="I9" s="73">
        <v>0.05</v>
      </c>
      <c r="J9" s="73">
        <v>8.5000000000000006E-2</v>
      </c>
      <c r="K9" s="1246">
        <f>SUMIF('数据-汇总表'!C$19:C$33,A9,'数据-汇总表'!E$19:E$33)</f>
        <v>20003</v>
      </c>
      <c r="L9" s="800">
        <v>2800</v>
      </c>
      <c r="M9" s="74">
        <f t="shared" si="0"/>
        <v>5601</v>
      </c>
      <c r="N9" s="798">
        <f>N6</f>
        <v>0.47</v>
      </c>
      <c r="O9" s="74">
        <f t="shared" si="3"/>
        <v>2632</v>
      </c>
      <c r="P9" s="75">
        <f t="shared" si="4"/>
        <v>2969</v>
      </c>
      <c r="Q9" s="89">
        <v>0.05</v>
      </c>
      <c r="R9" s="76">
        <f ca="1">SUMIF('数据-汇总表'!C$19:C$33,A9,'数据-汇总表'!R$19:R$27)</f>
        <v>5322.1</v>
      </c>
      <c r="S9" s="53">
        <f>IF('数据-汇总表'!$I$17="按面积比例",SUMIF('数据-汇总表'!C$19:C$33,A9,'数据-汇总表'!K$19:K$33),SUMIF('数据-汇总表'!C$19:C$33,A9,'数据-汇总表'!N$19:N$33))</f>
        <v>230.55</v>
      </c>
      <c r="T9" s="1438">
        <f t="shared" si="5"/>
        <v>65</v>
      </c>
      <c r="U9" s="77">
        <v>600</v>
      </c>
      <c r="V9" s="78">
        <v>2.5000000000000001E-2</v>
      </c>
      <c r="W9" s="78">
        <v>0.1</v>
      </c>
      <c r="X9" s="1256"/>
      <c r="Y9" s="79">
        <v>1</v>
      </c>
      <c r="Z9" s="80"/>
      <c r="AA9" s="73"/>
      <c r="AB9" s="73"/>
      <c r="AC9" s="1256"/>
      <c r="AD9" s="81"/>
      <c r="AE9" s="1257">
        <f t="shared" ca="1" si="6"/>
        <v>0</v>
      </c>
      <c r="AF9" s="1800"/>
      <c r="AG9" s="145">
        <f t="shared" si="7"/>
        <v>0</v>
      </c>
      <c r="AH9" s="82">
        <v>571</v>
      </c>
      <c r="AI9" s="84"/>
      <c r="AJ9" s="85"/>
      <c r="AK9" s="86"/>
      <c r="AL9" s="87"/>
      <c r="AM9" s="88"/>
      <c r="AN9" s="2302"/>
      <c r="AO9" s="54" t="e">
        <f t="shared" ca="1" si="8"/>
        <v>#REF!</v>
      </c>
      <c r="AP9" s="2303">
        <f t="shared" si="9"/>
        <v>0</v>
      </c>
      <c r="AQ9" s="54">
        <f t="shared" si="10"/>
        <v>30</v>
      </c>
      <c r="AR9" s="54">
        <f t="shared" si="11"/>
        <v>34</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c r="D10" s="1046">
        <f>SUMIF(项目基本情况!D$12:I$12,C10,项目基本情况!D$14:I$14)</f>
        <v>0</v>
      </c>
      <c r="E10" s="1043" t="str">
        <f>IF(B10="","",SUMIF(项目基本情况!D$12:I$12,C10,项目基本情况!D$13:I$13))</f>
        <v/>
      </c>
      <c r="F10" s="71">
        <f>SUMIF(项目基本情况!D$12:I$12,C10,项目基本情况!D$15:I$15)</f>
        <v>0</v>
      </c>
      <c r="G10" s="72">
        <f t="shared" si="2"/>
        <v>0</v>
      </c>
      <c r="H10" s="73"/>
      <c r="I10" s="73"/>
      <c r="J10" s="73"/>
      <c r="K10" s="1246">
        <f>SUMIF('数据-汇总表'!C$19:C$33,A10,'数据-汇总表'!E$19:E$33)</f>
        <v>0</v>
      </c>
      <c r="L10" s="800"/>
      <c r="M10" s="74">
        <f t="shared" si="0"/>
        <v>0</v>
      </c>
      <c r="N10" s="798"/>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8">
        <f t="shared" si="5"/>
        <v>0</v>
      </c>
      <c r="U10" s="77"/>
      <c r="V10" s="78"/>
      <c r="W10" s="78"/>
      <c r="X10" s="1256"/>
      <c r="Y10" s="79"/>
      <c r="Z10" s="80"/>
      <c r="AA10" s="73"/>
      <c r="AB10" s="73"/>
      <c r="AC10" s="1256"/>
      <c r="AD10" s="81"/>
      <c r="AE10" s="1257">
        <f t="shared" ca="1" si="6"/>
        <v>0</v>
      </c>
      <c r="AF10" s="1800"/>
      <c r="AG10" s="145">
        <f t="shared" si="7"/>
        <v>0</v>
      </c>
      <c r="AH10" s="82"/>
      <c r="AI10" s="84"/>
      <c r="AJ10" s="85"/>
      <c r="AK10" s="86"/>
      <c r="AL10" s="87"/>
      <c r="AM10" s="88"/>
      <c r="AN10" s="2302"/>
      <c r="AO10" s="54" t="e">
        <f t="shared" ca="1" si="8"/>
        <v>#REF!</v>
      </c>
      <c r="AP10" s="2303">
        <f t="shared" si="9"/>
        <v>0</v>
      </c>
      <c r="AQ10" s="54">
        <f t="shared" si="10"/>
        <v>0</v>
      </c>
      <c r="AR10" s="54">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800"/>
      <c r="AG11" s="145">
        <f t="shared" si="7"/>
        <v>0</v>
      </c>
      <c r="AH11" s="82"/>
      <c r="AI11" s="84"/>
      <c r="AJ11" s="85"/>
      <c r="AK11" s="93"/>
      <c r="AL11" s="94"/>
      <c r="AM11" s="95"/>
      <c r="AN11" s="2302"/>
      <c r="AO11" s="54" t="e">
        <f t="shared" ca="1" si="8"/>
        <v>#REF!</v>
      </c>
      <c r="AP11" s="2303">
        <f t="shared" si="9"/>
        <v>0</v>
      </c>
      <c r="AQ11" s="54">
        <f t="shared" si="10"/>
        <v>0</v>
      </c>
      <c r="AR11" s="54">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800"/>
      <c r="AG12" s="145">
        <f t="shared" si="7"/>
        <v>0</v>
      </c>
      <c r="AH12" s="82"/>
      <c r="AI12" s="84"/>
      <c r="AJ12" s="85"/>
      <c r="AK12" s="93"/>
      <c r="AL12" s="94"/>
      <c r="AM12" s="95"/>
      <c r="AN12" s="2302"/>
      <c r="AO12" s="54" t="e">
        <f t="shared" ca="1" si="8"/>
        <v>#REF!</v>
      </c>
      <c r="AP12" s="2303">
        <f t="shared" si="9"/>
        <v>0</v>
      </c>
      <c r="AQ12" s="54">
        <f t="shared" si="10"/>
        <v>0</v>
      </c>
      <c r="AR12" s="54">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800"/>
      <c r="AG13" s="145">
        <f t="shared" si="7"/>
        <v>0</v>
      </c>
      <c r="AH13" s="82"/>
      <c r="AI13" s="84"/>
      <c r="AJ13" s="85"/>
      <c r="AK13" s="86"/>
      <c r="AL13" s="87"/>
      <c r="AM13" s="88"/>
      <c r="AN13" s="2302"/>
      <c r="AO13" s="54" t="e">
        <f t="shared" ca="1" si="8"/>
        <v>#REF!</v>
      </c>
      <c r="AP13" s="2303">
        <f t="shared" si="9"/>
        <v>0</v>
      </c>
      <c r="AQ13" s="54">
        <f t="shared" si="10"/>
        <v>0</v>
      </c>
      <c r="AR13" s="54">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2015</v>
      </c>
      <c r="B14" s="2300" t="s">
        <v>2016</v>
      </c>
      <c r="C14" s="2305" t="s">
        <v>2015</v>
      </c>
      <c r="D14" s="1046"/>
      <c r="E14" s="1043"/>
      <c r="F14" s="71"/>
      <c r="G14" s="72"/>
      <c r="H14" s="1245"/>
      <c r="I14" s="1245"/>
      <c r="J14" s="1245"/>
      <c r="K14" s="1246">
        <f>SUMIF('数据-汇总表'!C$19:C$33,A14,'数据-汇总表'!E$19:E$33)</f>
        <v>1491.1100000000001</v>
      </c>
      <c r="L14" s="90">
        <v>2800</v>
      </c>
      <c r="M14" s="74">
        <f t="shared" si="0"/>
        <v>418</v>
      </c>
      <c r="N14" s="798">
        <f>N6</f>
        <v>0.47</v>
      </c>
      <c r="O14" s="74">
        <f t="shared" si="3"/>
        <v>196</v>
      </c>
      <c r="P14" s="75">
        <f t="shared" si="4"/>
        <v>222</v>
      </c>
      <c r="Q14" s="1249"/>
      <c r="R14" s="76"/>
      <c r="S14" s="53"/>
      <c r="T14" s="1438"/>
      <c r="U14" s="721"/>
      <c r="V14" s="1251"/>
      <c r="W14" s="1251"/>
      <c r="X14" s="1252"/>
      <c r="Y14" s="1253"/>
      <c r="Z14" s="1254"/>
      <c r="AA14" s="1255"/>
      <c r="AB14" s="1255"/>
      <c r="AC14" s="1256"/>
      <c r="AD14" s="1252"/>
      <c r="AE14" s="1257"/>
      <c r="AF14" s="54"/>
      <c r="AG14" s="145"/>
      <c r="AH14" s="1257"/>
      <c r="AI14" s="1811"/>
      <c r="AJ14" s="770"/>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2017</v>
      </c>
      <c r="B15" s="2300" t="s">
        <v>2016</v>
      </c>
      <c r="C15" s="2305" t="s">
        <v>2018</v>
      </c>
      <c r="D15" s="1046"/>
      <c r="E15" s="1043"/>
      <c r="F15" s="71"/>
      <c r="G15" s="72"/>
      <c r="H15" s="1245"/>
      <c r="I15" s="1245"/>
      <c r="J15" s="1245"/>
      <c r="K15" s="1246">
        <f>SUMIF('数据-汇总表'!C$19:C$33,A15,'数据-汇总表'!E$19:E$33)</f>
        <v>5545.8700000000008</v>
      </c>
      <c r="L15" s="1247"/>
      <c r="M15" s="74"/>
      <c r="N15" s="1248"/>
      <c r="O15" s="74"/>
      <c r="P15" s="75"/>
      <c r="Q15" s="1249"/>
      <c r="R15" s="76"/>
      <c r="S15" s="53"/>
      <c r="T15" s="1438"/>
      <c r="U15" s="721"/>
      <c r="V15" s="1251"/>
      <c r="W15" s="1251"/>
      <c r="X15" s="1252"/>
      <c r="Y15" s="1253"/>
      <c r="Z15" s="1254"/>
      <c r="AA15" s="1255"/>
      <c r="AB15" s="1255"/>
      <c r="AC15" s="1256"/>
      <c r="AD15" s="1252"/>
      <c r="AE15" s="1257"/>
      <c r="AF15" s="54"/>
      <c r="AG15" s="145"/>
      <c r="AH15" s="1257"/>
      <c r="AI15" s="1811"/>
      <c r="AJ15" s="770"/>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2019</v>
      </c>
      <c r="B16" s="96"/>
      <c r="C16" s="1000"/>
      <c r="D16" s="2307"/>
      <c r="E16" s="96"/>
      <c r="F16" s="96"/>
      <c r="G16" s="97">
        <f>ROUND(SUMPRODUCT(G6:G13,K6:K13)/SUMPRODUCT((G6:G13&gt;0)*(K6:K13)),3)</f>
        <v>0.99299999999999999</v>
      </c>
      <c r="H16" s="98">
        <f>ROUND(SUMPRODUCT(H6:H13,K6:K13)/SUMPRODUCT((H6:H13&gt;0)*(K6:K13)),3)</f>
        <v>4.1000000000000002E-2</v>
      </c>
      <c r="I16" s="99"/>
      <c r="J16" s="99"/>
      <c r="K16" s="100">
        <f>SUM(K6:K15)</f>
        <v>136408.81999999998</v>
      </c>
      <c r="L16" s="101">
        <f>ROUND(M16*10000/SUM(K6:K14),0)</f>
        <v>4148</v>
      </c>
      <c r="M16" s="101">
        <f>SUM(M6:M14)</f>
        <v>54287</v>
      </c>
      <c r="N16" s="102">
        <f>ROUND(SUMPRODUCT(M6:M14,N6:N14)/M16,3)</f>
        <v>0.47</v>
      </c>
      <c r="O16" s="101">
        <f>SUM(O6:O14)</f>
        <v>25514</v>
      </c>
      <c r="P16" s="101">
        <f>SUM(P6:P14)</f>
        <v>28773</v>
      </c>
      <c r="Q16" s="103">
        <f>ROUND(SUMPRODUCT(Q6:Q13,K6:K13)/SUMPRODUCT((Q6:Q13&gt;0)*(K6:K13)),2)</f>
        <v>0.09</v>
      </c>
      <c r="R16" s="1250">
        <f ca="1">SUM(R6:R13)</f>
        <v>35880.1</v>
      </c>
      <c r="S16" s="104">
        <f>SUM(S6:S13)</f>
        <v>1491.12</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7"/>
      <c r="D17" s="2266"/>
      <c r="E17" s="2266"/>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2020</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2021</v>
      </c>
      <c r="B19" s="111">
        <v>0</v>
      </c>
      <c r="C19" s="2270" t="s">
        <v>2022</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2023</v>
      </c>
      <c r="B20" s="112">
        <v>2</v>
      </c>
      <c r="C20" s="2270" t="s">
        <v>2024</v>
      </c>
      <c r="D20" s="2271"/>
      <c r="E20" s="2270"/>
      <c r="F20" s="2270"/>
      <c r="G20" s="2270"/>
      <c r="H20" s="2270"/>
      <c r="I20" s="2270"/>
      <c r="J20" s="2270"/>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2025</v>
      </c>
      <c r="B21" s="112">
        <v>1</v>
      </c>
      <c r="C21" s="2270"/>
      <c r="D21" s="2271"/>
      <c r="E21" s="2270"/>
      <c r="F21" s="2270"/>
      <c r="G21" s="2270"/>
      <c r="H21" s="2270"/>
      <c r="I21" s="2270"/>
      <c r="J21" s="2270"/>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2026</v>
      </c>
      <c r="B22" s="113">
        <f>B19+B20</f>
        <v>2</v>
      </c>
      <c r="C22" s="2270"/>
      <c r="D22" s="2271"/>
      <c r="E22" s="2270"/>
      <c r="F22" s="2270"/>
      <c r="G22" s="2270"/>
      <c r="H22" s="2270"/>
      <c r="I22" s="2270"/>
      <c r="J22" s="2270"/>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2027</v>
      </c>
      <c r="B23" s="113">
        <f>B19+B21</f>
        <v>1</v>
      </c>
      <c r="C23" s="2270"/>
      <c r="D23" s="2271"/>
      <c r="E23" s="2270"/>
      <c r="F23" s="2270"/>
      <c r="G23" s="2270"/>
      <c r="H23" s="2270"/>
      <c r="I23" s="2270"/>
      <c r="J23" s="2270"/>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2028</v>
      </c>
      <c r="B24" s="114">
        <f>B20-B21</f>
        <v>1</v>
      </c>
      <c r="C24" s="2270"/>
      <c r="D24" s="2271"/>
      <c r="E24" s="2270"/>
      <c r="F24" s="2270"/>
      <c r="G24" s="2270"/>
      <c r="H24" s="2270"/>
      <c r="I24" s="2270"/>
      <c r="J24" s="2270"/>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2029</v>
      </c>
      <c r="B26" s="2313" t="s">
        <v>2030</v>
      </c>
      <c r="C26" s="2314" t="s">
        <v>2031</v>
      </c>
      <c r="D26" s="2271"/>
      <c r="E26" s="2270"/>
      <c r="F26" s="2270"/>
      <c r="G26" s="2270"/>
      <c r="H26" s="2270"/>
      <c r="I26" s="2270"/>
      <c r="J26" s="2270"/>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2032</v>
      </c>
      <c r="B27" s="115">
        <v>160</v>
      </c>
      <c r="C27" s="1760" t="s">
        <v>2033</v>
      </c>
      <c r="D27" s="2316"/>
      <c r="E27" s="1422"/>
      <c r="F27" s="1422"/>
      <c r="G27" s="2270"/>
      <c r="H27" s="2270"/>
      <c r="I27" s="2270"/>
      <c r="J27" s="2270"/>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7" customFormat="1" ht="27.75">
      <c r="A28" s="2318" t="s">
        <v>2034</v>
      </c>
      <c r="B28" s="118">
        <v>200</v>
      </c>
      <c r="C28" s="2319"/>
      <c r="D28" s="2316"/>
      <c r="E28" s="1422"/>
      <c r="F28" s="1422"/>
      <c r="G28" s="2270"/>
      <c r="H28" s="2270"/>
      <c r="I28" s="2270"/>
      <c r="J28" s="2270"/>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7" customFormat="1" ht="28.5" thickBot="1">
      <c r="A29" s="2320" t="s">
        <v>2035</v>
      </c>
      <c r="B29" s="2976">
        <f>ROUND(B27*K6/10000,0)+ROUND(B28*(K7+K8+K9+K14+K15)/10000,0)</f>
        <v>2314</v>
      </c>
      <c r="C29" s="1760" t="s">
        <v>2036</v>
      </c>
      <c r="D29" s="2316"/>
      <c r="E29" s="1422"/>
      <c r="F29" s="1422"/>
      <c r="G29" s="2270"/>
      <c r="H29" s="2270"/>
      <c r="I29" s="2270"/>
      <c r="J29" s="2270"/>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7" customFormat="1" ht="27">
      <c r="A30" s="2321" t="s">
        <v>2037</v>
      </c>
      <c r="B30" s="722">
        <v>200</v>
      </c>
      <c r="C30" s="2319"/>
      <c r="D30" s="2316"/>
      <c r="E30" s="1422"/>
      <c r="F30" s="1422"/>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7" customFormat="1" ht="27">
      <c r="A31" s="2318" t="s">
        <v>2038</v>
      </c>
      <c r="B31" s="119">
        <f>B30-B32</f>
        <v>200</v>
      </c>
      <c r="C31" s="1760"/>
      <c r="D31" s="2316"/>
      <c r="E31" s="1422"/>
      <c r="F31" s="1422"/>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7" customFormat="1" ht="27.75" thickBot="1">
      <c r="A32" s="2322" t="s">
        <v>2039</v>
      </c>
      <c r="B32" s="2964">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7" customFormat="1" ht="14.25">
      <c r="A33" s="2315" t="s">
        <v>2040</v>
      </c>
      <c r="B33" s="723">
        <v>0.03</v>
      </c>
      <c r="C33" s="1759" t="s">
        <v>2041</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7" customFormat="1" ht="14.25">
      <c r="A34" s="2318" t="s">
        <v>2042</v>
      </c>
      <c r="B34" s="120">
        <v>0.05</v>
      </c>
      <c r="C34" s="1759" t="s">
        <v>2043</v>
      </c>
      <c r="D34" s="2271" t="s">
        <v>2044</v>
      </c>
      <c r="E34" s="729"/>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7" customFormat="1" ht="14.25">
      <c r="A35" s="2318" t="s">
        <v>2045</v>
      </c>
      <c r="B35" s="118">
        <v>200</v>
      </c>
      <c r="C35" s="1759" t="s">
        <v>2046</v>
      </c>
      <c r="D35" s="2316"/>
      <c r="E35" s="1422"/>
      <c r="F35" s="1422"/>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0" t="s">
        <v>2047</v>
      </c>
      <c r="B36" s="121">
        <v>1.4999999999999999E-2</v>
      </c>
      <c r="C36" s="1759" t="s">
        <v>2048</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2049</v>
      </c>
      <c r="B37" s="122">
        <v>0.02</v>
      </c>
      <c r="C37" s="1759" t="s">
        <v>2050</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2051</v>
      </c>
      <c r="B38" s="120">
        <v>0.02</v>
      </c>
      <c r="C38" s="1759" t="s">
        <v>2050</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2052</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2053</v>
      </c>
      <c r="B40" s="1295">
        <f ca="1">存贷款利率!G1</f>
        <v>4.7500000000000001E-2</v>
      </c>
      <c r="C40" s="1759" t="s">
        <v>2054</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2055</v>
      </c>
      <c r="B41" s="123">
        <f>B42+B43</f>
        <v>5.6000000000000001E-2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2056</v>
      </c>
      <c r="B42" s="124">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2057</v>
      </c>
      <c r="B43" s="125">
        <f>B42*(B44+B45+B46)+B47</f>
        <v>6.000000000000001E-3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2058</v>
      </c>
      <c r="B44" s="126">
        <v>7.0000000000000007E-2</v>
      </c>
      <c r="C44" s="1759" t="s">
        <v>2059</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2060</v>
      </c>
      <c r="B45" s="124">
        <v>0.03</v>
      </c>
      <c r="C45" s="1760" t="s">
        <v>2061</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2062</v>
      </c>
      <c r="B46" s="124">
        <v>0.02</v>
      </c>
      <c r="C46" s="1760" t="s">
        <v>2063</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2064</v>
      </c>
      <c r="B47" s="127">
        <v>0</v>
      </c>
      <c r="C47" s="1760" t="s">
        <v>2065</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2066</v>
      </c>
      <c r="B48" s="128">
        <v>0.03</v>
      </c>
      <c r="C48" s="1767" t="s">
        <v>2067</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2068</v>
      </c>
      <c r="B49" s="124">
        <v>5.0000000000000001E-4</v>
      </c>
      <c r="C49" s="1767" t="s">
        <v>2069</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2070</v>
      </c>
      <c r="B50" s="129">
        <v>1.2E-2</v>
      </c>
      <c r="C50" s="1422"/>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2071</v>
      </c>
      <c r="B51" s="130">
        <v>0.12</v>
      </c>
      <c r="C51" s="1422"/>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2072</v>
      </c>
      <c r="B52" s="131">
        <f>SUMIF(A54:A63,B53,B54:B63)</f>
        <v>1.5</v>
      </c>
      <c r="C52" s="1422"/>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2073</v>
      </c>
      <c r="B53" s="2329" t="s">
        <v>56</v>
      </c>
      <c r="C53" s="1422" t="s">
        <v>2074</v>
      </c>
      <c r="D53" s="2330" t="s">
        <v>2075</v>
      </c>
      <c r="E53" s="2270"/>
      <c r="F53" s="2270"/>
      <c r="G53" s="2270"/>
      <c r="H53" s="2270"/>
      <c r="I53" s="2270"/>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2076</v>
      </c>
      <c r="B54" s="83">
        <v>30</v>
      </c>
      <c r="C54" s="1422">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2077</v>
      </c>
      <c r="B55" s="83">
        <v>24</v>
      </c>
      <c r="C55" s="1422">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2078</v>
      </c>
      <c r="B56" s="83">
        <v>18</v>
      </c>
      <c r="C56" s="1422">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2079</v>
      </c>
      <c r="B57" s="83">
        <v>12</v>
      </c>
      <c r="C57" s="1422">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2080</v>
      </c>
      <c r="B58" s="83">
        <v>3</v>
      </c>
      <c r="C58" s="1422">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2081</v>
      </c>
      <c r="B59" s="83">
        <v>1.5</v>
      </c>
      <c r="C59" s="1422">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2082</v>
      </c>
      <c r="B60" s="83"/>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2083</v>
      </c>
      <c r="B61" s="83"/>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2084</v>
      </c>
      <c r="B62" s="83"/>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2085</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59" customFormat="1">
      <c r="A64" s="2334"/>
      <c r="D64" s="2335"/>
      <c r="K64" s="795"/>
      <c r="L64" s="795"/>
    </row>
    <row r="65" spans="1:12" s="959" customFormat="1">
      <c r="A65" s="2334"/>
      <c r="D65" s="2335"/>
      <c r="K65" s="795"/>
      <c r="L65" s="795"/>
    </row>
    <row r="66" spans="1:12" s="959" customFormat="1">
      <c r="A66" s="2334"/>
      <c r="D66" s="2335"/>
      <c r="K66" s="795"/>
      <c r="L66" s="795"/>
    </row>
    <row r="67" spans="1:12" s="959" customFormat="1">
      <c r="A67" s="2334"/>
      <c r="D67" s="2335"/>
      <c r="K67" s="795"/>
      <c r="L67" s="795"/>
    </row>
    <row r="68" spans="1:12" s="959" customFormat="1">
      <c r="A68" s="2334"/>
      <c r="D68" s="2335"/>
      <c r="K68" s="795"/>
      <c r="L68" s="795"/>
    </row>
    <row r="69" spans="1:12" s="959" customFormat="1">
      <c r="A69" s="2334"/>
      <c r="D69" s="2335"/>
      <c r="K69" s="795"/>
      <c r="L69" s="795"/>
    </row>
    <row r="70" spans="1:12" s="959" customFormat="1">
      <c r="A70" s="2334"/>
      <c r="D70" s="2335"/>
      <c r="K70" s="795"/>
      <c r="L70" s="795"/>
    </row>
    <row r="71" spans="1:12" s="959" customFormat="1">
      <c r="A71" s="2334"/>
      <c r="D71" s="2335"/>
      <c r="K71" s="795"/>
      <c r="L71" s="795"/>
    </row>
    <row r="72" spans="1:12" s="959" customFormat="1">
      <c r="A72" s="2334"/>
      <c r="D72" s="2335"/>
      <c r="K72" s="795"/>
      <c r="L72" s="795"/>
    </row>
    <row r="73" spans="1:12" s="959" customFormat="1">
      <c r="A73" s="2334"/>
      <c r="D73" s="2335"/>
      <c r="K73" s="795"/>
      <c r="L73" s="795"/>
    </row>
    <row r="74" spans="1:12" s="959" customFormat="1">
      <c r="A74" s="2334"/>
      <c r="D74" s="2335"/>
      <c r="K74" s="795"/>
      <c r="L74" s="795"/>
    </row>
    <row r="75" spans="1:12" s="959" customFormat="1">
      <c r="A75" s="2334"/>
      <c r="D75" s="2335"/>
      <c r="K75" s="795"/>
      <c r="L75" s="795"/>
    </row>
    <row r="76" spans="1:12" s="959" customFormat="1">
      <c r="A76" s="2334"/>
      <c r="D76" s="2335"/>
      <c r="K76" s="795"/>
      <c r="L76" s="795"/>
    </row>
    <row r="77" spans="1:12" s="959" customFormat="1">
      <c r="A77" s="2334"/>
      <c r="D77" s="2335"/>
      <c r="K77" s="795"/>
      <c r="L77" s="795"/>
    </row>
    <row r="78" spans="1:12" s="959" customFormat="1">
      <c r="A78" s="2334"/>
      <c r="D78" s="2335"/>
      <c r="K78" s="795"/>
      <c r="L78" s="795"/>
    </row>
    <row r="79" spans="1:12" s="959" customFormat="1">
      <c r="A79" s="2334"/>
      <c r="D79" s="2335"/>
      <c r="K79" s="795"/>
      <c r="L79" s="795"/>
    </row>
    <row r="80" spans="1:12" s="959" customFormat="1">
      <c r="A80" s="2334"/>
      <c r="D80" s="2335"/>
      <c r="K80" s="795"/>
      <c r="L80" s="795"/>
    </row>
    <row r="81" spans="1:12" s="959" customFormat="1">
      <c r="A81" s="2334"/>
      <c r="D81" s="2335"/>
      <c r="K81" s="795"/>
      <c r="L81" s="795"/>
    </row>
    <row r="82" spans="1:12" s="959" customFormat="1">
      <c r="A82" s="2334"/>
      <c r="D82" s="2335"/>
      <c r="K82" s="795"/>
      <c r="L82" s="795"/>
    </row>
    <row r="83" spans="1:12" s="959" customFormat="1">
      <c r="A83" s="2334"/>
      <c r="D83" s="2335"/>
      <c r="K83" s="795"/>
      <c r="L83" s="795"/>
    </row>
    <row r="84" spans="1:12" s="959" customFormat="1">
      <c r="A84" s="2334"/>
      <c r="D84" s="2335"/>
      <c r="K84" s="795"/>
      <c r="L84" s="795"/>
    </row>
    <row r="85" spans="1:12" s="959" customFormat="1">
      <c r="A85" s="2334"/>
      <c r="D85" s="2335"/>
      <c r="K85" s="795"/>
      <c r="L85" s="795"/>
    </row>
    <row r="86" spans="1:12" s="959" customFormat="1">
      <c r="A86" s="2334"/>
      <c r="D86" s="2335"/>
      <c r="K86" s="795"/>
      <c r="L86" s="795"/>
    </row>
    <row r="87" spans="1:12" s="959" customFormat="1">
      <c r="A87" s="2334"/>
      <c r="D87" s="2335"/>
      <c r="K87" s="795"/>
      <c r="L87" s="795"/>
    </row>
    <row r="88" spans="1:12" s="959" customFormat="1">
      <c r="A88" s="2334"/>
      <c r="D88" s="2335"/>
      <c r="K88" s="795"/>
      <c r="L88" s="795"/>
    </row>
    <row r="89" spans="1:12" s="959" customFormat="1">
      <c r="A89" s="2334"/>
      <c r="D89" s="2335"/>
      <c r="K89" s="795"/>
      <c r="L89" s="795"/>
    </row>
    <row r="90" spans="1:12" s="959" customFormat="1">
      <c r="A90" s="2334"/>
      <c r="D90" s="2335"/>
      <c r="K90" s="795"/>
      <c r="L90" s="795"/>
    </row>
    <row r="91" spans="1:12" s="959" customFormat="1">
      <c r="A91" s="2334"/>
      <c r="D91" s="2335"/>
      <c r="K91" s="795"/>
      <c r="L91" s="795"/>
    </row>
    <row r="92" spans="1:12" s="959" customFormat="1">
      <c r="A92" s="2334"/>
      <c r="D92" s="2335"/>
      <c r="K92" s="795"/>
      <c r="L92" s="795"/>
    </row>
    <row r="93" spans="1:12" s="959" customFormat="1">
      <c r="A93" s="2334"/>
      <c r="D93" s="2335"/>
      <c r="K93" s="795"/>
      <c r="L93" s="795"/>
    </row>
    <row r="94" spans="1:12" s="959" customFormat="1">
      <c r="A94" s="2334"/>
      <c r="D94" s="2335"/>
      <c r="K94" s="795"/>
      <c r="L94" s="795"/>
    </row>
    <row r="95" spans="1:12" s="959" customFormat="1">
      <c r="A95" s="2334"/>
      <c r="D95" s="2335"/>
      <c r="K95" s="795"/>
      <c r="L95" s="795"/>
    </row>
    <row r="96" spans="1:12" s="959" customFormat="1">
      <c r="A96" s="2334"/>
      <c r="D96" s="2335"/>
      <c r="K96" s="795"/>
      <c r="L96" s="795"/>
    </row>
    <row r="97" spans="1:12" s="959" customFormat="1">
      <c r="A97" s="2334"/>
      <c r="D97" s="2335"/>
      <c r="K97" s="795"/>
      <c r="L97" s="795"/>
    </row>
    <row r="98" spans="1:12" s="959" customFormat="1">
      <c r="A98" s="2334"/>
      <c r="D98" s="2335"/>
      <c r="K98" s="795"/>
      <c r="L98" s="795"/>
    </row>
    <row r="99" spans="1:12" s="959" customFormat="1">
      <c r="A99" s="2334"/>
      <c r="D99" s="2335"/>
      <c r="K99" s="795"/>
      <c r="L99" s="795"/>
    </row>
    <row r="100" spans="1:12" s="959" customFormat="1">
      <c r="A100" s="2334"/>
      <c r="D100" s="2335"/>
      <c r="K100" s="795"/>
      <c r="L100" s="795"/>
    </row>
    <row r="101" spans="1:12" s="959" customFormat="1">
      <c r="A101" s="2334"/>
      <c r="D101" s="2335"/>
      <c r="K101" s="795"/>
      <c r="L101" s="795"/>
    </row>
    <row r="102" spans="1:12" s="959" customFormat="1">
      <c r="A102" s="2334"/>
      <c r="D102" s="2335"/>
      <c r="K102" s="795"/>
      <c r="L102" s="795"/>
    </row>
    <row r="103" spans="1:12" s="959" customFormat="1">
      <c r="A103" s="2334"/>
      <c r="D103" s="2335"/>
      <c r="K103" s="795"/>
      <c r="L103" s="795"/>
    </row>
    <row r="104" spans="1:12" s="959" customFormat="1">
      <c r="A104" s="2334"/>
      <c r="D104" s="2335"/>
      <c r="K104" s="795"/>
      <c r="L104" s="795"/>
    </row>
    <row r="105" spans="1:12" s="959" customFormat="1">
      <c r="A105" s="2334"/>
      <c r="D105" s="2335"/>
      <c r="K105" s="795"/>
      <c r="L105" s="795"/>
    </row>
    <row r="106" spans="1:12" s="959" customFormat="1">
      <c r="A106" s="2334"/>
      <c r="D106" s="2335"/>
      <c r="K106" s="795"/>
      <c r="L106" s="795"/>
    </row>
    <row r="107" spans="1:12" s="959" customFormat="1">
      <c r="A107" s="2334"/>
      <c r="D107" s="2335"/>
      <c r="K107" s="795"/>
      <c r="L107" s="795"/>
    </row>
    <row r="108" spans="1:12" s="959" customFormat="1">
      <c r="A108" s="2334"/>
      <c r="D108" s="2335"/>
      <c r="K108" s="795"/>
      <c r="L108" s="795"/>
    </row>
    <row r="109" spans="1:12" s="959" customFormat="1">
      <c r="A109" s="2334"/>
      <c r="D109" s="2335"/>
      <c r="K109" s="795"/>
      <c r="L109" s="795"/>
    </row>
    <row r="110" spans="1:12" s="959" customFormat="1">
      <c r="A110" s="2334"/>
      <c r="D110" s="2335"/>
      <c r="K110" s="795"/>
      <c r="L110" s="795"/>
    </row>
    <row r="111" spans="1:12" s="959" customFormat="1">
      <c r="A111" s="2334"/>
      <c r="D111" s="2335"/>
      <c r="K111" s="795"/>
      <c r="L111" s="795"/>
    </row>
    <row r="112" spans="1:12" s="959" customFormat="1">
      <c r="A112" s="2334"/>
      <c r="D112" s="2335"/>
      <c r="K112" s="795"/>
      <c r="L112" s="795"/>
    </row>
    <row r="113" spans="1:12" s="959" customFormat="1">
      <c r="A113" s="2334"/>
      <c r="D113" s="2335"/>
      <c r="K113" s="795"/>
      <c r="L113" s="795"/>
    </row>
    <row r="114" spans="1:12" s="959" customFormat="1">
      <c r="A114" s="2334"/>
      <c r="D114" s="2335"/>
      <c r="K114" s="795"/>
      <c r="L114" s="795"/>
    </row>
    <row r="115" spans="1:12" s="959" customFormat="1">
      <c r="A115" s="2334"/>
      <c r="D115" s="2335"/>
      <c r="K115" s="795"/>
      <c r="L115" s="795"/>
    </row>
    <row r="116" spans="1:12" s="959" customFormat="1">
      <c r="A116" s="2334"/>
      <c r="D116" s="2335"/>
      <c r="K116" s="795"/>
      <c r="L116" s="795"/>
    </row>
    <row r="117" spans="1:12" s="959" customFormat="1">
      <c r="A117" s="2334"/>
      <c r="D117" s="2335"/>
      <c r="K117" s="795"/>
      <c r="L117" s="795"/>
    </row>
    <row r="118" spans="1:12" s="959" customFormat="1">
      <c r="A118" s="2334"/>
      <c r="D118" s="2335"/>
      <c r="K118" s="795"/>
      <c r="L118" s="795"/>
    </row>
    <row r="119" spans="1:12" s="959" customFormat="1">
      <c r="A119" s="2334"/>
      <c r="D119" s="2335"/>
      <c r="K119" s="795"/>
      <c r="L119" s="795"/>
    </row>
    <row r="120" spans="1:12" s="959" customFormat="1">
      <c r="A120" s="2334"/>
      <c r="D120" s="2335"/>
      <c r="K120" s="795"/>
      <c r="L120" s="795"/>
    </row>
    <row r="121" spans="1:12" s="959" customFormat="1">
      <c r="A121" s="2334"/>
      <c r="D121" s="2335"/>
      <c r="K121" s="795"/>
      <c r="L121" s="795"/>
    </row>
    <row r="122" spans="1:12" s="959" customFormat="1">
      <c r="A122" s="2334"/>
      <c r="D122" s="2335"/>
      <c r="K122" s="795"/>
      <c r="L122" s="795"/>
    </row>
    <row r="123" spans="1:12" s="959" customFormat="1">
      <c r="A123" s="2334"/>
      <c r="D123" s="2335"/>
      <c r="K123" s="795"/>
      <c r="L123" s="795"/>
    </row>
    <row r="124" spans="1:12" s="959" customFormat="1">
      <c r="A124" s="2334"/>
      <c r="D124" s="2335"/>
      <c r="K124" s="795"/>
      <c r="L124" s="795"/>
    </row>
    <row r="125" spans="1:12" s="959" customFormat="1">
      <c r="A125" s="2334"/>
      <c r="D125" s="2335"/>
      <c r="K125" s="795"/>
      <c r="L125" s="795"/>
    </row>
    <row r="126" spans="1:12" s="959" customFormat="1">
      <c r="A126" s="2334"/>
      <c r="D126" s="2335"/>
      <c r="K126" s="795"/>
      <c r="L126" s="795"/>
    </row>
    <row r="127" spans="1:12" s="959" customFormat="1">
      <c r="A127" s="2334"/>
      <c r="D127" s="2335"/>
      <c r="K127" s="795"/>
      <c r="L127" s="795"/>
    </row>
    <row r="128" spans="1:12" s="959" customFormat="1">
      <c r="A128" s="2334"/>
      <c r="D128" s="2335"/>
      <c r="K128" s="795"/>
      <c r="L128" s="795"/>
    </row>
    <row r="129" spans="1:12" s="959" customFormat="1">
      <c r="A129" s="2334"/>
      <c r="D129" s="2335"/>
      <c r="K129" s="795"/>
      <c r="L129" s="795"/>
    </row>
    <row r="130" spans="1:12" s="959" customFormat="1">
      <c r="A130" s="2334"/>
      <c r="D130" s="2335"/>
      <c r="K130" s="795"/>
      <c r="L130" s="795"/>
    </row>
    <row r="131" spans="1:12" s="959" customFormat="1">
      <c r="A131" s="2334"/>
      <c r="D131" s="2335"/>
      <c r="K131" s="795"/>
      <c r="L131" s="795"/>
    </row>
    <row r="132" spans="1:12" s="959" customFormat="1">
      <c r="A132" s="2334"/>
      <c r="D132" s="2335"/>
      <c r="K132" s="795"/>
      <c r="L132" s="795"/>
    </row>
    <row r="133" spans="1:12" s="959" customFormat="1">
      <c r="A133" s="2334"/>
      <c r="D133" s="2335"/>
      <c r="K133" s="795"/>
      <c r="L133" s="795"/>
    </row>
    <row r="134" spans="1:12" s="2267" customFormat="1">
      <c r="A134" s="2336"/>
      <c r="D134" s="2337"/>
      <c r="K134" s="26"/>
      <c r="L134" s="26"/>
    </row>
    <row r="135" spans="1:12" s="2267" customFormat="1">
      <c r="A135" s="2336"/>
      <c r="D135" s="2337"/>
      <c r="K135" s="26"/>
      <c r="L135" s="26"/>
    </row>
    <row r="136" spans="1:12" s="2267" customFormat="1">
      <c r="A136" s="2336"/>
      <c r="D136" s="2337"/>
      <c r="K136" s="26"/>
      <c r="L136" s="26"/>
    </row>
    <row r="137" spans="1:12" s="2267" customFormat="1">
      <c r="A137" s="2336"/>
      <c r="D137" s="2337"/>
      <c r="K137" s="26"/>
      <c r="L137" s="26"/>
    </row>
    <row r="138" spans="1:12" s="2267" customFormat="1">
      <c r="A138" s="2336"/>
      <c r="D138" s="2337"/>
      <c r="K138" s="26"/>
      <c r="L138" s="26"/>
    </row>
    <row r="139" spans="1:12" s="2267" customFormat="1">
      <c r="A139" s="2336"/>
      <c r="D139" s="2337"/>
      <c r="K139" s="26"/>
      <c r="L139" s="26"/>
    </row>
    <row r="140" spans="1:12" s="2267" customFormat="1">
      <c r="A140" s="2336"/>
      <c r="D140" s="2337"/>
      <c r="K140" s="26"/>
      <c r="L140" s="26"/>
    </row>
    <row r="141" spans="1:12" s="2267" customFormat="1">
      <c r="A141" s="2336"/>
      <c r="D141" s="2337"/>
      <c r="K141" s="26"/>
      <c r="L141" s="26"/>
    </row>
    <row r="142" spans="1:12" s="2267" customFormat="1">
      <c r="A142" s="2336"/>
      <c r="D142" s="2337"/>
      <c r="K142" s="26"/>
      <c r="L142" s="26"/>
    </row>
    <row r="143" spans="1:12" s="2267" customFormat="1">
      <c r="A143" s="2336"/>
      <c r="D143" s="2337"/>
      <c r="K143" s="26"/>
      <c r="L143" s="26"/>
    </row>
    <row r="144" spans="1:12" s="2267" customFormat="1">
      <c r="A144" s="2336"/>
      <c r="D144" s="2337"/>
      <c r="K144" s="26"/>
      <c r="L144" s="26"/>
    </row>
    <row r="145" spans="1:12" s="2267" customFormat="1">
      <c r="A145" s="2336"/>
      <c r="D145" s="2337"/>
      <c r="K145" s="26"/>
      <c r="L145" s="26"/>
    </row>
    <row r="146" spans="1:12" s="2267" customFormat="1">
      <c r="A146" s="2336"/>
      <c r="D146" s="2337"/>
      <c r="K146" s="26"/>
      <c r="L146" s="26"/>
    </row>
    <row r="147" spans="1:12" s="2267" customFormat="1">
      <c r="A147" s="2336"/>
      <c r="D147" s="2337"/>
      <c r="K147" s="26"/>
      <c r="L147" s="26"/>
    </row>
    <row r="148" spans="1:12" s="2267" customFormat="1">
      <c r="A148" s="2336"/>
      <c r="D148" s="2337"/>
      <c r="K148" s="26"/>
      <c r="L148" s="26"/>
    </row>
    <row r="149" spans="1:12" s="2267" customFormat="1">
      <c r="A149" s="2336"/>
      <c r="D149" s="2337"/>
      <c r="K149" s="26"/>
      <c r="L149" s="26"/>
    </row>
    <row r="150" spans="1:12" s="2267" customFormat="1">
      <c r="A150" s="2336"/>
      <c r="D150" s="2337"/>
      <c r="K150" s="26"/>
      <c r="L150" s="26"/>
    </row>
    <row r="151" spans="1:12" s="2267" customFormat="1">
      <c r="A151" s="2336"/>
      <c r="D151" s="2337"/>
      <c r="K151" s="26"/>
      <c r="L151" s="26"/>
    </row>
    <row r="152" spans="1:12" s="2267" customFormat="1">
      <c r="A152" s="2336"/>
      <c r="D152" s="2337"/>
      <c r="K152" s="26"/>
      <c r="L152" s="26"/>
    </row>
    <row r="153" spans="1:12" s="2267" customFormat="1">
      <c r="A153" s="2336"/>
      <c r="D153" s="2337"/>
      <c r="K153" s="26"/>
      <c r="L153" s="26"/>
    </row>
    <row r="154" spans="1:12" s="2267" customFormat="1">
      <c r="A154" s="2336"/>
      <c r="D154" s="2337"/>
      <c r="K154" s="26"/>
      <c r="L154" s="26"/>
    </row>
    <row r="155" spans="1:12" s="2267" customFormat="1">
      <c r="A155" s="2336"/>
      <c r="D155" s="2337"/>
      <c r="K155" s="26"/>
      <c r="L155" s="26"/>
    </row>
    <row r="156" spans="1:12" s="2267" customFormat="1">
      <c r="A156" s="2336"/>
      <c r="D156" s="2337"/>
      <c r="K156" s="26"/>
      <c r="L156" s="26"/>
    </row>
    <row r="157" spans="1:12" s="2267" customFormat="1">
      <c r="A157" s="2336"/>
      <c r="D157" s="2337"/>
      <c r="K157" s="26"/>
      <c r="L157" s="26"/>
    </row>
    <row r="158" spans="1:12" s="2267" customFormat="1">
      <c r="A158" s="2336"/>
      <c r="D158" s="2337"/>
      <c r="K158" s="26"/>
      <c r="L158" s="26"/>
    </row>
    <row r="159" spans="1:12" s="2267" customFormat="1">
      <c r="A159" s="2336"/>
      <c r="D159" s="2337"/>
      <c r="K159" s="26"/>
      <c r="L159" s="26"/>
    </row>
    <row r="160" spans="1:12" s="2267" customFormat="1">
      <c r="A160" s="2336"/>
      <c r="D160" s="2337"/>
      <c r="K160" s="26"/>
      <c r="L160" s="26"/>
    </row>
    <row r="161" spans="1:12" s="2267" customFormat="1">
      <c r="A161" s="2336"/>
      <c r="D161" s="2337"/>
      <c r="K161" s="26"/>
      <c r="L161" s="26"/>
    </row>
    <row r="162" spans="1:12" s="2267" customFormat="1">
      <c r="A162" s="2336"/>
      <c r="D162" s="2337"/>
      <c r="K162" s="26"/>
      <c r="L162" s="26"/>
    </row>
    <row r="163" spans="1:12" s="2267" customFormat="1">
      <c r="A163" s="2336"/>
      <c r="D163" s="2337"/>
      <c r="K163" s="26"/>
      <c r="L163" s="26"/>
    </row>
    <row r="164" spans="1:12" s="2267" customFormat="1">
      <c r="A164" s="2336"/>
      <c r="D164" s="2337"/>
      <c r="K164" s="26"/>
      <c r="L164" s="26"/>
    </row>
    <row r="165" spans="1:12" s="2267" customFormat="1">
      <c r="A165" s="2336"/>
      <c r="D165" s="2337"/>
      <c r="K165" s="26"/>
      <c r="L165" s="26"/>
    </row>
    <row r="166" spans="1:12" s="2267" customFormat="1">
      <c r="A166" s="2336"/>
      <c r="D166" s="2337"/>
      <c r="K166" s="26"/>
      <c r="L166" s="26"/>
    </row>
    <row r="167" spans="1:12" s="2267" customFormat="1">
      <c r="A167" s="2336"/>
      <c r="D167" s="2337"/>
      <c r="K167" s="26"/>
      <c r="L167" s="26"/>
    </row>
    <row r="168" spans="1:12" s="2267" customFormat="1">
      <c r="A168" s="2336"/>
      <c r="D168" s="2337"/>
      <c r="K168" s="26"/>
      <c r="L168" s="26"/>
    </row>
    <row r="169" spans="1:12" s="2267" customFormat="1">
      <c r="A169" s="2336"/>
      <c r="D169" s="2337"/>
      <c r="K169" s="26"/>
      <c r="L169" s="26"/>
    </row>
    <row r="170" spans="1:12" s="2267" customFormat="1">
      <c r="A170" s="2336"/>
      <c r="D170" s="2337"/>
      <c r="K170" s="26"/>
      <c r="L170" s="26"/>
    </row>
    <row r="171" spans="1:12" s="2267" customFormat="1">
      <c r="A171" s="2336"/>
      <c r="D171" s="2337"/>
      <c r="K171" s="26"/>
      <c r="L171" s="26"/>
    </row>
    <row r="172" spans="1:12" s="2267" customFormat="1">
      <c r="A172" s="2336"/>
      <c r="D172" s="2337"/>
      <c r="K172" s="26"/>
      <c r="L172" s="26"/>
    </row>
    <row r="173" spans="1:12" s="2267" customFormat="1">
      <c r="A173" s="2336"/>
      <c r="D173" s="2337"/>
      <c r="K173" s="26"/>
      <c r="L173" s="26"/>
    </row>
    <row r="174" spans="1:12" s="2267" customFormat="1">
      <c r="A174" s="2336"/>
      <c r="D174" s="233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68" t="s">
        <v>2086</v>
      </c>
      <c r="B1" s="3069"/>
      <c r="C1" s="3069"/>
      <c r="D1" s="3069"/>
      <c r="E1" s="3069"/>
      <c r="F1" s="3069"/>
      <c r="G1" s="306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2087</v>
      </c>
      <c r="D2" s="2359"/>
      <c r="E2" s="2360"/>
      <c r="F2" s="2279"/>
      <c r="G2" s="2358" t="s">
        <v>2088</v>
      </c>
      <c r="H2" s="2361"/>
      <c r="I2" s="2361"/>
      <c r="J2" s="2361"/>
      <c r="K2" s="2361"/>
      <c r="L2" s="2361"/>
      <c r="M2" s="2361"/>
      <c r="N2" s="2361"/>
      <c r="O2" s="2361"/>
      <c r="P2" s="2361"/>
      <c r="Q2" s="2361"/>
      <c r="R2" s="2361"/>
    </row>
    <row r="3" spans="1:29" ht="42.75">
      <c r="A3" s="413" t="s">
        <v>2089</v>
      </c>
      <c r="B3" s="1263" t="s">
        <v>2090</v>
      </c>
      <c r="C3" s="2938" t="s">
        <v>3161</v>
      </c>
      <c r="D3" s="2363"/>
      <c r="E3" s="429" t="s">
        <v>2089</v>
      </c>
      <c r="F3" s="2364" t="s">
        <v>2091</v>
      </c>
      <c r="G3" s="2365" t="s">
        <v>2092</v>
      </c>
      <c r="H3" s="2361"/>
      <c r="I3" s="2361"/>
      <c r="J3" s="2361"/>
      <c r="K3" s="2361"/>
      <c r="L3" s="2361"/>
      <c r="M3" s="2361"/>
      <c r="N3" s="2361"/>
      <c r="O3" s="2361"/>
      <c r="P3" s="2361"/>
      <c r="Q3" s="2361"/>
      <c r="R3" s="2361"/>
    </row>
    <row r="4" spans="1:29" ht="40.5">
      <c r="A4" s="429"/>
      <c r="B4" s="1791" t="s">
        <v>2093</v>
      </c>
      <c r="C4" s="2939" t="s">
        <v>3162</v>
      </c>
      <c r="D4" s="2363"/>
      <c r="E4" s="2366"/>
      <c r="F4" s="41" t="s">
        <v>2094</v>
      </c>
      <c r="G4" s="2367" t="s">
        <v>2095</v>
      </c>
      <c r="H4" s="2361"/>
      <c r="I4" s="2361"/>
      <c r="J4" s="2361"/>
      <c r="K4" s="2361"/>
      <c r="L4" s="2361"/>
      <c r="M4" s="2361"/>
      <c r="N4" s="2361"/>
      <c r="O4" s="2361"/>
      <c r="P4" s="2361"/>
      <c r="Q4" s="2361"/>
      <c r="R4" s="2361"/>
    </row>
    <row r="5" spans="1:29" ht="27">
      <c r="A5" s="429"/>
      <c r="B5" s="1791" t="s">
        <v>2096</v>
      </c>
      <c r="C5" s="2939" t="s">
        <v>3163</v>
      </c>
      <c r="D5" s="2363"/>
      <c r="E5" s="2366"/>
      <c r="F5" s="1791" t="s">
        <v>2097</v>
      </c>
      <c r="G5" s="2367" t="s">
        <v>2098</v>
      </c>
      <c r="H5" s="2361"/>
      <c r="I5" s="2361"/>
      <c r="J5" s="2361"/>
      <c r="K5" s="2361"/>
      <c r="L5" s="2361"/>
      <c r="M5" s="2361"/>
      <c r="N5" s="2361"/>
      <c r="O5" s="2361"/>
      <c r="P5" s="2361"/>
      <c r="Q5" s="2361"/>
      <c r="R5" s="2361"/>
    </row>
    <row r="6" spans="1:29" ht="27">
      <c r="A6" s="429"/>
      <c r="B6" s="1791" t="s">
        <v>2099</v>
      </c>
      <c r="C6" s="2940" t="s">
        <v>3164</v>
      </c>
      <c r="D6" s="2363"/>
      <c r="E6" s="2366"/>
      <c r="F6" s="1791" t="s">
        <v>2100</v>
      </c>
      <c r="G6" s="2367" t="s">
        <v>2101</v>
      </c>
      <c r="H6" s="2361"/>
      <c r="I6" s="2361"/>
      <c r="J6" s="2361"/>
      <c r="K6" s="2361"/>
      <c r="L6" s="2361"/>
      <c r="M6" s="2361"/>
      <c r="N6" s="2361"/>
      <c r="O6" s="2361"/>
      <c r="P6" s="2361"/>
      <c r="Q6" s="2361"/>
      <c r="R6" s="2361"/>
    </row>
    <row r="7" spans="1:29" ht="41.25" thickBot="1">
      <c r="A7" s="429"/>
      <c r="B7" s="1791" t="s">
        <v>2097</v>
      </c>
      <c r="C7" s="2940" t="s">
        <v>3166</v>
      </c>
      <c r="D7" s="2368"/>
      <c r="E7" s="2369"/>
      <c r="F7" s="2370" t="s">
        <v>2102</v>
      </c>
      <c r="G7" s="2371" t="s">
        <v>2103</v>
      </c>
      <c r="H7" s="2361"/>
      <c r="I7" s="2361"/>
      <c r="J7" s="2361"/>
      <c r="K7" s="2361"/>
      <c r="L7" s="2361"/>
      <c r="M7" s="2361"/>
      <c r="N7" s="2361"/>
      <c r="O7" s="2361"/>
      <c r="P7" s="2361"/>
      <c r="Q7" s="2361"/>
      <c r="R7" s="2361"/>
    </row>
    <row r="8" spans="1:29" ht="15">
      <c r="A8" s="429"/>
      <c r="B8" s="1791" t="s">
        <v>2100</v>
      </c>
      <c r="C8" s="2940" t="s">
        <v>3165</v>
      </c>
      <c r="D8" s="2368"/>
      <c r="E8" s="2368"/>
      <c r="F8" s="1128"/>
      <c r="G8" s="1128"/>
      <c r="H8" s="2361"/>
      <c r="I8" s="2361"/>
      <c r="J8" s="2361"/>
      <c r="K8" s="2361"/>
      <c r="L8" s="2361"/>
      <c r="M8" s="2361"/>
      <c r="N8" s="2361"/>
      <c r="O8" s="2361"/>
      <c r="P8" s="2361"/>
      <c r="Q8" s="2361"/>
      <c r="R8" s="2361"/>
    </row>
    <row r="9" spans="1:29" ht="54">
      <c r="A9" s="429"/>
      <c r="B9" s="1791" t="s">
        <v>2104</v>
      </c>
      <c r="C9" s="2939" t="s">
        <v>3167</v>
      </c>
      <c r="D9" s="2363"/>
      <c r="E9" s="2368"/>
      <c r="F9" s="1128"/>
      <c r="G9" s="1128"/>
      <c r="H9" s="2361"/>
      <c r="I9" s="2361"/>
      <c r="J9" s="2361"/>
      <c r="K9" s="2361"/>
      <c r="L9" s="2361"/>
      <c r="M9" s="2361"/>
      <c r="N9" s="2361"/>
      <c r="O9" s="2361"/>
      <c r="P9" s="2361"/>
      <c r="Q9" s="2361"/>
      <c r="R9" s="2361"/>
    </row>
    <row r="10" spans="1:29" s="116" customFormat="1" ht="15.75" thickBot="1">
      <c r="A10" s="2372"/>
      <c r="B10" s="2373" t="s">
        <v>2105</v>
      </c>
      <c r="C10" s="2374" t="s">
        <v>3168</v>
      </c>
      <c r="D10" s="2363"/>
      <c r="E10" s="2363"/>
      <c r="F10" s="1128"/>
      <c r="G10" s="1128"/>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6"/>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6"/>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2106</v>
      </c>
      <c r="B13" s="2379"/>
      <c r="C13" s="2379"/>
      <c r="D13" s="2386"/>
      <c r="E13" s="2379"/>
      <c r="F13" s="2379"/>
      <c r="G13" s="2379"/>
    </row>
    <row r="14" spans="1:29" ht="15.75" thickBot="1">
      <c r="A14" s="2390"/>
      <c r="B14" s="2391"/>
      <c r="C14" s="2392" t="s">
        <v>2107</v>
      </c>
      <c r="D14" s="2363"/>
      <c r="E14" s="2393"/>
      <c r="F14" s="2393"/>
      <c r="G14" s="2358" t="s">
        <v>2108</v>
      </c>
    </row>
    <row r="15" spans="1:29" ht="42.75">
      <c r="A15" s="67" t="s">
        <v>2109</v>
      </c>
      <c r="B15" s="1262" t="s">
        <v>2090</v>
      </c>
      <c r="C15" s="2394" t="str">
        <f>C3</f>
        <v>周边2公里内有泷悦长安、梧桐苑等住宅项目，居住社区成熟度一般</v>
      </c>
      <c r="D15" s="2363"/>
      <c r="E15" s="2395" t="s">
        <v>2110</v>
      </c>
      <c r="F15" s="1262" t="s">
        <v>2111</v>
      </c>
      <c r="G15" s="133" t="str">
        <f>G3</f>
        <v>估价对象位于XX开发区，园区建设成熟度XX，产业集聚程度XX</v>
      </c>
    </row>
    <row r="16" spans="1:29" ht="42.75">
      <c r="A16" s="643"/>
      <c r="B16" s="2396" t="s">
        <v>2093</v>
      </c>
      <c r="C16" s="2397" t="str">
        <f>C4</f>
        <v>估价对象零星分布商业，商业繁华度一般</v>
      </c>
      <c r="D16" s="2363"/>
      <c r="E16" s="2398"/>
      <c r="F16" s="2399" t="s">
        <v>2094</v>
      </c>
      <c r="G16" s="134" t="str">
        <f>G4</f>
        <v>估价对象周边道路状况、公共交通通达情况、停车便捷程度，综合评价交通便捷度较好</v>
      </c>
    </row>
    <row r="17" spans="1:18" ht="28.5">
      <c r="A17" s="643"/>
      <c r="B17" s="2396" t="s">
        <v>2096</v>
      </c>
      <c r="C17" s="2397" t="str">
        <f>C5</f>
        <v>估价对象周边办公楼项目较少，办公集聚程度一般</v>
      </c>
      <c r="D17" s="2368"/>
      <c r="E17" s="2398"/>
      <c r="F17" s="2399" t="s">
        <v>2112</v>
      </c>
      <c r="G17" s="1565"/>
    </row>
    <row r="18" spans="1:18" ht="42.75">
      <c r="A18" s="643"/>
      <c r="B18" s="2399" t="s">
        <v>2099</v>
      </c>
      <c r="C18" s="134" t="str">
        <f>C6</f>
        <v>周边有941、981路等公交线路经过，交通便捷度一般</v>
      </c>
      <c r="D18" s="2368"/>
      <c r="E18" s="2398"/>
      <c r="F18" s="2399" t="s">
        <v>2102</v>
      </c>
      <c r="G18" s="134" t="str">
        <f>G7</f>
        <v>该园区内是否有污染型企业，绿化情况，卫生条件，整体环境状况判断</v>
      </c>
    </row>
    <row r="19" spans="1:18" ht="28.5">
      <c r="A19" s="643"/>
      <c r="B19" s="2399" t="s">
        <v>2113</v>
      </c>
      <c r="C19" s="2941" t="s">
        <v>3169</v>
      </c>
      <c r="D19" s="2363"/>
      <c r="E19" s="2398"/>
      <c r="F19" s="1791" t="s">
        <v>2097</v>
      </c>
      <c r="G19" s="134" t="str">
        <f>G5</f>
        <v>估价对象所在区域公共配套设施齐备情况</v>
      </c>
    </row>
    <row r="20" spans="1:18" ht="57">
      <c r="A20" s="643"/>
      <c r="B20" s="2399" t="s">
        <v>2114</v>
      </c>
      <c r="C20" s="2397" t="str">
        <f>C9</f>
        <v>周边无大学等教育配套设施，有石门营文化公园等绿化设施，自然及人文环境一般</v>
      </c>
      <c r="D20" s="2368"/>
      <c r="E20" s="2398"/>
      <c r="F20" s="1791" t="s">
        <v>2115</v>
      </c>
      <c r="G20" s="134" t="str">
        <f>G6</f>
        <v>估价对象所在区域基础设施水平</v>
      </c>
    </row>
    <row r="21" spans="1:18" ht="28.5">
      <c r="A21" s="643"/>
      <c r="B21" s="1791" t="s">
        <v>2097</v>
      </c>
      <c r="C21" s="134" t="str">
        <f>C7</f>
        <v>估价对象所在区域公共配套设施齐备较差</v>
      </c>
      <c r="D21" s="2363"/>
      <c r="E21" s="2398"/>
      <c r="F21" s="2399" t="s">
        <v>2116</v>
      </c>
      <c r="G21" s="2400"/>
    </row>
    <row r="22" spans="1:18" ht="13.5" customHeight="1">
      <c r="A22" s="643"/>
      <c r="B22" s="1791" t="s">
        <v>2100</v>
      </c>
      <c r="C22" s="134" t="str">
        <f>C8</f>
        <v>基础设施为七通</v>
      </c>
      <c r="D22" s="2363"/>
      <c r="E22" s="2398"/>
      <c r="F22" s="2399" t="s">
        <v>2105</v>
      </c>
      <c r="G22" s="1565"/>
    </row>
    <row r="23" spans="1:18" s="2361" customFormat="1" ht="15.75" thickBot="1">
      <c r="A23" s="643"/>
      <c r="B23" s="2399" t="s">
        <v>2116</v>
      </c>
      <c r="C23" s="2400"/>
      <c r="D23" s="2387"/>
      <c r="E23" s="2401"/>
      <c r="F23" s="2402" t="s">
        <v>2117</v>
      </c>
      <c r="G23" s="2403"/>
      <c r="H23" s="2387"/>
      <c r="I23" s="2388"/>
      <c r="J23" s="2387"/>
      <c r="K23" s="2387"/>
      <c r="L23" s="2388"/>
      <c r="M23" s="2387"/>
      <c r="N23" s="2387"/>
      <c r="O23" s="2388"/>
      <c r="P23" s="2387"/>
      <c r="Q23" s="2387"/>
      <c r="R23" s="2389"/>
    </row>
    <row r="24" spans="1:18" s="2361" customFormat="1" ht="15.75" thickBot="1">
      <c r="A24" s="2404"/>
      <c r="B24" s="2402" t="s">
        <v>2118</v>
      </c>
      <c r="C24" s="135" t="str">
        <f>C10</f>
        <v>城市支路——未命名道路</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34" customWidth="1"/>
    <col min="2" max="9" width="15.75" style="1734" customWidth="1"/>
    <col min="10" max="16384" width="9" style="1734"/>
  </cols>
  <sheetData>
    <row r="1" spans="1:10" ht="16.5">
      <c r="A1" s="1739" t="s">
        <v>1366</v>
      </c>
      <c r="B1" s="1739">
        <f>SUM(B14:B23)</f>
        <v>136408.82</v>
      </c>
      <c r="C1" s="1738"/>
      <c r="D1" s="1738"/>
      <c r="E1" s="1738"/>
      <c r="F1" s="1738"/>
      <c r="G1" s="1736"/>
    </row>
    <row r="2" spans="1:10" ht="16.5">
      <c r="A2" s="1739" t="s">
        <v>1354</v>
      </c>
      <c r="B2" s="1739">
        <f>SUM(C14:C23)</f>
        <v>35880.089999999997</v>
      </c>
      <c r="C2" s="1738"/>
      <c r="D2" s="1738"/>
      <c r="E2" s="1738"/>
      <c r="F2" s="1738"/>
      <c r="G2" s="1736"/>
    </row>
    <row r="3" spans="1:10" ht="16.5">
      <c r="A3" s="1739" t="s">
        <v>1363</v>
      </c>
      <c r="B3" s="1740">
        <f>项目基本情况!D3</f>
        <v>43126</v>
      </c>
      <c r="C3" s="1738"/>
      <c r="D3" s="1738"/>
      <c r="E3" s="1738"/>
      <c r="F3" s="1738"/>
      <c r="G3" s="1736"/>
    </row>
    <row r="4" spans="1:10" ht="33">
      <c r="A4" s="1739" t="s">
        <v>1362</v>
      </c>
      <c r="B4" s="1739" t="s">
        <v>1361</v>
      </c>
      <c r="C4" s="1739" t="s">
        <v>1360</v>
      </c>
      <c r="D4" s="1739" t="s">
        <v>1359</v>
      </c>
      <c r="E4" s="1738"/>
      <c r="F4" s="1736"/>
      <c r="G4" s="1736"/>
    </row>
    <row r="5" spans="1:10" ht="16.5">
      <c r="A5" s="1739" t="s">
        <v>1358</v>
      </c>
      <c r="B5" s="1739">
        <f ca="1">SUM(D14:D23)</f>
        <v>523022</v>
      </c>
      <c r="C5" s="1739">
        <f ca="1">ROUND(B5*10000/$B$1,0)</f>
        <v>38342</v>
      </c>
      <c r="D5" s="1739">
        <f ca="1">ROUND(B5*10000/$B$2,0)</f>
        <v>145769</v>
      </c>
      <c r="E5" s="1738"/>
      <c r="F5" s="1736"/>
      <c r="G5" s="1736"/>
    </row>
    <row r="6" spans="1:10" ht="16.5">
      <c r="A6" s="1739" t="s">
        <v>1357</v>
      </c>
      <c r="B6" s="1739">
        <f ca="1">SUM(G14:G23)</f>
        <v>523022</v>
      </c>
      <c r="C6" s="1739">
        <f ca="1">ROUND(B6*10000/$B$1,0)</f>
        <v>38342</v>
      </c>
      <c r="D6" s="1739">
        <f ca="1">ROUND(B6*10000/$B$2,0)</f>
        <v>145769</v>
      </c>
      <c r="E6" s="1738"/>
      <c r="F6" s="1736"/>
      <c r="G6" s="1736"/>
    </row>
    <row r="7" spans="1:10" ht="16.5">
      <c r="A7" s="1739" t="s">
        <v>1365</v>
      </c>
      <c r="B7" s="1739">
        <f>SUM(H14:H23)</f>
        <v>0</v>
      </c>
      <c r="C7" s="1739">
        <f>ROUND(B7*10000/$B$1,0)</f>
        <v>0</v>
      </c>
      <c r="D7" s="1739">
        <f>ROUND(B7*10000/$B$2,0)</f>
        <v>0</v>
      </c>
      <c r="E7" s="1738"/>
      <c r="F7" s="1736"/>
      <c r="G7" s="1736"/>
    </row>
    <row r="8" spans="1:10" ht="16.5">
      <c r="A8" s="1739" t="s">
        <v>1286</v>
      </c>
      <c r="B8" s="1739">
        <f>SUM(I14:I23)</f>
        <v>0</v>
      </c>
      <c r="C8" s="1739">
        <f>ROUND(B8*10000/$B$1,0)</f>
        <v>0</v>
      </c>
      <c r="D8" s="1739">
        <f>ROUND(B8*10000/$B$2,0)</f>
        <v>0</v>
      </c>
      <c r="E8" s="1738"/>
      <c r="F8" s="1736"/>
      <c r="G8" s="1736"/>
    </row>
    <row r="9" spans="1:10" ht="16.5">
      <c r="A9" s="1739" t="s">
        <v>1356</v>
      </c>
      <c r="B9" s="1741"/>
      <c r="C9" s="1738"/>
      <c r="D9" s="1738"/>
      <c r="E9" s="1738"/>
      <c r="F9" s="1736"/>
      <c r="G9" s="1736"/>
    </row>
    <row r="10" spans="1:10" ht="16.5">
      <c r="A10" s="1739" t="s">
        <v>1355</v>
      </c>
      <c r="B10" s="1741"/>
      <c r="C10" s="1738"/>
      <c r="D10" s="1738"/>
      <c r="E10" s="1738"/>
      <c r="F10" s="1736"/>
      <c r="G10" s="1736"/>
    </row>
    <row r="11" spans="1:10" ht="16.5">
      <c r="A11" s="1739" t="s">
        <v>1371</v>
      </c>
      <c r="B11" s="1741"/>
      <c r="C11" s="1738"/>
      <c r="D11" s="1738"/>
      <c r="E11" s="1738"/>
      <c r="F11" s="1736"/>
      <c r="G11" s="1736"/>
    </row>
    <row r="12" spans="1:10" ht="16.5">
      <c r="A12" s="1738"/>
      <c r="B12" s="1738"/>
      <c r="C12" s="1738"/>
      <c r="D12" s="1738"/>
      <c r="E12" s="1738"/>
      <c r="F12" s="1736"/>
      <c r="G12" s="1736"/>
    </row>
    <row r="13" spans="1:10" ht="33">
      <c r="A13" s="1744" t="s">
        <v>1370</v>
      </c>
      <c r="B13" s="1737" t="s">
        <v>1367</v>
      </c>
      <c r="C13" s="1737" t="s">
        <v>1369</v>
      </c>
      <c r="D13" s="1737" t="s">
        <v>1368</v>
      </c>
      <c r="E13" s="1739" t="s">
        <v>1360</v>
      </c>
      <c r="F13" s="1739" t="s">
        <v>1359</v>
      </c>
      <c r="G13" s="1737" t="s">
        <v>1353</v>
      </c>
      <c r="H13" s="1737" t="s">
        <v>1364</v>
      </c>
      <c r="I13" s="1737" t="s">
        <v>1352</v>
      </c>
      <c r="J13" s="1736"/>
    </row>
    <row r="14" spans="1:10" ht="16.5">
      <c r="A14" s="1735" t="s">
        <v>1351</v>
      </c>
      <c r="B14" s="1737">
        <f>结果表!B118</f>
        <v>136408.82</v>
      </c>
      <c r="C14" s="1737">
        <f>结果表!C118</f>
        <v>35880.089999999997</v>
      </c>
      <c r="D14" s="1737">
        <f ca="1">结果表!H118</f>
        <v>523022</v>
      </c>
      <c r="E14" s="1737">
        <f ca="1">ROUND(D14*10000/B14,0)</f>
        <v>38342</v>
      </c>
      <c r="F14" s="1737">
        <f ca="1">ROUND(D14*10000/C14,0)</f>
        <v>145769</v>
      </c>
      <c r="G14" s="1737">
        <f ca="1">结果表!D122</f>
        <v>523022</v>
      </c>
      <c r="H14" s="1737" t="str">
        <f>结果表!D124</f>
        <v>——</v>
      </c>
      <c r="I14" s="1737" t="str">
        <f>结果表!D126</f>
        <v>——</v>
      </c>
      <c r="J14" s="1736"/>
    </row>
    <row r="15" spans="1:10" ht="16.5">
      <c r="A15" s="1735" t="s">
        <v>1350</v>
      </c>
      <c r="B15" s="1742"/>
      <c r="C15" s="1742"/>
      <c r="D15" s="1742"/>
      <c r="E15" s="1737" t="e">
        <f t="shared" ref="E15:E23" si="0">ROUND(D15*10000/B15,0)</f>
        <v>#DIV/0!</v>
      </c>
      <c r="F15" s="1737" t="e">
        <f t="shared" ref="F15:F23" si="1">ROUND(D15*10000/C15,0)</f>
        <v>#DIV/0!</v>
      </c>
      <c r="G15" s="1743"/>
      <c r="H15" s="1743"/>
      <c r="I15" s="1742"/>
      <c r="J15" s="1736"/>
    </row>
    <row r="16" spans="1:10" ht="16.5">
      <c r="A16" s="1735" t="s">
        <v>1349</v>
      </c>
      <c r="B16" s="1742"/>
      <c r="C16" s="1742"/>
      <c r="D16" s="1742"/>
      <c r="E16" s="1737" t="e">
        <f t="shared" si="0"/>
        <v>#DIV/0!</v>
      </c>
      <c r="F16" s="1737" t="e">
        <f t="shared" si="1"/>
        <v>#DIV/0!</v>
      </c>
      <c r="G16" s="1743"/>
      <c r="H16" s="1743"/>
      <c r="I16" s="1742"/>
    </row>
    <row r="17" spans="1:9" ht="16.5">
      <c r="A17" s="1735" t="s">
        <v>1348</v>
      </c>
      <c r="B17" s="1742"/>
      <c r="C17" s="1742"/>
      <c r="D17" s="1742"/>
      <c r="E17" s="1737" t="e">
        <f t="shared" si="0"/>
        <v>#DIV/0!</v>
      </c>
      <c r="F17" s="1737" t="e">
        <f t="shared" si="1"/>
        <v>#DIV/0!</v>
      </c>
      <c r="G17" s="1743"/>
      <c r="H17" s="1743"/>
      <c r="I17" s="1742"/>
    </row>
    <row r="18" spans="1:9" ht="16.5">
      <c r="A18" s="1735" t="s">
        <v>1347</v>
      </c>
      <c r="B18" s="1742"/>
      <c r="C18" s="1742"/>
      <c r="D18" s="1742"/>
      <c r="E18" s="1737" t="e">
        <f t="shared" si="0"/>
        <v>#DIV/0!</v>
      </c>
      <c r="F18" s="1737" t="e">
        <f t="shared" si="1"/>
        <v>#DIV/0!</v>
      </c>
      <c r="G18" s="1742"/>
      <c r="H18" s="1742"/>
      <c r="I18" s="1742"/>
    </row>
    <row r="19" spans="1:9" ht="16.5">
      <c r="A19" s="1735" t="s">
        <v>1346</v>
      </c>
      <c r="B19" s="1742"/>
      <c r="C19" s="1742"/>
      <c r="D19" s="1742"/>
      <c r="E19" s="1737" t="e">
        <f t="shared" si="0"/>
        <v>#DIV/0!</v>
      </c>
      <c r="F19" s="1737" t="e">
        <f t="shared" si="1"/>
        <v>#DIV/0!</v>
      </c>
      <c r="G19" s="1742"/>
      <c r="H19" s="1742"/>
      <c r="I19" s="1742"/>
    </row>
    <row r="20" spans="1:9" ht="16.5">
      <c r="A20" s="1735" t="s">
        <v>1345</v>
      </c>
      <c r="B20" s="1742"/>
      <c r="C20" s="1742"/>
      <c r="D20" s="1742"/>
      <c r="E20" s="1737" t="e">
        <f t="shared" si="0"/>
        <v>#DIV/0!</v>
      </c>
      <c r="F20" s="1737" t="e">
        <f t="shared" si="1"/>
        <v>#DIV/0!</v>
      </c>
      <c r="G20" s="1742"/>
      <c r="H20" s="1742"/>
      <c r="I20" s="1742"/>
    </row>
    <row r="21" spans="1:9" ht="16.5">
      <c r="A21" s="1735" t="s">
        <v>1344</v>
      </c>
      <c r="B21" s="1742"/>
      <c r="C21" s="1742"/>
      <c r="D21" s="1742"/>
      <c r="E21" s="1737" t="e">
        <f t="shared" si="0"/>
        <v>#DIV/0!</v>
      </c>
      <c r="F21" s="1737" t="e">
        <f t="shared" si="1"/>
        <v>#DIV/0!</v>
      </c>
      <c r="G21" s="1742"/>
      <c r="H21" s="1742"/>
      <c r="I21" s="1742"/>
    </row>
    <row r="22" spans="1:9" ht="16.5">
      <c r="A22" s="1735" t="s">
        <v>1343</v>
      </c>
      <c r="B22" s="1742"/>
      <c r="C22" s="1742"/>
      <c r="D22" s="1742"/>
      <c r="E22" s="1737" t="e">
        <f t="shared" si="0"/>
        <v>#DIV/0!</v>
      </c>
      <c r="F22" s="1737" t="e">
        <f t="shared" si="1"/>
        <v>#DIV/0!</v>
      </c>
      <c r="G22" s="1742"/>
      <c r="H22" s="1742"/>
      <c r="I22" s="1742"/>
    </row>
    <row r="23" spans="1:9" ht="16.5">
      <c r="A23" s="1735" t="s">
        <v>1342</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B118" sqref="B118"/>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9" t="s">
        <v>2119</v>
      </c>
      <c r="B1" s="2410"/>
      <c r="C1" s="2411"/>
      <c r="D1" s="2410"/>
      <c r="E1" s="2410"/>
      <c r="F1" s="2412" t="s">
        <v>2120</v>
      </c>
      <c r="G1" s="2065" t="s">
        <v>2121</v>
      </c>
      <c r="H1" s="2413" t="str">
        <f>IF(G1="现房","——","估价对象范围")</f>
        <v>估价对象范围</v>
      </c>
      <c r="I1" s="2414"/>
    </row>
    <row r="2" spans="1:12" ht="21.75" customHeight="1" thickBot="1">
      <c r="A2" s="3142" t="str">
        <f>项目基本情况!S2</f>
        <v>北京市门头沟区永定镇MC00-0017-0620地块出让国有建设用地使用权及在建建筑物房地产</v>
      </c>
      <c r="B2" s="3143"/>
      <c r="C2" s="3143"/>
      <c r="D2" s="3143"/>
      <c r="E2" s="3143"/>
      <c r="F2" s="3143"/>
      <c r="G2" s="3143"/>
      <c r="H2" s="3143"/>
      <c r="I2" s="3144"/>
    </row>
    <row r="3" spans="1:12" ht="12.75">
      <c r="A3" s="3145" t="s">
        <v>2122</v>
      </c>
      <c r="B3" s="3146"/>
      <c r="C3" s="3146"/>
      <c r="D3" s="3146"/>
      <c r="E3" s="3146"/>
      <c r="F3" s="3146"/>
      <c r="G3" s="3146"/>
      <c r="H3" s="3146"/>
      <c r="I3" s="3146"/>
    </row>
    <row r="4" spans="1:12" ht="14.25">
      <c r="A4" s="2417" t="s">
        <v>2123</v>
      </c>
      <c r="B4" s="2418" t="s">
        <v>2124</v>
      </c>
      <c r="C4" s="2419" t="s">
        <v>3151</v>
      </c>
      <c r="D4" s="2419" t="s">
        <v>3152</v>
      </c>
      <c r="E4" s="3126" t="s">
        <v>2125</v>
      </c>
      <c r="F4" s="3139"/>
      <c r="G4" s="3139"/>
      <c r="H4" s="3139"/>
      <c r="I4" s="3127"/>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17" t="s">
        <v>2126</v>
      </c>
      <c r="B5" s="3043">
        <v>25</v>
      </c>
      <c r="C5" s="3147"/>
      <c r="D5" s="3135"/>
      <c r="E5" s="138" t="s">
        <v>2127</v>
      </c>
      <c r="F5" s="2421"/>
      <c r="G5" s="2421"/>
      <c r="H5" s="2421"/>
      <c r="I5" s="1827"/>
    </row>
    <row r="6" spans="1:12" ht="12.75">
      <c r="A6" s="3117"/>
      <c r="B6" s="3043"/>
      <c r="C6" s="3149"/>
      <c r="D6" s="3135"/>
      <c r="E6" s="138" t="s">
        <v>2128</v>
      </c>
      <c r="F6" s="2421"/>
      <c r="G6" s="2421"/>
      <c r="H6" s="2421"/>
      <c r="I6" s="1827"/>
    </row>
    <row r="7" spans="1:12" ht="12.75">
      <c r="A7" s="3117"/>
      <c r="B7" s="3043"/>
      <c r="C7" s="3148"/>
      <c r="D7" s="3135"/>
      <c r="E7" s="138" t="s">
        <v>2129</v>
      </c>
      <c r="F7" s="2421"/>
      <c r="G7" s="2421"/>
      <c r="H7" s="2421"/>
      <c r="I7" s="1827"/>
    </row>
    <row r="8" spans="1:12" ht="12.75">
      <c r="A8" s="3117" t="s">
        <v>2130</v>
      </c>
      <c r="B8" s="3043">
        <v>15</v>
      </c>
      <c r="C8" s="3147"/>
      <c r="D8" s="3135"/>
      <c r="E8" s="138" t="s">
        <v>2131</v>
      </c>
      <c r="F8" s="2421"/>
      <c r="G8" s="2421"/>
      <c r="H8" s="2421"/>
      <c r="I8" s="1827"/>
    </row>
    <row r="9" spans="1:12" ht="12.75">
      <c r="A9" s="3117"/>
      <c r="B9" s="3043"/>
      <c r="C9" s="3148"/>
      <c r="D9" s="3135"/>
      <c r="E9" s="138" t="s">
        <v>2132</v>
      </c>
      <c r="F9" s="2421"/>
      <c r="G9" s="2421"/>
      <c r="H9" s="2421"/>
      <c r="I9" s="1827"/>
    </row>
    <row r="10" spans="1:12" ht="12.75">
      <c r="A10" s="3117" t="s">
        <v>2133</v>
      </c>
      <c r="B10" s="3043">
        <v>15</v>
      </c>
      <c r="C10" s="3147"/>
      <c r="D10" s="3135"/>
      <c r="E10" s="138" t="s">
        <v>2134</v>
      </c>
      <c r="F10" s="2421"/>
      <c r="G10" s="2421"/>
      <c r="H10" s="2421"/>
      <c r="I10" s="1827"/>
    </row>
    <row r="11" spans="1:12" ht="12.75">
      <c r="A11" s="3117"/>
      <c r="B11" s="3043"/>
      <c r="C11" s="3148"/>
      <c r="D11" s="3135"/>
      <c r="E11" s="138" t="s">
        <v>2135</v>
      </c>
      <c r="F11" s="2421"/>
      <c r="G11" s="2421"/>
      <c r="H11" s="2421"/>
      <c r="I11" s="1827"/>
    </row>
    <row r="12" spans="1:12" ht="12.75">
      <c r="A12" s="3117" t="s">
        <v>2136</v>
      </c>
      <c r="B12" s="3043">
        <v>15</v>
      </c>
      <c r="C12" s="3147"/>
      <c r="D12" s="3135"/>
      <c r="E12" s="138" t="s">
        <v>2137</v>
      </c>
      <c r="F12" s="2421"/>
      <c r="G12" s="2421"/>
      <c r="H12" s="2421"/>
      <c r="I12" s="1827"/>
    </row>
    <row r="13" spans="1:12" ht="12.75">
      <c r="A13" s="3117"/>
      <c r="B13" s="3043"/>
      <c r="C13" s="3148"/>
      <c r="D13" s="3135"/>
      <c r="E13" s="138" t="s">
        <v>2138</v>
      </c>
      <c r="F13" s="2421"/>
      <c r="G13" s="2421"/>
      <c r="H13" s="2421"/>
      <c r="I13" s="1827"/>
    </row>
    <row r="14" spans="1:12" ht="12.75">
      <c r="A14" s="3117" t="s">
        <v>2139</v>
      </c>
      <c r="B14" s="3043">
        <v>30</v>
      </c>
      <c r="C14" s="3147">
        <v>5</v>
      </c>
      <c r="D14" s="3135">
        <v>5</v>
      </c>
      <c r="E14" s="138" t="s">
        <v>2140</v>
      </c>
      <c r="F14" s="2421"/>
      <c r="G14" s="2421"/>
      <c r="H14" s="2421"/>
      <c r="I14" s="1827"/>
    </row>
    <row r="15" spans="1:12" ht="12.75">
      <c r="A15" s="3117"/>
      <c r="B15" s="3043"/>
      <c r="C15" s="3149"/>
      <c r="D15" s="3135"/>
      <c r="E15" s="138" t="s">
        <v>2141</v>
      </c>
      <c r="F15" s="2421"/>
      <c r="G15" s="2421"/>
      <c r="H15" s="2421"/>
      <c r="I15" s="1827"/>
    </row>
    <row r="16" spans="1:12" ht="12.75">
      <c r="A16" s="3117"/>
      <c r="B16" s="3043"/>
      <c r="C16" s="3148"/>
      <c r="D16" s="3135"/>
      <c r="E16" s="138" t="s">
        <v>2142</v>
      </c>
      <c r="F16" s="2421"/>
      <c r="G16" s="2421"/>
      <c r="H16" s="2421"/>
      <c r="I16" s="1827"/>
    </row>
    <row r="17" spans="1:35" ht="15">
      <c r="A17" s="2422" t="s">
        <v>2143</v>
      </c>
      <c r="B17" s="63"/>
      <c r="C17" s="139">
        <f>SUM(C5:C16)</f>
        <v>5</v>
      </c>
      <c r="D17" s="139">
        <f>SUM(D5:D16)</f>
        <v>5</v>
      </c>
      <c r="E17" s="136"/>
      <c r="F17" s="136"/>
      <c r="G17" s="136"/>
      <c r="H17" s="136"/>
      <c r="I17" s="136"/>
      <c r="K17" s="2420"/>
      <c r="L17" s="2423" t="s">
        <v>2144</v>
      </c>
      <c r="M17" s="2423" t="s">
        <v>2145</v>
      </c>
    </row>
    <row r="18" spans="1:35" ht="15.75" thickBot="1">
      <c r="A18" s="2424" t="s">
        <v>2146</v>
      </c>
      <c r="B18" s="2425"/>
      <c r="C18" s="140">
        <f>ROUND(C17/SUM(C17:D17),2)</f>
        <v>0.5</v>
      </c>
      <c r="D18" s="140">
        <f>1-C18</f>
        <v>0.5</v>
      </c>
      <c r="E18" s="136"/>
      <c r="F18" s="136"/>
      <c r="G18" s="136"/>
      <c r="H18" s="136"/>
      <c r="I18" s="136"/>
      <c r="K18" s="2420" t="s">
        <v>2147</v>
      </c>
      <c r="L18" s="2420">
        <f>IF(C1="",'数据-汇总表'!E3,SUMIF(项目类型,C1,'数据-汇总表'!E17:E26)+SUMIF(项目类型,C1,'数据-汇总表'!I17:I26))</f>
        <v>136408.82</v>
      </c>
      <c r="M18" s="2420">
        <f>IF(C1="",'数据-汇总表'!E3,SUMIF(项目类型,C1,'数据-汇总表'!E17:E26))</f>
        <v>136408.82</v>
      </c>
    </row>
    <row r="19" spans="1:35" ht="15">
      <c r="A19" s="2426" t="s">
        <v>2148</v>
      </c>
      <c r="B19" s="2427" t="s">
        <v>2149</v>
      </c>
      <c r="C19" s="141">
        <f ca="1">SUMIF(INDIRECT("'"&amp;C4&amp;"'"&amp;"!A:A"),结果表!B19,INDIRECT("'"&amp;C4&amp;"'"&amp;"!B:B"))</f>
        <v>545006</v>
      </c>
      <c r="D19" s="142">
        <f ca="1">SUMIF(INDIRECT("'"&amp;D4&amp;"'"&amp;"!A:A"),结果表!B19,INDIRECT("'"&amp;D4&amp;"'"&amp;"!B:B"))</f>
        <v>501038</v>
      </c>
      <c r="E19" s="2426" t="s">
        <v>2150</v>
      </c>
      <c r="F19" s="2427" t="s">
        <v>2149</v>
      </c>
      <c r="G19" s="143">
        <f ca="1">ROUND(C19*$C$18+D19*$D$18,0)</f>
        <v>523022</v>
      </c>
      <c r="H19" s="2428" t="s">
        <v>2151</v>
      </c>
      <c r="I19" s="136"/>
      <c r="K19" s="2420" t="s">
        <v>2152</v>
      </c>
      <c r="L19" s="2420">
        <f>IF(C1="",'数据-汇总表'!D3,SUMIF(项目类型,C1,'数据-汇总表'!D17:D26)+SUMIF(项目类型,C1,'数据-汇总表'!H17:H27))</f>
        <v>35880.089999999997</v>
      </c>
      <c r="M19" s="2420">
        <f>IF(C1="",'数据-汇总表'!D3,SUMIF(项目类型,C1,'数据-汇总表'!D17:D26))</f>
        <v>35880.089999999997</v>
      </c>
    </row>
    <row r="20" spans="1:35" ht="15">
      <c r="A20" s="2429"/>
      <c r="B20" s="1242" t="s">
        <v>2153</v>
      </c>
      <c r="C20" s="144">
        <f ca="1">SUMIF(INDIRECT("'"&amp;C4&amp;"'"&amp;"!A:A"),结果表!B20,INDIRECT("'"&amp;C4&amp;"'"&amp;"!B:B"))</f>
        <v>39954</v>
      </c>
      <c r="D20" s="145">
        <f ca="1">SUMIF(INDIRECT("'"&amp;D4&amp;"'"&amp;"!A:A"),结果表!B20,INDIRECT("'"&amp;D4&amp;"'"&amp;"!B:B"))</f>
        <v>36731</v>
      </c>
      <c r="E20" s="2429"/>
      <c r="F20" s="1242" t="s">
        <v>2153</v>
      </c>
      <c r="G20" s="146">
        <f ca="1">ROUND(C20*$C$18+D20*$D$18,0)</f>
        <v>38343</v>
      </c>
      <c r="H20" s="975" t="s">
        <v>2154</v>
      </c>
      <c r="I20" s="136"/>
    </row>
    <row r="21" spans="1:35" ht="15" customHeight="1" thickBot="1">
      <c r="A21" s="995"/>
      <c r="B21" s="2430" t="s">
        <v>2155</v>
      </c>
      <c r="C21" s="786">
        <f ca="1">ROUND(C19*10000/L19,0)</f>
        <v>151896</v>
      </c>
      <c r="D21" s="787">
        <f ca="1">ROUND(D19*10000/L19,0)</f>
        <v>139642</v>
      </c>
      <c r="E21" s="995"/>
      <c r="F21" s="2430" t="s">
        <v>2155</v>
      </c>
      <c r="G21" s="147">
        <f ca="1">ROUND(G19*10000/L19,0)</f>
        <v>145769</v>
      </c>
      <c r="H21" s="2431" t="s">
        <v>2154</v>
      </c>
      <c r="I21" s="136"/>
    </row>
    <row r="22" spans="1:35" ht="15" thickBot="1">
      <c r="A22" s="2274" t="s">
        <v>2156</v>
      </c>
      <c r="B22" s="2432"/>
      <c r="C22" s="2433"/>
      <c r="D22" s="788">
        <f ca="1">IF(C19&lt;D19,D19/C19-1,C19/D19-1)</f>
        <v>8.775382306332058E-2</v>
      </c>
      <c r="E22" s="136"/>
      <c r="F22" s="136"/>
      <c r="G22" s="136"/>
      <c r="H22" s="136"/>
      <c r="I22" s="136"/>
    </row>
    <row r="23" spans="1:35" ht="13.5" thickBot="1">
      <c r="A23" s="2410"/>
      <c r="B23" s="2410"/>
      <c r="C23" s="2410"/>
      <c r="D23" s="2410"/>
      <c r="E23" s="136"/>
      <c r="F23" s="136"/>
      <c r="G23" s="136"/>
      <c r="H23" s="136"/>
      <c r="I23" s="136"/>
    </row>
    <row r="24" spans="1:35" ht="14.25">
      <c r="A24" s="3156" t="s">
        <v>2157</v>
      </c>
      <c r="B24" s="2427" t="s">
        <v>2149</v>
      </c>
      <c r="C24" s="143">
        <f>IF(B30=0,0,D30)</f>
        <v>0</v>
      </c>
      <c r="D24" s="2434"/>
      <c r="E24" s="136"/>
      <c r="F24" s="136"/>
      <c r="G24" s="136"/>
      <c r="H24" s="136"/>
      <c r="I24" s="136"/>
    </row>
    <row r="25" spans="1:35" ht="14.25">
      <c r="A25" s="3157"/>
      <c r="B25" s="1242" t="s">
        <v>2153</v>
      </c>
      <c r="C25" s="148">
        <f>IF(B30=0,0,C30)</f>
        <v>0</v>
      </c>
      <c r="D25" s="2435"/>
      <c r="E25" s="136"/>
      <c r="F25" s="136"/>
      <c r="G25" s="136"/>
      <c r="H25" s="136"/>
      <c r="I25" s="136"/>
    </row>
    <row r="26" spans="1:35" ht="13.5" customHeight="1">
      <c r="A26" s="2436" t="s">
        <v>2158</v>
      </c>
      <c r="B26" s="149" t="s">
        <v>2159</v>
      </c>
      <c r="C26" s="149" t="s">
        <v>2160</v>
      </c>
      <c r="D26" s="150" t="s">
        <v>2161</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f ca="1">G19/'数据-汇总表'!F31*10000</f>
        <v>48287.535655567597</v>
      </c>
      <c r="E28" s="136"/>
      <c r="F28" s="136"/>
      <c r="G28" s="136"/>
      <c r="H28" s="136"/>
      <c r="I28" s="136"/>
    </row>
    <row r="29" spans="1:35" ht="14.25">
      <c r="A29" s="2436"/>
      <c r="B29" s="149"/>
      <c r="C29" s="149"/>
      <c r="D29" s="150"/>
      <c r="E29" s="136"/>
      <c r="F29" s="136"/>
      <c r="G29" s="136"/>
      <c r="H29" s="136"/>
      <c r="I29" s="136"/>
    </row>
    <row r="30" spans="1:35" ht="14.25">
      <c r="A30" s="149" t="s">
        <v>2162</v>
      </c>
      <c r="B30" s="149"/>
      <c r="C30" s="149"/>
      <c r="D30" s="149"/>
      <c r="E30" s="2917" t="s">
        <v>3042</v>
      </c>
      <c r="F30" s="136"/>
      <c r="G30" s="136"/>
      <c r="H30" s="136"/>
      <c r="I30" s="136"/>
    </row>
    <row r="31" spans="1:35" s="2438" customFormat="1" ht="15" thickBot="1">
      <c r="A31" s="2437"/>
      <c r="B31" s="2437"/>
      <c r="C31" s="2437"/>
      <c r="D31" s="2437"/>
      <c r="E31" s="136"/>
      <c r="F31" s="136"/>
      <c r="G31" s="136"/>
      <c r="H31" s="136"/>
      <c r="I31" s="136"/>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2163</v>
      </c>
      <c r="B32" s="2440"/>
      <c r="C32" s="151">
        <f ca="1">IF(D32="总价",G19-C24,G20-C25)</f>
        <v>523022</v>
      </c>
      <c r="D32" s="2441" t="s">
        <v>2164</v>
      </c>
      <c r="E32" s="136"/>
      <c r="F32" s="136"/>
      <c r="G32" s="136"/>
      <c r="H32" s="136"/>
      <c r="I32" s="136"/>
    </row>
    <row r="33" spans="1:15" ht="15">
      <c r="A33" s="952" t="s">
        <v>2165</v>
      </c>
      <c r="B33" s="2442"/>
      <c r="C33" s="2443" t="s">
        <v>3153</v>
      </c>
      <c r="D33" s="2444" t="s">
        <v>3151</v>
      </c>
      <c r="E33" s="2445" t="s">
        <v>2166</v>
      </c>
      <c r="F33" s="2446" t="str">
        <f>IF(D32="楼面单价","取值（单价）","取值（总价）")</f>
        <v>取值（总价）</v>
      </c>
      <c r="G33" s="136"/>
      <c r="H33" s="136"/>
      <c r="I33" s="136"/>
    </row>
    <row r="34" spans="1:15" ht="15">
      <c r="A34" s="2447"/>
      <c r="B34" s="2448" t="s">
        <v>2167</v>
      </c>
      <c r="C34" s="155">
        <f ca="1">IF(C33="自定义",F34,C32-C35)</f>
        <v>489026</v>
      </c>
      <c r="D34" s="1050">
        <f ca="1">IF(C33="自定义",ROUND(C34/C32,3),IF(C33="收益比率",SUMIF(INDIRECT("'"&amp;D33&amp;"'"&amp;"!b:b"),"土地收益比率",INDIRECT("'"&amp;D33&amp;"'"&amp;"!c:c")),SUMIF(INDIRECT("'"&amp;D33&amp;"'"&amp;"!b:b"),"土地成本比率",INDIRECT("'"&amp;D33&amp;"'"&amp;"!c:c"))))</f>
        <v>0.93500000000000005</v>
      </c>
      <c r="E34" s="2449" t="s">
        <v>2168</v>
      </c>
      <c r="F34" s="1732"/>
      <c r="G34" s="136"/>
      <c r="H34" s="136"/>
      <c r="I34" s="136"/>
    </row>
    <row r="35" spans="1:15" ht="15.75" thickBot="1">
      <c r="A35" s="2450"/>
      <c r="B35" s="2451" t="s">
        <v>2169</v>
      </c>
      <c r="C35" s="1436">
        <f ca="1">IF(C33="自定义",F35,ROUND(C32*D35,0))</f>
        <v>33996</v>
      </c>
      <c r="D35" s="1437">
        <f ca="1">IF(C33="自定义",ROUND(C35/C32,3),IF(C33="收益比率",SUMIF(INDIRECT("'"&amp;D33&amp;"'"&amp;"!b:b"),"建筑物收益比率",INDIRECT("'"&amp;D33&amp;"'"&amp;"!c:c")),SUMIF(INDIRECT("'"&amp;D33&amp;"'"&amp;"!b:b"),"建筑物成本比率",INDIRECT("'"&amp;D33&amp;"'"&amp;"!c:c"))))</f>
        <v>6.5000000000000002E-2</v>
      </c>
      <c r="E35" s="2452" t="s">
        <v>2170</v>
      </c>
      <c r="F35" s="161"/>
      <c r="G35" s="136"/>
      <c r="H35" s="136"/>
      <c r="I35" s="136"/>
    </row>
    <row r="36" spans="1:15" ht="15.75" thickBot="1">
      <c r="A36" s="3136" t="s">
        <v>2171</v>
      </c>
      <c r="B36" s="2453" t="s">
        <v>2172</v>
      </c>
      <c r="C36" s="152"/>
      <c r="D36" s="2454"/>
      <c r="E36" s="2455"/>
      <c r="F36" s="2456"/>
      <c r="G36" s="136"/>
      <c r="H36" s="136"/>
      <c r="I36" s="136"/>
    </row>
    <row r="37" spans="1:15" ht="15.75" thickBot="1">
      <c r="A37" s="3137"/>
      <c r="B37" s="2260" t="s">
        <v>2173</v>
      </c>
      <c r="C37" s="154"/>
      <c r="D37" s="1387"/>
      <c r="E37" s="1387"/>
      <c r="F37" s="2456"/>
      <c r="G37" s="136"/>
      <c r="H37" s="136"/>
      <c r="I37" s="136"/>
    </row>
    <row r="38" spans="1:15" ht="15.75" thickBot="1">
      <c r="A38" s="3138"/>
      <c r="B38" s="2457" t="s">
        <v>2174</v>
      </c>
      <c r="C38" s="724"/>
      <c r="D38" s="2458" t="s">
        <v>2175</v>
      </c>
      <c r="E38" s="1387"/>
      <c r="F38" s="2456"/>
      <c r="G38" s="136"/>
      <c r="H38" s="136"/>
      <c r="I38" s="136"/>
    </row>
    <row r="39" spans="1:15" ht="15">
      <c r="A39" s="2429" t="s">
        <v>2176</v>
      </c>
      <c r="B39" s="2459" t="s">
        <v>2177</v>
      </c>
      <c r="C39" s="2460" t="s">
        <v>2178</v>
      </c>
      <c r="D39" s="2460" t="s">
        <v>2179</v>
      </c>
      <c r="E39" s="2461" t="s">
        <v>2180</v>
      </c>
      <c r="F39" s="2456"/>
      <c r="G39" s="136"/>
      <c r="H39" s="136"/>
      <c r="I39" s="136"/>
    </row>
    <row r="40" spans="1:15" ht="14.25">
      <c r="A40" s="2462" t="s">
        <v>2181</v>
      </c>
      <c r="B40" s="156"/>
      <c r="C40" s="157"/>
      <c r="D40" s="157"/>
      <c r="E40" s="158"/>
      <c r="F40" s="2456"/>
      <c r="G40" s="136"/>
      <c r="H40" s="136"/>
      <c r="I40" s="136"/>
    </row>
    <row r="41" spans="1:15" ht="14.25">
      <c r="A41" s="2462" t="s">
        <v>2182</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9"/>
      <c r="B43" s="2159"/>
      <c r="C43" s="2159"/>
      <c r="D43" s="2159"/>
      <c r="E43" s="2159"/>
      <c r="F43" s="2464"/>
      <c r="G43" s="2464"/>
      <c r="H43" s="2464"/>
      <c r="I43" s="2465"/>
    </row>
    <row r="44" spans="1:15" ht="18.75">
      <c r="A44" s="2466" t="s">
        <v>2183</v>
      </c>
      <c r="B44" s="2467"/>
      <c r="C44" s="2467"/>
      <c r="D44" s="2468"/>
      <c r="E44" s="2468"/>
      <c r="F44" s="2469"/>
      <c r="G44" s="2469"/>
      <c r="H44" s="2469"/>
      <c r="I44" s="2469"/>
      <c r="J44" s="2470" t="s">
        <v>2184</v>
      </c>
      <c r="K44" s="2471"/>
      <c r="L44" s="2471"/>
      <c r="M44" s="2471"/>
      <c r="N44" s="2471"/>
      <c r="O44" s="2471"/>
    </row>
    <row r="45" spans="1:15" ht="14.25" customHeight="1" thickBot="1">
      <c r="A45" s="3153" t="s">
        <v>2185</v>
      </c>
      <c r="B45" s="3154"/>
      <c r="C45" s="3155"/>
      <c r="D45" s="162">
        <f ca="1">ROUND(H101*F45,0)</f>
        <v>523022</v>
      </c>
      <c r="E45" s="163" t="s">
        <v>2186</v>
      </c>
      <c r="F45" s="164">
        <v>1</v>
      </c>
      <c r="G45" s="165" t="s">
        <v>2187</v>
      </c>
      <c r="H45" s="136"/>
      <c r="I45" s="136"/>
      <c r="J45" s="3072" t="s">
        <v>2188</v>
      </c>
      <c r="K45" s="3072"/>
      <c r="L45" s="3072"/>
      <c r="M45" s="3072"/>
      <c r="N45" s="3072"/>
      <c r="O45" s="3072"/>
    </row>
    <row r="46" spans="1:15" ht="14.25" customHeight="1">
      <c r="A46" s="3150" t="s">
        <v>2189</v>
      </c>
      <c r="B46" s="3151"/>
      <c r="C46" s="3151"/>
      <c r="D46" s="3151"/>
      <c r="E46" s="3151"/>
      <c r="F46" s="3151"/>
      <c r="G46" s="3152"/>
      <c r="H46" s="2472"/>
      <c r="I46" s="166"/>
      <c r="J46" s="1805">
        <v>1</v>
      </c>
      <c r="K46" s="3072" t="s">
        <v>2190</v>
      </c>
      <c r="L46" s="3072"/>
      <c r="M46" s="3073"/>
      <c r="N46" s="3073"/>
      <c r="O46" s="3073"/>
    </row>
    <row r="47" spans="1:15" ht="12" customHeight="1">
      <c r="A47" s="167" t="s">
        <v>2191</v>
      </c>
      <c r="B47" s="168"/>
      <c r="C47" s="169"/>
      <c r="D47" s="170" t="s">
        <v>2192</v>
      </c>
      <c r="E47" s="23" t="s">
        <v>2193</v>
      </c>
      <c r="F47" s="171" t="s">
        <v>2194</v>
      </c>
      <c r="G47" s="172" t="s">
        <v>2195</v>
      </c>
      <c r="H47" s="2472"/>
      <c r="I47" s="166"/>
      <c r="J47" s="1805">
        <v>2</v>
      </c>
      <c r="K47" s="3072" t="s">
        <v>2196</v>
      </c>
      <c r="L47" s="3072"/>
      <c r="M47" s="3074">
        <f>'数据-取费表'!B2</f>
        <v>43126</v>
      </c>
      <c r="N47" s="3074"/>
      <c r="O47" s="3074"/>
    </row>
    <row r="48" spans="1:15" ht="25.5">
      <c r="A48" s="3140" t="s">
        <v>2197</v>
      </c>
      <c r="B48" s="3141"/>
      <c r="C48" s="3141"/>
      <c r="D48" s="138">
        <f>IF(H48="情况1",0,IF(H48="情况2",D52,IF(H48="情况3",D53,IF(H48="情况4",D54))))</f>
        <v>0</v>
      </c>
      <c r="E48" s="1794" t="str">
        <f>IF(H48="情况4","(销售额-原购置价)×税（费）率","销售额×税（费）率")</f>
        <v>销售额×税（费）率</v>
      </c>
      <c r="F48" s="173" t="str">
        <f>IF(H48="情况1","免征",'数据-取费表'!B41)</f>
        <v>免征</v>
      </c>
      <c r="G48" s="2473" t="s">
        <v>2198</v>
      </c>
      <c r="H48" s="2474" t="s">
        <v>2199</v>
      </c>
      <c r="I48" s="2472"/>
      <c r="J48" s="1805">
        <v>3</v>
      </c>
      <c r="K48" s="3072" t="s">
        <v>2200</v>
      </c>
      <c r="L48" s="3072"/>
      <c r="M48" s="3075">
        <f ca="1">H101</f>
        <v>523022</v>
      </c>
      <c r="N48" s="3075"/>
      <c r="O48" s="3075"/>
    </row>
    <row r="49" spans="1:35" ht="25.5" customHeight="1">
      <c r="A49" s="174" t="s">
        <v>2201</v>
      </c>
      <c r="B49" s="3120" t="s">
        <v>2202</v>
      </c>
      <c r="C49" s="3120"/>
      <c r="D49" s="175">
        <v>0</v>
      </c>
      <c r="E49" s="22" t="s">
        <v>2203</v>
      </c>
      <c r="F49" s="27" t="s">
        <v>34</v>
      </c>
      <c r="G49" s="3101"/>
      <c r="H49" s="136"/>
      <c r="I49" s="2475"/>
      <c r="J49" s="1805">
        <v>4</v>
      </c>
      <c r="K49" s="3072" t="str">
        <f>IF(项目基本情况!E8="房地产抵押价值","房地产抵押价值","抵押担保权已注销时的房地产抵押价值")</f>
        <v>房地产抵押价值</v>
      </c>
      <c r="L49" s="3072"/>
      <c r="M49" s="3075">
        <f ca="1">IF(项目基本情况!E8="房地产抵押价值",H107,H109)</f>
        <v>523022</v>
      </c>
      <c r="N49" s="3075"/>
      <c r="O49" s="3075"/>
    </row>
    <row r="50" spans="1:35" ht="25.5" customHeight="1">
      <c r="A50" s="176"/>
      <c r="B50" s="3120" t="s">
        <v>2204</v>
      </c>
      <c r="C50" s="3120"/>
      <c r="D50" s="177"/>
      <c r="E50" s="30"/>
      <c r="F50" s="178"/>
      <c r="G50" s="3102"/>
      <c r="H50" s="136"/>
      <c r="I50" s="2475"/>
      <c r="J50" s="3072" t="s">
        <v>2205</v>
      </c>
      <c r="K50" s="3072"/>
      <c r="L50" s="3072"/>
      <c r="M50" s="3072"/>
      <c r="N50" s="3072"/>
      <c r="O50" s="3072"/>
    </row>
    <row r="51" spans="1:35" ht="12" customHeight="1">
      <c r="A51" s="179"/>
      <c r="B51" s="3120" t="s">
        <v>2206</v>
      </c>
      <c r="C51" s="3120"/>
      <c r="D51" s="180"/>
      <c r="E51" s="29"/>
      <c r="F51" s="178"/>
      <c r="G51" s="3103"/>
      <c r="H51" s="136"/>
      <c r="I51" s="2475"/>
      <c r="J51" s="2476" t="s">
        <v>2207</v>
      </c>
      <c r="K51" s="3072" t="s">
        <v>2208</v>
      </c>
      <c r="L51" s="3072"/>
      <c r="M51" s="2476" t="s">
        <v>2209</v>
      </c>
      <c r="N51" s="2476" t="s">
        <v>2210</v>
      </c>
      <c r="O51" s="2476" t="s">
        <v>2211</v>
      </c>
    </row>
    <row r="52" spans="1:35" ht="24" customHeight="1">
      <c r="A52" s="181" t="s">
        <v>2212</v>
      </c>
      <c r="B52" s="3120" t="s">
        <v>2213</v>
      </c>
      <c r="C52" s="3120"/>
      <c r="D52" s="180">
        <f ca="1">ROUND(D45*'数据-取费表'!B41/(1+'数据-取费表'!C42),0)</f>
        <v>27895</v>
      </c>
      <c r="E52" s="11" t="s">
        <v>2214</v>
      </c>
      <c r="F52" s="182">
        <f>'数据-取费表'!B41</f>
        <v>5.6000000000000001E-2</v>
      </c>
      <c r="G52" s="2477"/>
      <c r="H52" s="136"/>
      <c r="I52" s="2475"/>
      <c r="J52" s="1805">
        <v>1</v>
      </c>
      <c r="K52" s="3095" t="s">
        <v>2215</v>
      </c>
      <c r="L52" s="3095"/>
      <c r="M52" s="1747">
        <f>D48</f>
        <v>0</v>
      </c>
      <c r="N52" s="1805" t="str">
        <f>E48</f>
        <v>销售额×税（费）率</v>
      </c>
      <c r="O52" s="1748" t="str">
        <f>F48</f>
        <v>免征</v>
      </c>
    </row>
    <row r="53" spans="1:35" ht="12" customHeight="1">
      <c r="A53" s="181" t="s">
        <v>2216</v>
      </c>
      <c r="B53" s="3121" t="s">
        <v>2217</v>
      </c>
      <c r="C53" s="3122"/>
      <c r="D53" s="180">
        <f ca="1">ROUND(D45*'数据-取费表'!B41/(1+'数据-取费表'!C42),0)</f>
        <v>27895</v>
      </c>
      <c r="E53" s="11" t="s">
        <v>2214</v>
      </c>
      <c r="F53" s="182">
        <f>'数据-取费表'!B41</f>
        <v>5.6000000000000001E-2</v>
      </c>
      <c r="G53" s="2477"/>
      <c r="H53" s="136"/>
      <c r="I53" s="2475"/>
      <c r="J53" s="1805">
        <v>2</v>
      </c>
      <c r="K53" s="3095" t="s">
        <v>2218</v>
      </c>
      <c r="L53" s="3095"/>
      <c r="M53" s="1747">
        <f t="shared" ref="M53:O54" ca="1" si="0">D55</f>
        <v>262</v>
      </c>
      <c r="N53" s="1805" t="str">
        <f t="shared" si="0"/>
        <v>销售额×税（费）率</v>
      </c>
      <c r="O53" s="1748">
        <f t="shared" si="0"/>
        <v>5.0000000000000001E-4</v>
      </c>
    </row>
    <row r="54" spans="1:35" ht="12" customHeight="1">
      <c r="A54" s="181" t="s">
        <v>2219</v>
      </c>
      <c r="B54" s="3121" t="s">
        <v>2220</v>
      </c>
      <c r="C54" s="3122"/>
      <c r="D54" s="180">
        <f ca="1">C68</f>
        <v>27894</v>
      </c>
      <c r="E54" s="29" t="s">
        <v>2221</v>
      </c>
      <c r="F54" s="182">
        <f>'数据-取费表'!B41</f>
        <v>5.6000000000000001E-2</v>
      </c>
      <c r="G54" s="2477"/>
      <c r="H54" s="2478"/>
      <c r="I54" s="2475"/>
      <c r="J54" s="1805">
        <v>3</v>
      </c>
      <c r="K54" s="3095" t="s">
        <v>2222</v>
      </c>
      <c r="L54" s="3095"/>
      <c r="M54" s="1747">
        <f t="shared" ca="1" si="0"/>
        <v>296030</v>
      </c>
      <c r="N54" s="1805" t="str">
        <f t="shared" si="0"/>
        <v>增值额×税（费）率</v>
      </c>
      <c r="O54" s="1749" t="str">
        <f t="shared" si="0"/>
        <v>——</v>
      </c>
    </row>
    <row r="55" spans="1:35" ht="24" customHeight="1">
      <c r="A55" s="3159" t="s">
        <v>2223</v>
      </c>
      <c r="B55" s="3141"/>
      <c r="C55" s="3141"/>
      <c r="D55" s="183">
        <f ca="1">IF(H55="个人住宅",0,ROUND(D45*I55,0))</f>
        <v>262</v>
      </c>
      <c r="E55" s="11" t="s">
        <v>2224</v>
      </c>
      <c r="F55" s="182">
        <f>IF(H55="正常",I55,"免征")</f>
        <v>5.0000000000000001E-4</v>
      </c>
      <c r="G55" s="2477"/>
      <c r="H55" s="2474" t="s">
        <v>2225</v>
      </c>
      <c r="I55" s="184">
        <f>'数据-取费表'!B49</f>
        <v>5.0000000000000001E-4</v>
      </c>
      <c r="J55" s="1805" t="str">
        <f>IF(H59="非个人房产","",4)</f>
        <v/>
      </c>
      <c r="K55" s="3095" t="str">
        <f>IF(H59="非个人房产","——","个人所得税")</f>
        <v>——</v>
      </c>
      <c r="L55" s="3095"/>
      <c r="M55" s="1750" t="str">
        <f>D59</f>
        <v>——</v>
      </c>
      <c r="N55" s="1803" t="str">
        <f>E59</f>
        <v>——</v>
      </c>
      <c r="O55" s="1751" t="str">
        <f>F59</f>
        <v>——</v>
      </c>
    </row>
    <row r="56" spans="1:35" ht="24.75">
      <c r="A56" s="3159" t="s">
        <v>2226</v>
      </c>
      <c r="B56" s="3141"/>
      <c r="C56" s="3141"/>
      <c r="D56" s="183">
        <f ca="1">IF(H56="个人住宅",D57,D58)</f>
        <v>296030</v>
      </c>
      <c r="E56" s="11" t="s">
        <v>2227</v>
      </c>
      <c r="F56" s="182" t="str">
        <f>IF(H56="正常",F58,"免征")</f>
        <v>——</v>
      </c>
      <c r="G56" s="2479" t="s">
        <v>2228</v>
      </c>
      <c r="H56" s="2480" t="s">
        <v>2225</v>
      </c>
      <c r="I56" s="2481"/>
      <c r="J56" s="1805" t="str">
        <f>IF(项目基本情况!K6="上海银行",IF(J55="",4,J55+1),"")</f>
        <v/>
      </c>
      <c r="K56" s="3078" t="str">
        <f>IF(项目基本情况!K6="上海银行","其他处置费用","")</f>
        <v/>
      </c>
      <c r="L56" s="3079"/>
      <c r="M56" s="1747" t="str">
        <f>IF(项目基本情况!K6="上海银行",M69,"")</f>
        <v/>
      </c>
      <c r="N56" s="3081" t="str">
        <f>IF(项目基本情况!K6="上海银行","包含处置中涉及的律师、诉讼、拍卖、评估等费用","")</f>
        <v/>
      </c>
      <c r="O56" s="3082"/>
    </row>
    <row r="57" spans="1:35" ht="12.75">
      <c r="A57" s="181" t="s">
        <v>2201</v>
      </c>
      <c r="B57" s="3126" t="s">
        <v>2229</v>
      </c>
      <c r="C57" s="3127"/>
      <c r="D57" s="185">
        <v>0</v>
      </c>
      <c r="E57" s="22" t="s">
        <v>2203</v>
      </c>
      <c r="F57" s="153"/>
      <c r="G57" s="2477"/>
      <c r="H57" s="2481"/>
      <c r="I57" s="2481"/>
      <c r="J57" s="3095">
        <f>IF(AND(J55="",J56=""),4,IF(项目基本情况!K6="上海银行",结果表!J56+1,结果表!J55+1))</f>
        <v>4</v>
      </c>
      <c r="K57" s="3095" t="s">
        <v>2230</v>
      </c>
      <c r="L57" s="2482" t="s">
        <v>2231</v>
      </c>
      <c r="M57" s="1752"/>
      <c r="N57" s="1753">
        <f ca="1">SUMIF(M52:M56,"&lt;9e307")</f>
        <v>296292</v>
      </c>
      <c r="O57" s="2483"/>
      <c r="P57" s="1746">
        <f ca="1">N57/M49</f>
        <v>0.56650007074272213</v>
      </c>
    </row>
    <row r="58" spans="1:35" ht="24.75">
      <c r="A58" s="181" t="s">
        <v>2212</v>
      </c>
      <c r="B58" s="3126" t="s">
        <v>2232</v>
      </c>
      <c r="C58" s="3139"/>
      <c r="D58" s="183">
        <f ca="1">IF(H58="转让取得",C81,C97)</f>
        <v>296030</v>
      </c>
      <c r="E58" s="11" t="s">
        <v>2227</v>
      </c>
      <c r="F58" s="23" t="s">
        <v>34</v>
      </c>
      <c r="G58" s="2477"/>
      <c r="H58" s="2480" t="s">
        <v>2233</v>
      </c>
      <c r="I58" s="2481"/>
      <c r="J58" s="3095"/>
      <c r="K58" s="3095"/>
      <c r="L58" s="2482" t="s">
        <v>2234</v>
      </c>
      <c r="M58" s="1754"/>
      <c r="N58" s="2484" t="str">
        <f ca="1">NUMBERSTRING(INT(N57*10000),2)&amp;"元整"</f>
        <v>贰拾玖亿陆仟贰佰玖拾贰万元整</v>
      </c>
      <c r="O58" s="2485"/>
    </row>
    <row r="59" spans="1:35" ht="24.75" thickBot="1">
      <c r="A59" s="3099" t="s">
        <v>2235</v>
      </c>
      <c r="B59" s="3100"/>
      <c r="C59" s="3100"/>
      <c r="D59" s="186" t="str">
        <f>IF(H59="非个人房产","——",IF(H59="个人住宅",0,ROUND(D45*I59,0)))</f>
        <v>——</v>
      </c>
      <c r="E59" s="187" t="str">
        <f>IF(H59="非个人房产","——","销售额×税（费）率")</f>
        <v>——</v>
      </c>
      <c r="F59" s="188" t="str">
        <f>IF(H59="非个人房产","——",IF(H59="个人住宅","免征",I59))</f>
        <v>——</v>
      </c>
      <c r="G59" s="2486" t="s">
        <v>2228</v>
      </c>
      <c r="H59" s="2480" t="s">
        <v>2236</v>
      </c>
      <c r="I59" s="189">
        <v>0.01</v>
      </c>
      <c r="J59" s="3097">
        <f>J57+1</f>
        <v>5</v>
      </c>
      <c r="K59" s="3095" t="s">
        <v>2237</v>
      </c>
      <c r="L59" s="1805" t="s">
        <v>2231</v>
      </c>
      <c r="M59" s="1755"/>
      <c r="N59" s="1756">
        <f ca="1">M49-N57</f>
        <v>226730</v>
      </c>
      <c r="O59" s="2487"/>
    </row>
    <row r="60" spans="1:35" ht="12" customHeight="1">
      <c r="A60" s="2488"/>
      <c r="B60" s="2410"/>
      <c r="C60" s="2410"/>
      <c r="D60" s="2410"/>
      <c r="E60" s="2160"/>
      <c r="F60" s="2481"/>
      <c r="G60" s="2481"/>
      <c r="H60" s="2489"/>
      <c r="I60" s="136"/>
      <c r="J60" s="3098"/>
      <c r="K60" s="3095"/>
      <c r="L60" s="2482" t="s">
        <v>2234</v>
      </c>
      <c r="M60" s="1754"/>
      <c r="N60" s="2484" t="str">
        <f ca="1">NUMBERSTRING(INT(N59*10000),2)&amp;"元整"</f>
        <v>贰拾贰亿陆仟柒佰叁拾万元整</v>
      </c>
      <c r="O60" s="2485"/>
    </row>
    <row r="61" spans="1:35" ht="13.5" thickBot="1">
      <c r="A61" s="3158" t="s">
        <v>2238</v>
      </c>
      <c r="B61" s="3158"/>
      <c r="C61" s="3158"/>
      <c r="D61" s="3158"/>
      <c r="E61" s="3158"/>
      <c r="F61" s="2481"/>
      <c r="G61" s="2481"/>
      <c r="H61" s="2489"/>
      <c r="I61" s="136"/>
      <c r="J61" s="1805">
        <f>J59+1</f>
        <v>6</v>
      </c>
      <c r="K61" s="3095" t="s">
        <v>2239</v>
      </c>
      <c r="L61" s="3095"/>
      <c r="M61" s="1757"/>
      <c r="N61" s="1758">
        <f ca="1">ROUND(N59*10000/'数据-汇总表'!E3,0)</f>
        <v>16621</v>
      </c>
      <c r="O61" s="2490"/>
    </row>
    <row r="62" spans="1:35" ht="12.75">
      <c r="A62" s="3115" t="s">
        <v>2240</v>
      </c>
      <c r="B62" s="3116"/>
      <c r="C62" s="1797"/>
      <c r="D62" s="1797" t="s">
        <v>2241</v>
      </c>
      <c r="E62" s="190" t="s">
        <v>2242</v>
      </c>
      <c r="F62" s="2481"/>
      <c r="G62" s="2481"/>
      <c r="H62" s="2489"/>
      <c r="I62" s="136"/>
    </row>
    <row r="63" spans="1:35" ht="12.75">
      <c r="A63" s="201" t="s">
        <v>775</v>
      </c>
      <c r="B63" s="191" t="s">
        <v>2243</v>
      </c>
      <c r="C63" s="192">
        <f ca="1">ROUND((C64+C65)/(1+'数据-取费表'!C42),0)</f>
        <v>498116</v>
      </c>
      <c r="D63" s="193"/>
      <c r="E63" s="194"/>
      <c r="F63" s="2481"/>
      <c r="G63" s="2481"/>
      <c r="H63" s="2489"/>
      <c r="I63" s="136"/>
      <c r="J63" s="3080" t="s">
        <v>2244</v>
      </c>
      <c r="K63" s="2491" t="s">
        <v>2245</v>
      </c>
      <c r="L63" s="1745">
        <f ca="1">IF(M49&gt;10000,M49*0.5%,IF(AND(M49&gt;1000,M49&lt;=10000),M49*1%,IF(AND(M49&gt;100,M49&lt;=1000),M49*3%,IF(AND(M49&gt;10,M49&lt;=100),M49*5%,M49*8%))))</f>
        <v>2615.11</v>
      </c>
      <c r="M63" s="23">
        <f ca="1">ROUND(L63,1)</f>
        <v>2615.1</v>
      </c>
      <c r="Z63" s="2415"/>
      <c r="AI63" s="2416"/>
    </row>
    <row r="64" spans="1:35" ht="14.25" customHeight="1">
      <c r="A64" s="195" t="s">
        <v>770</v>
      </c>
      <c r="B64" s="196" t="s">
        <v>2246</v>
      </c>
      <c r="C64" s="197">
        <f ca="1">D45</f>
        <v>523022</v>
      </c>
      <c r="D64" s="198" t="s">
        <v>32</v>
      </c>
      <c r="E64" s="199"/>
      <c r="F64" s="2481"/>
      <c r="G64" s="2481"/>
      <c r="H64" s="2489"/>
      <c r="I64" s="136"/>
      <c r="J64" s="3080"/>
      <c r="K64" s="2491" t="s">
        <v>2247</v>
      </c>
      <c r="L64" s="1745">
        <f ca="1">IF(M49&gt;2000,M49*0.5%,IF(AND(M49&gt;1000,M49&lt;=2000),M49*0.6%,IF(AND(M49&gt;500,M49&lt;=1000),M49*0.7%,IF(AND(M49&gt;200,M49&lt;=500),M49*0.8%,IF(AND(M49&gt;100,M49&lt;=200),M49*0.9%,IF(AND(M49&gt;50,M49&lt;=100),M49*1%,IF(AND(M49&gt;20,M49&lt;=50),M49*1.5%,IF(AND(M49&gt;10,M49&lt;=20),M49*2%,IF(AND(M49&gt;1,M49&lt;=10),M49*2.5%)))))))))</f>
        <v>2615.11</v>
      </c>
      <c r="M64" s="23">
        <f t="shared" ref="M64:M65" ca="1" si="1">ROUND(L64,1)</f>
        <v>2615.1</v>
      </c>
      <c r="N64" s="136" t="s">
        <v>2248</v>
      </c>
      <c r="Z64" s="2415"/>
      <c r="AI64" s="2416"/>
    </row>
    <row r="65" spans="1:35" ht="14.25" customHeight="1">
      <c r="A65" s="195" t="s">
        <v>771</v>
      </c>
      <c r="B65" s="196" t="s">
        <v>2249</v>
      </c>
      <c r="C65" s="200"/>
      <c r="D65" s="198"/>
      <c r="E65" s="199"/>
      <c r="F65" s="2481"/>
      <c r="G65" s="2481"/>
      <c r="H65" s="2489"/>
      <c r="I65" s="136"/>
      <c r="J65" s="3080"/>
      <c r="K65" s="2491" t="s">
        <v>2250</v>
      </c>
      <c r="L65" s="1745">
        <f ca="1">IF(M49&gt;1000,M49*0.1%,IF(AND(M49&gt;500,M49&lt;=1000),M49*0.5%,IF(AND(M49&gt;50,M49&lt;=500),M49*1%,IF(AND(M49&gt;1,M49&lt;=50),M49*1.5%))))</f>
        <v>523.02200000000005</v>
      </c>
      <c r="M65" s="23">
        <f t="shared" ca="1" si="1"/>
        <v>523</v>
      </c>
      <c r="N65" s="136" t="s">
        <v>2248</v>
      </c>
      <c r="Z65" s="2415"/>
      <c r="AI65" s="2416"/>
    </row>
    <row r="66" spans="1:35" ht="14.25" customHeight="1">
      <c r="A66" s="201" t="s">
        <v>772</v>
      </c>
      <c r="B66" s="202" t="s">
        <v>2251</v>
      </c>
      <c r="C66" s="203"/>
      <c r="D66" s="204" t="s">
        <v>32</v>
      </c>
      <c r="E66" s="1769" t="s">
        <v>1372</v>
      </c>
      <c r="F66" s="2481"/>
      <c r="G66" s="2481"/>
      <c r="H66" s="2489"/>
      <c r="I66" s="136"/>
      <c r="J66" s="3080"/>
      <c r="K66" s="2491" t="s">
        <v>2252</v>
      </c>
      <c r="L66" s="1745">
        <f ca="1">M49*0.5%</f>
        <v>2615.11</v>
      </c>
      <c r="M66" s="23">
        <f ca="1">IF(L66&gt;0.5,0.5,ROUND(L66,0))</f>
        <v>0.5</v>
      </c>
      <c r="N66" s="136" t="s">
        <v>2253</v>
      </c>
      <c r="Z66" s="2415"/>
      <c r="AI66" s="2416"/>
    </row>
    <row r="67" spans="1:35" ht="14.25" customHeight="1">
      <c r="A67" s="201" t="s">
        <v>773</v>
      </c>
      <c r="B67" s="202" t="s">
        <v>2254</v>
      </c>
      <c r="C67" s="205">
        <f ca="1">C63-C66</f>
        <v>498116</v>
      </c>
      <c r="D67" s="198" t="s">
        <v>32</v>
      </c>
      <c r="E67" s="199"/>
      <c r="F67" s="2481"/>
      <c r="G67" s="2481"/>
      <c r="H67" s="2489"/>
      <c r="I67" s="136"/>
      <c r="J67" s="3080"/>
      <c r="K67" s="2491" t="s">
        <v>2255</v>
      </c>
      <c r="L67" s="1745">
        <f ca="1">IF(M49&gt;=10000,(8.25+(M49-10000)*0.01%),IF(AND(M49&gt;=8000,M49&lt;10000),(7.85+(M49-8000)*0.02%),IF(AND(M49&gt;=5000,M49&lt;8000),(6.65+(M49-5000)*0.04%),IF(AND(M49&gt;=2000,M49&lt;5000),(4.25+(PM49-2000)*0.08%),IF(AND(M49&gt;=1000,M49&lt;2000),(2.75+(M49-1000)*0.15%),IF(AND(M49&gt;=100,M49&lt;1000),(0.5+(M49-100)*0.25%),IF(AND(M49&gt;0,M49&lt;100),M49*0.5%)))))))</f>
        <v>59.552199999999999</v>
      </c>
      <c r="M67" s="23">
        <f ca="1">ROUND(L67*0.9,1)</f>
        <v>53.6</v>
      </c>
      <c r="Z67" s="2415"/>
      <c r="AI67" s="2416"/>
    </row>
    <row r="68" spans="1:35" ht="14.25" customHeight="1" thickBot="1">
      <c r="A68" s="206" t="s">
        <v>774</v>
      </c>
      <c r="B68" s="207" t="s">
        <v>2256</v>
      </c>
      <c r="C68" s="208">
        <f ca="1">IF(C67&lt;=0,0,ROUND(C67*D68,0))</f>
        <v>27894</v>
      </c>
      <c r="D68" s="209">
        <f>'数据-取费表'!B41</f>
        <v>5.6000000000000001E-2</v>
      </c>
      <c r="E68" s="210"/>
      <c r="F68" s="2481"/>
      <c r="G68" s="2481"/>
      <c r="H68" s="2489"/>
      <c r="I68" s="136"/>
      <c r="J68" s="3080"/>
      <c r="K68" s="2491" t="s">
        <v>2257</v>
      </c>
      <c r="L68" s="1745">
        <f ca="1">IF(M49&gt;10000,M49*0.5%,IF(AND(M49&gt;5000,M49&lt;=10000),M49*1%,IF(AND(M49&gt;1000,M49&lt;=5000),M49*2%,IF(AND(M49&gt;200,M49&lt;=1000),M49*3%,M49*5%))))</f>
        <v>2615.11</v>
      </c>
      <c r="M68" s="23">
        <f ca="1">ROUND(L68,1)</f>
        <v>2615.1</v>
      </c>
      <c r="Z68" s="2415"/>
      <c r="AI68" s="2416"/>
    </row>
    <row r="69" spans="1:35" s="2438" customFormat="1" ht="16.5" customHeight="1">
      <c r="A69" s="2492"/>
      <c r="B69" s="2493"/>
      <c r="C69" s="2494"/>
      <c r="D69" s="2495"/>
      <c r="E69" s="2496"/>
      <c r="F69" s="2160"/>
      <c r="G69" s="2160"/>
      <c r="H69" s="2159"/>
      <c r="I69" s="2410"/>
      <c r="J69" s="3080"/>
      <c r="K69" s="2491" t="s">
        <v>2258</v>
      </c>
      <c r="L69" s="2497"/>
      <c r="M69" s="23">
        <f ca="1">ROUND(SUM(M63:M68),0)</f>
        <v>8422</v>
      </c>
      <c r="N69" s="1746">
        <f ca="1">M69/M49</f>
        <v>1.6102573123119104E-2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124" t="s">
        <v>2259</v>
      </c>
      <c r="B70" s="3125"/>
      <c r="C70" s="3125"/>
      <c r="D70" s="3125"/>
      <c r="E70" s="3125"/>
      <c r="F70" s="3125"/>
      <c r="G70" s="3125"/>
      <c r="H70" s="312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15" t="s">
        <v>2240</v>
      </c>
      <c r="B71" s="3116"/>
      <c r="C71" s="1797"/>
      <c r="D71" s="1797" t="s">
        <v>2241</v>
      </c>
      <c r="E71" s="211" t="s">
        <v>2242</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2260</v>
      </c>
      <c r="C72" s="205">
        <f ca="1">ROUND(D45/(1+'数据-取费表'!C42),0)</f>
        <v>498116</v>
      </c>
      <c r="D72" s="198" t="s">
        <v>32</v>
      </c>
      <c r="E72" s="1796"/>
      <c r="F72" s="1790"/>
      <c r="G72" s="1790"/>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2261</v>
      </c>
      <c r="C73" s="205">
        <f ca="1">C74+C78</f>
        <v>2989</v>
      </c>
      <c r="D73" s="198" t="s">
        <v>32</v>
      </c>
      <c r="E73" s="1796"/>
      <c r="F73" s="1790"/>
      <c r="G73" s="1790"/>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2262</v>
      </c>
      <c r="C74" s="198">
        <f>ROUND(IF(G77="2016年5月1日后购买",C75/(1+'数据-取费表'!C42)+C76+C77,C75+C76+C77),0)</f>
        <v>0</v>
      </c>
      <c r="D74" s="198" t="s">
        <v>32</v>
      </c>
      <c r="E74" s="1796"/>
      <c r="F74" s="1790"/>
      <c r="G74" s="1790"/>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2263</v>
      </c>
      <c r="C75" s="216"/>
      <c r="D75" s="198" t="s">
        <v>32</v>
      </c>
      <c r="E75" s="217" t="s">
        <v>2264</v>
      </c>
      <c r="F75" s="2503" t="s">
        <v>2265</v>
      </c>
      <c r="G75" s="217" t="s">
        <v>2266</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2267</v>
      </c>
      <c r="C76" s="198">
        <f>IF(F75="购房发票",ROUND(C75*H75*D76,0),0)</f>
        <v>0</v>
      </c>
      <c r="D76" s="220">
        <v>0.05</v>
      </c>
      <c r="E76" s="3121" t="s">
        <v>2268</v>
      </c>
      <c r="F76" s="3120"/>
      <c r="G76" s="3120"/>
      <c r="H76" s="312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05" t="s">
        <v>2271</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2272</v>
      </c>
      <c r="C78" s="223">
        <f ca="1">ROUND(D45*D78/(1+'数据-取费表'!C42),0)</f>
        <v>2989</v>
      </c>
      <c r="D78" s="224">
        <f>'数据-取费表'!B43</f>
        <v>6.000000000000001E-3</v>
      </c>
      <c r="E78" s="3112" t="s">
        <v>2273</v>
      </c>
      <c r="F78" s="3113"/>
      <c r="G78" s="3113"/>
      <c r="H78" s="311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2274</v>
      </c>
      <c r="C79" s="205">
        <f ca="1">C72-C73</f>
        <v>495127</v>
      </c>
      <c r="D79" s="198" t="s">
        <v>32</v>
      </c>
      <c r="E79" s="1796"/>
      <c r="F79" s="1790"/>
      <c r="G79" s="1790"/>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2275</v>
      </c>
      <c r="C80" s="225">
        <f ca="1">IF(C79&lt;=0,0,C79/C73)</f>
        <v>165.64971562395451</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2276</v>
      </c>
      <c r="C81" s="226">
        <f ca="1">ROUND(IF(C79&lt;=0,0,IF(C80&gt;=200%,C79*60%-C73*35%,IF(C80&gt;=100%,C79*50%-C73*15%,IF(C80&gt;=50%,C79*40%-C73*5%,IF(C80&lt;50%,C79*30%,0))))),0)</f>
        <v>296030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24" t="s">
        <v>2277</v>
      </c>
      <c r="B83" s="3125"/>
      <c r="C83" s="3125"/>
      <c r="D83" s="3125"/>
      <c r="E83" s="3125"/>
      <c r="F83" s="3125"/>
      <c r="G83" s="3125"/>
      <c r="H83" s="312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15" t="s">
        <v>2240</v>
      </c>
      <c r="B84" s="3116"/>
      <c r="C84" s="1797"/>
      <c r="D84" s="1797" t="s">
        <v>2241</v>
      </c>
      <c r="E84" s="211" t="s">
        <v>2242</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2260</v>
      </c>
      <c r="C85" s="205">
        <f ca="1">ROUND(D45/(1+'数据-取费表'!C42),0)</f>
        <v>498116</v>
      </c>
      <c r="D85" s="198" t="s">
        <v>32</v>
      </c>
      <c r="E85" s="1796"/>
      <c r="F85" s="1790"/>
      <c r="G85" s="1790"/>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2261</v>
      </c>
      <c r="C86" s="205">
        <f ca="1">IF(H88="仅含出让金",C87+C90+C91+C92+C93+C94,C87+C91+C92+C93+C94)</f>
        <v>2989</v>
      </c>
      <c r="D86" s="233"/>
      <c r="E86" s="1796"/>
      <c r="F86" s="1790"/>
      <c r="G86" s="1790"/>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2278</v>
      </c>
      <c r="C87" s="223">
        <f>C88+C89</f>
        <v>0</v>
      </c>
      <c r="D87" s="224"/>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2279</v>
      </c>
      <c r="C88" s="234"/>
      <c r="D88" s="224"/>
      <c r="E88" s="235" t="s">
        <v>2280</v>
      </c>
      <c r="F88" s="1793"/>
      <c r="G88" s="236" t="s">
        <v>2281</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2269</v>
      </c>
      <c r="C89" s="223">
        <f>ROUND(C88*D89,0)</f>
        <v>0</v>
      </c>
      <c r="D89" s="224">
        <f>'数据-取费表'!B48+'数据-取费表'!B49</f>
        <v>3.0499999999999999E-2</v>
      </c>
      <c r="E89" s="235" t="s">
        <v>2282</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2283</v>
      </c>
      <c r="C90" s="234"/>
      <c r="D90" s="224"/>
      <c r="E90" s="235"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2284</v>
      </c>
      <c r="B91" s="196" t="s">
        <v>2285</v>
      </c>
      <c r="C91" s="223">
        <f>IF(H91="——",成本法!C33,I91)</f>
        <v>0</v>
      </c>
      <c r="D91" s="224"/>
      <c r="E91" s="3112" t="s">
        <v>2286</v>
      </c>
      <c r="F91" s="3113"/>
      <c r="G91" s="3113"/>
      <c r="H91" s="2510" t="s">
        <v>2287</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2288</v>
      </c>
      <c r="B92" s="196" t="s">
        <v>2289</v>
      </c>
      <c r="C92" s="223">
        <f>ROUND((C87+C90+C91)*D92,0)</f>
        <v>0</v>
      </c>
      <c r="D92" s="224">
        <v>0.1</v>
      </c>
      <c r="E92" s="3112" t="s">
        <v>2290</v>
      </c>
      <c r="F92" s="3113"/>
      <c r="G92" s="3113"/>
      <c r="H92" s="311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2291</v>
      </c>
      <c r="B93" s="196" t="s">
        <v>2272</v>
      </c>
      <c r="C93" s="223">
        <f ca="1">ROUND(D45*D93/(1+'数据-取费表'!C42),0)</f>
        <v>2989</v>
      </c>
      <c r="D93" s="224">
        <f>'数据-取费表'!B43</f>
        <v>6.000000000000001E-3</v>
      </c>
      <c r="E93" s="3112" t="s">
        <v>2273</v>
      </c>
      <c r="F93" s="3113"/>
      <c r="G93" s="3113"/>
      <c r="H93" s="311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2292</v>
      </c>
      <c r="B94" s="196" t="s">
        <v>2293</v>
      </c>
      <c r="C94" s="234">
        <f>ROUND((C87+C90+C91)*D94,0)</f>
        <v>0</v>
      </c>
      <c r="D94" s="224">
        <v>0.2</v>
      </c>
      <c r="E94" s="3160" t="s">
        <v>2294</v>
      </c>
      <c r="F94" s="3161"/>
      <c r="G94" s="3161"/>
      <c r="H94" s="316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2274</v>
      </c>
      <c r="C95" s="205">
        <f ca="1">ROUND(C85-C86,0)</f>
        <v>495127</v>
      </c>
      <c r="D95" s="198" t="s">
        <v>32</v>
      </c>
      <c r="E95" s="1796"/>
      <c r="F95" s="1790"/>
      <c r="G95" s="1790"/>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2275</v>
      </c>
      <c r="C96" s="225">
        <f ca="1">IF(C95&lt;=0,0,C95/C86)</f>
        <v>165.64971562395451</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2276</v>
      </c>
      <c r="C97" s="226">
        <f ca="1">ROUND(IF(C95&lt;=0,0,IF(C96&gt;=200%,C95*60%-C86*35%,IF(C96&gt;=100%,C95*50%-C86*15%,IF(C96&gt;=50%,C95*40%-C86*5%,IF(C96&lt;50%,C95*30%,0))))),0)</f>
        <v>296030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6"/>
    </row>
    <row r="99" spans="1:35" ht="21.75" customHeight="1" thickBot="1">
      <c r="A99" s="2466" t="s">
        <v>2295</v>
      </c>
      <c r="B99" s="2410"/>
      <c r="C99" s="2410"/>
      <c r="D99" s="2410"/>
      <c r="E99" s="2160"/>
      <c r="F99" s="2160"/>
      <c r="G99" s="2160"/>
      <c r="H99" s="2159"/>
      <c r="I99" s="136"/>
    </row>
    <row r="100" spans="1:35" ht="18.75" customHeight="1">
      <c r="A100" s="3064" t="s">
        <v>2296</v>
      </c>
      <c r="B100" s="3065"/>
      <c r="C100" s="3065"/>
      <c r="D100" s="3096"/>
      <c r="E100" s="3065" t="s">
        <v>2297</v>
      </c>
      <c r="F100" s="3065"/>
      <c r="G100" s="3065"/>
      <c r="H100" s="3096"/>
      <c r="I100" s="136"/>
    </row>
    <row r="101" spans="1:35" ht="18.75" customHeight="1">
      <c r="A101" s="3104" t="s">
        <v>2298</v>
      </c>
      <c r="B101" s="3105"/>
      <c r="C101" s="733" t="str">
        <f>C4</f>
        <v>成本法</v>
      </c>
      <c r="D101" s="734" t="str">
        <f>D4</f>
        <v>假设开发法</v>
      </c>
      <c r="E101" s="3076" t="s">
        <v>2299</v>
      </c>
      <c r="F101" s="3077"/>
      <c r="G101" s="2512" t="s">
        <v>2300</v>
      </c>
      <c r="H101" s="1040">
        <f ca="1">H118</f>
        <v>523022</v>
      </c>
      <c r="I101" s="136"/>
    </row>
    <row r="102" spans="1:35" ht="18.75" customHeight="1">
      <c r="A102" s="3106" t="s">
        <v>2301</v>
      </c>
      <c r="B102" s="2512" t="s">
        <v>2300</v>
      </c>
      <c r="C102" s="733">
        <f ca="1">C19</f>
        <v>545006</v>
      </c>
      <c r="D102" s="734">
        <f ca="1">D19</f>
        <v>501038</v>
      </c>
      <c r="E102" s="3076"/>
      <c r="F102" s="3077"/>
      <c r="G102" s="2512" t="s">
        <v>2302</v>
      </c>
      <c r="H102" s="369">
        <f ca="1">I118</f>
        <v>38342</v>
      </c>
      <c r="I102" s="136"/>
    </row>
    <row r="103" spans="1:35" ht="42.75" customHeight="1">
      <c r="A103" s="3106"/>
      <c r="B103" s="2512" t="s">
        <v>2302</v>
      </c>
      <c r="C103" s="735">
        <f ca="1">C20</f>
        <v>39954</v>
      </c>
      <c r="D103" s="736">
        <f ca="1">D20</f>
        <v>36731</v>
      </c>
      <c r="E103" s="3070" t="s">
        <v>2303</v>
      </c>
      <c r="F103" s="3071"/>
      <c r="G103" s="2513" t="s">
        <v>2304</v>
      </c>
      <c r="H103" s="1040">
        <f>IF(D36="正常操作",H104+H105+H106,H105+H106)</f>
        <v>0</v>
      </c>
      <c r="I103" s="136"/>
    </row>
    <row r="104" spans="1:35" ht="18.75" customHeight="1">
      <c r="A104" s="3106" t="s">
        <v>2305</v>
      </c>
      <c r="B104" s="2514" t="s">
        <v>2300</v>
      </c>
      <c r="C104" s="737">
        <f ca="1">H118</f>
        <v>523022</v>
      </c>
      <c r="D104" s="738"/>
      <c r="E104" s="2260" t="s">
        <v>2306</v>
      </c>
      <c r="F104" s="2252"/>
      <c r="G104" s="2513" t="s">
        <v>2304</v>
      </c>
      <c r="H104" s="1041">
        <f>IF(D36="同一抵押权人同一抵押物续贷",C36&amp;"（未扣减，详见特别提示）",C36)</f>
        <v>0</v>
      </c>
      <c r="I104" s="136"/>
    </row>
    <row r="105" spans="1:35" ht="18.75" customHeight="1" thickBot="1">
      <c r="A105" s="3118"/>
      <c r="B105" s="2515" t="s">
        <v>2302</v>
      </c>
      <c r="C105" s="739">
        <f ca="1">I118</f>
        <v>38342</v>
      </c>
      <c r="D105" s="740"/>
      <c r="E105" s="2260" t="s">
        <v>2307</v>
      </c>
      <c r="F105" s="2252"/>
      <c r="G105" s="2513" t="s">
        <v>2304</v>
      </c>
      <c r="H105" s="1041">
        <f>C37</f>
        <v>0</v>
      </c>
      <c r="I105" s="136"/>
    </row>
    <row r="106" spans="1:35" ht="18.75" customHeight="1">
      <c r="A106" s="2410" t="s">
        <v>2308</v>
      </c>
      <c r="B106" s="2410"/>
      <c r="C106" s="2410"/>
      <c r="D106" s="2410"/>
      <c r="E106" s="2516" t="s">
        <v>2309</v>
      </c>
      <c r="F106" s="2252"/>
      <c r="G106" s="2513" t="s">
        <v>2304</v>
      </c>
      <c r="H106" s="1041">
        <f>C38</f>
        <v>0</v>
      </c>
      <c r="I106" s="136"/>
    </row>
    <row r="107" spans="1:35" ht="18.75" customHeight="1">
      <c r="A107" s="136"/>
      <c r="B107" s="136"/>
      <c r="C107" s="136"/>
      <c r="D107" s="136"/>
      <c r="E107" s="3107" t="str">
        <f>IF(项目基本情况!E8="已注销","——","3.房地产抵押价值")</f>
        <v>3.房地产抵押价值</v>
      </c>
      <c r="F107" s="3077"/>
      <c r="G107" s="2512" t="s">
        <v>2300</v>
      </c>
      <c r="H107" s="1040">
        <f ca="1">IF(E107="——","——",H101-H103)</f>
        <v>523022</v>
      </c>
      <c r="I107" s="136"/>
    </row>
    <row r="108" spans="1:35" ht="18.75" customHeight="1">
      <c r="A108" s="136"/>
      <c r="B108" s="136"/>
      <c r="C108" s="136"/>
      <c r="D108" s="136"/>
      <c r="E108" s="3107"/>
      <c r="F108" s="3077"/>
      <c r="G108" s="2512" t="s">
        <v>2302</v>
      </c>
      <c r="H108" s="369">
        <f ca="1">ROUND(H107*10000/'数据-汇总表'!E3,0)</f>
        <v>38342</v>
      </c>
      <c r="I108" s="136"/>
    </row>
    <row r="109" spans="1:35" ht="18.75" customHeight="1">
      <c r="A109" s="136"/>
      <c r="B109" s="136"/>
      <c r="C109" s="136"/>
      <c r="D109" s="136"/>
      <c r="E109" s="3107" t="str">
        <f>IF(项目基本情况!E8="已注销及未注销","4.抵押担保权已注销时的房地产抵押价值",IF(项目基本情况!E8="已注销","3.抵押担保权已注销时的房地产抵押价值","——"))</f>
        <v>——</v>
      </c>
      <c r="F109" s="3077"/>
      <c r="G109" s="2512" t="s">
        <v>2300</v>
      </c>
      <c r="H109" s="346" t="str">
        <f>IF(E109="——","——",H101-H105-H106)</f>
        <v>——</v>
      </c>
      <c r="I109" s="136"/>
    </row>
    <row r="110" spans="1:35" ht="18.75" customHeight="1">
      <c r="A110" s="136"/>
      <c r="B110" s="136"/>
      <c r="C110" s="136"/>
      <c r="D110" s="136"/>
      <c r="E110" s="3107"/>
      <c r="F110" s="3077"/>
      <c r="G110" s="2512" t="s">
        <v>2302</v>
      </c>
      <c r="H110" s="369" t="str">
        <f>IF(H109="——","——",ROUND(H109*10000/'数据-汇总表'!E3,0))</f>
        <v>——</v>
      </c>
      <c r="I110" s="136"/>
    </row>
    <row r="111" spans="1:35" ht="18.75" customHeight="1">
      <c r="A111" s="136"/>
      <c r="B111" s="136"/>
      <c r="C111" s="136"/>
      <c r="D111" s="136"/>
      <c r="E111" s="3108" t="str">
        <f>IF(项目基本情况!E9="抵押净值",IF(OR(项目基本情况!E8="已注销",项目基本情况!E8="房地产抵押价值"),"4.抵押净值","5.抵押净值"),"——")</f>
        <v>——</v>
      </c>
      <c r="F111" s="3109"/>
      <c r="G111" s="2512" t="s">
        <v>2300</v>
      </c>
      <c r="H111" s="1040" t="str">
        <f>IF(E111="——","——",N59)</f>
        <v>——</v>
      </c>
      <c r="I111" s="136"/>
    </row>
    <row r="112" spans="1:35" ht="18.75" customHeight="1" thickBot="1">
      <c r="A112" s="136"/>
      <c r="B112" s="136"/>
      <c r="C112" s="136"/>
      <c r="D112" s="136"/>
      <c r="E112" s="3110"/>
      <c r="F112" s="3111"/>
      <c r="G112" s="2517" t="s">
        <v>2302</v>
      </c>
      <c r="H112" s="787" t="str">
        <f>IF(E111="——","——",N61)</f>
        <v>——</v>
      </c>
      <c r="I112" s="136"/>
    </row>
    <row r="113" spans="1:11" ht="18.75" customHeight="1">
      <c r="A113" s="136"/>
      <c r="B113" s="136"/>
      <c r="C113" s="136"/>
      <c r="D113" s="136"/>
      <c r="E113" s="3119" t="s">
        <v>2308</v>
      </c>
      <c r="F113" s="3119"/>
      <c r="G113" s="3119"/>
      <c r="H113" s="3119"/>
      <c r="I113" s="136"/>
    </row>
    <row r="114" spans="1:11" ht="3.75" customHeight="1">
      <c r="A114" s="2410"/>
      <c r="B114" s="2410"/>
      <c r="C114" s="2410"/>
      <c r="D114" s="2410"/>
      <c r="E114" s="2488"/>
      <c r="F114" s="2488"/>
      <c r="G114" s="2488"/>
      <c r="H114" s="2488"/>
      <c r="I114" s="2410"/>
    </row>
    <row r="115" spans="1:11" ht="18.75" customHeight="1">
      <c r="A115" s="3132" t="s">
        <v>2310</v>
      </c>
      <c r="B115" s="3133"/>
      <c r="C115" s="3133"/>
      <c r="D115" s="3133"/>
      <c r="E115" s="3133"/>
      <c r="F115" s="3133"/>
      <c r="G115" s="3133"/>
      <c r="H115" s="3133"/>
      <c r="I115" s="3134"/>
    </row>
    <row r="116" spans="1:11" ht="27" customHeight="1">
      <c r="A116" s="3043" t="s">
        <v>2311</v>
      </c>
      <c r="B116" s="3086" t="s">
        <v>3292</v>
      </c>
      <c r="C116" s="3086" t="s">
        <v>2312</v>
      </c>
      <c r="D116" s="3092" t="s">
        <v>2313</v>
      </c>
      <c r="E116" s="3093"/>
      <c r="F116" s="3128" t="s">
        <v>2314</v>
      </c>
      <c r="G116" s="3128"/>
      <c r="H116" s="3043" t="s">
        <v>2315</v>
      </c>
      <c r="I116" s="3043"/>
    </row>
    <row r="117" spans="1:11" ht="18.75" customHeight="1">
      <c r="A117" s="3043"/>
      <c r="B117" s="3087"/>
      <c r="C117" s="3087"/>
      <c r="D117" s="1791" t="s">
        <v>2316</v>
      </c>
      <c r="E117" s="1791" t="s">
        <v>2317</v>
      </c>
      <c r="F117" s="1791" t="s">
        <v>2316</v>
      </c>
      <c r="G117" s="1791" t="s">
        <v>2318</v>
      </c>
      <c r="H117" s="1791" t="s">
        <v>2316</v>
      </c>
      <c r="I117" s="1791" t="s">
        <v>2318</v>
      </c>
    </row>
    <row r="118" spans="1:11" ht="24.75" customHeight="1">
      <c r="A118" s="2518" t="str">
        <f>项目基本情况!S2</f>
        <v>北京市门头沟区永定镇MC00-0017-0620地块出让国有建设用地使用权及在建建筑物房地产</v>
      </c>
      <c r="B118" s="1791">
        <f>M18</f>
        <v>136408.82</v>
      </c>
      <c r="C118" s="1791">
        <f>M19</f>
        <v>35880.089999999997</v>
      </c>
      <c r="D118" s="1791">
        <f ca="1">ROUND(IF(D32="总价",C34,E118*B118/10000),0)</f>
        <v>489026</v>
      </c>
      <c r="E118" s="1791">
        <f ca="1">ROUND(IF(C33="自定义",IF(D32="楼面单价",C34,D118*10000/B118),I118-G118),0)</f>
        <v>35850</v>
      </c>
      <c r="F118" s="1791">
        <f ca="1">ROUND(IF(D32="总价",C35,G118*B118/10000),0)</f>
        <v>33996</v>
      </c>
      <c r="G118" s="1791">
        <f ca="1">ROUND(IF(D32="楼面单价",C35,F118*10000/B118),0)</f>
        <v>2492</v>
      </c>
      <c r="H118" s="1791">
        <f ca="1">ROUND(IF(D32="总价",C32,I118*B118/10000),0)</f>
        <v>523022</v>
      </c>
      <c r="I118" s="1791">
        <f ca="1">ROUND(IF(D32="楼面单价",C32,H118*10000/B118),0)</f>
        <v>38342</v>
      </c>
      <c r="J118" s="792">
        <f ca="1">D118/C118*666.67</f>
        <v>9086.3474261073479</v>
      </c>
    </row>
    <row r="119" spans="1:11" ht="18.75" customHeight="1">
      <c r="A119" s="3043" t="s">
        <v>2319</v>
      </c>
      <c r="B119" s="3043"/>
      <c r="C119" s="3043"/>
      <c r="D119" s="3088" t="str">
        <f ca="1">NUMBERSTRING(INT(D118*10000),2)&amp;"元整"</f>
        <v>肆拾捌亿玖仟零贰拾陆万元整</v>
      </c>
      <c r="E119" s="3089"/>
      <c r="F119" s="3088" t="str">
        <f ca="1">NUMBERSTRING(INT(F118*10000),2)&amp;"元整"</f>
        <v>叁亿叁仟玖佰玖拾陆万元整</v>
      </c>
      <c r="G119" s="3089"/>
      <c r="H119" s="3088" t="str">
        <f ca="1">NUMBERSTRING(INT(H118*10000),2)&amp;"元整"</f>
        <v>伍拾贰亿叁仟零贰拾贰万元整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15" t="str">
        <f>IF(D120=0,"故，本次评估不存在"&amp;A120,"故，本次评估"&amp;A120&amp;"为人民币"&amp;D120&amp;"万元整。")</f>
        <v>故，本次评估不存在估价师知悉的法定优先受偿款</v>
      </c>
    </row>
    <row r="121" spans="1:11" ht="18.75" customHeight="1">
      <c r="A121" s="3129" t="s">
        <v>2319</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523022</v>
      </c>
      <c r="E122" s="3084"/>
      <c r="F122" s="3084"/>
      <c r="G122" s="3084"/>
      <c r="H122" s="3084"/>
      <c r="I122" s="3085"/>
    </row>
    <row r="123" spans="1:11" ht="18.75" customHeight="1">
      <c r="A123" s="3043" t="s">
        <v>2319</v>
      </c>
      <c r="B123" s="3043"/>
      <c r="C123" s="3043"/>
      <c r="D123" s="3088" t="str">
        <f ca="1">NUMBERSTRING(INT(D122*10000),2)&amp;"元整"</f>
        <v>伍拾贰亿叁仟零贰拾贰万元整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2319</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2319</v>
      </c>
      <c r="B127" s="3043"/>
      <c r="C127" s="3043"/>
      <c r="D127" s="3088" t="e">
        <f>NUMBERSTRING(INT(D126*10000),2)&amp;"元整"</f>
        <v>#VALUE!</v>
      </c>
      <c r="E127" s="3090"/>
      <c r="F127" s="3090"/>
      <c r="G127" s="3090"/>
      <c r="H127" s="3090"/>
      <c r="I127" s="3089"/>
    </row>
    <row r="128" spans="1:11" ht="21.75" customHeight="1">
      <c r="A128" s="3091" t="s">
        <v>2320</v>
      </c>
      <c r="B128" s="3091"/>
      <c r="C128" s="3091"/>
      <c r="D128" s="3091"/>
      <c r="E128" s="3091"/>
      <c r="F128" s="3091"/>
      <c r="G128" s="3091"/>
      <c r="H128" s="3091"/>
      <c r="I128" s="3091"/>
    </row>
    <row r="129" spans="1:35" ht="21.75" customHeight="1">
      <c r="A129" s="2519" t="s">
        <v>2321</v>
      </c>
      <c r="B129" s="2520"/>
      <c r="C129" s="2521" t="s">
        <v>2322</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2323</v>
      </c>
      <c r="G135" s="2536"/>
      <c r="H135" s="2536"/>
      <c r="I135" s="2537" t="s">
        <v>2324</v>
      </c>
    </row>
    <row r="136" spans="1:35" ht="21.75" customHeight="1">
      <c r="A136" s="792"/>
      <c r="B136" s="2538"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2326</v>
      </c>
    </row>
    <row r="139" spans="1:35" ht="21.75" customHeight="1">
      <c r="A139" s="792"/>
      <c r="B139" s="2538" t="s">
        <v>2327</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2326</v>
      </c>
    </row>
    <row r="142" spans="1:35" ht="21.75" customHeight="1">
      <c r="A142" s="792"/>
      <c r="B142" s="2538"/>
      <c r="C142" s="2539"/>
      <c r="D142" s="2540"/>
      <c r="E142" s="2540"/>
      <c r="F142" s="2334"/>
      <c r="G142" s="792"/>
      <c r="H142" s="792"/>
      <c r="I142" s="792"/>
    </row>
    <row r="143" spans="1:35" s="137"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77" t="str">
        <f>项目基本情况!B1</f>
        <v>北京市门头沟区永定镇MC00-0017-0620地块出让国有建设用地使用权及在建建筑物房地产抵押价值预评估</v>
      </c>
      <c r="C37" s="2977"/>
      <c r="D37" s="2977"/>
      <c r="E37" s="2977"/>
      <c r="F37" s="2977"/>
      <c r="G37" s="2977"/>
      <c r="H37" s="2977"/>
      <c r="I37" s="2977"/>
    </row>
    <row r="38" spans="1:9">
      <c r="A38" s="1011"/>
      <c r="B38" s="1011"/>
    </row>
    <row r="39" spans="1:9">
      <c r="A39" s="1009" t="s">
        <v>818</v>
      </c>
      <c r="B39" s="1009" t="s">
        <v>820</v>
      </c>
    </row>
    <row r="40" spans="1:9">
      <c r="A40" s="1009"/>
      <c r="B40" s="1938" t="str">
        <f>项目基本情况!B5</f>
        <v>北京绿城中交房地产开发有限公司</v>
      </c>
    </row>
    <row r="41" spans="1:9">
      <c r="A41" s="1009"/>
      <c r="B41" s="1009"/>
    </row>
    <row r="42" spans="1:9">
      <c r="A42" s="1009" t="s">
        <v>818</v>
      </c>
      <c r="B42" s="1009" t="s">
        <v>821</v>
      </c>
    </row>
    <row r="43" spans="1:9">
      <c r="A43" s="1009"/>
      <c r="B43" s="1938" t="s">
        <v>822</v>
      </c>
    </row>
    <row r="44" spans="1:9">
      <c r="A44" s="1009"/>
      <c r="B44" s="1009"/>
    </row>
    <row r="45" spans="1:9">
      <c r="A45" s="1009" t="s">
        <v>818</v>
      </c>
      <c r="B45" s="1009" t="s">
        <v>823</v>
      </c>
    </row>
    <row r="46" spans="1:9" s="1009" customFormat="1" ht="12.75">
      <c r="B46" s="1938" t="str">
        <f ca="1">项目基本情况!K4</f>
        <v>欧红伟（注册号：1120000080)、崔锴（注册号：1120100036)</v>
      </c>
    </row>
    <row r="47" spans="1:9">
      <c r="A47" s="1009"/>
      <c r="B47" s="1009" t="str">
        <f>项目基本情况!K5</f>
        <v/>
      </c>
    </row>
    <row r="48" spans="1:9">
      <c r="A48" s="1009" t="s">
        <v>818</v>
      </c>
      <c r="B48" s="1009"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Normal="100" workbookViewId="0">
      <selection activeCell="E59" sqref="E59"/>
    </sheetView>
  </sheetViews>
  <sheetFormatPr defaultRowHeight="14.25"/>
  <cols>
    <col min="1" max="1" width="14.375" style="401" customWidth="1"/>
    <col min="2" max="2" width="15.75" style="401" customWidth="1"/>
    <col min="3" max="3" width="14.375" style="401" customWidth="1"/>
    <col min="4" max="4" width="14.125" style="401" customWidth="1"/>
    <col min="5" max="5" width="17.2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2743</v>
      </c>
      <c r="B1" s="393"/>
      <c r="C1" s="394"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2329</v>
      </c>
      <c r="B2" s="669">
        <f>F66</f>
        <v>408334</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5"/>
    </row>
    <row r="3" spans="1:30" s="396" customFormat="1" ht="28.5" customHeight="1" thickBot="1">
      <c r="A3" s="245" t="s">
        <v>2331</v>
      </c>
      <c r="B3" s="607">
        <f>ROUND(IF(D3="",B2*10000/'数据-汇总表'!E3,B2*10000/D3),0)</f>
        <v>29935</v>
      </c>
      <c r="C3" s="245" t="s">
        <v>2745</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9" t="s">
        <v>2644</v>
      </c>
      <c r="B4" s="400"/>
      <c r="C4" s="3178" t="s">
        <v>2645</v>
      </c>
      <c r="D4" s="3179"/>
      <c r="E4" s="3180" t="s">
        <v>2646</v>
      </c>
      <c r="F4" s="3181"/>
      <c r="G4" s="3178" t="s">
        <v>2647</v>
      </c>
      <c r="H4" s="3179"/>
      <c r="I4" s="3178" t="s">
        <v>2648</v>
      </c>
      <c r="J4" s="3179"/>
      <c r="K4" s="608" t="s">
        <v>2649</v>
      </c>
      <c r="L4" s="1125"/>
      <c r="M4" s="1126"/>
      <c r="N4" s="1126"/>
      <c r="O4" s="1126"/>
      <c r="P4" s="3182" t="s">
        <v>2650</v>
      </c>
      <c r="Q4" s="3183"/>
      <c r="R4" s="3168" t="s">
        <v>2646</v>
      </c>
      <c r="S4" s="3169"/>
      <c r="T4" s="3168" t="s">
        <v>2647</v>
      </c>
      <c r="U4" s="3169"/>
      <c r="V4" s="3190" t="s">
        <v>2648</v>
      </c>
      <c r="W4" s="3190"/>
      <c r="X4" s="1809"/>
      <c r="Y4" s="3168" t="s">
        <v>2650</v>
      </c>
      <c r="Z4" s="3169"/>
      <c r="AA4" s="3163" t="s">
        <v>2646</v>
      </c>
      <c r="AB4" s="3164" t="s">
        <v>2647</v>
      </c>
      <c r="AC4" s="3163" t="s">
        <v>2648</v>
      </c>
    </row>
    <row r="5" spans="1:30" ht="49.5" customHeight="1">
      <c r="A5" s="402"/>
      <c r="B5" s="403"/>
      <c r="C5" s="3173" t="s">
        <v>3073</v>
      </c>
      <c r="D5" s="3174"/>
      <c r="E5" s="3172" t="s">
        <v>3133</v>
      </c>
      <c r="F5" s="3172"/>
      <c r="G5" s="3172" t="s">
        <v>3135</v>
      </c>
      <c r="H5" s="3172"/>
      <c r="I5" s="3172" t="s">
        <v>3111</v>
      </c>
      <c r="J5" s="3172"/>
      <c r="K5" s="608"/>
      <c r="L5" s="1125"/>
      <c r="M5" s="1126"/>
      <c r="N5" s="1126"/>
      <c r="O5" s="1126"/>
      <c r="P5" s="3184"/>
      <c r="Q5" s="3185"/>
      <c r="R5" s="3170"/>
      <c r="S5" s="3171"/>
      <c r="T5" s="3170"/>
      <c r="U5" s="3171"/>
      <c r="V5" s="3190"/>
      <c r="W5" s="3190"/>
      <c r="X5" s="1809"/>
      <c r="Y5" s="3170"/>
      <c r="Z5" s="3171"/>
      <c r="AA5" s="3164"/>
      <c r="AB5" s="3164"/>
      <c r="AC5" s="3164"/>
    </row>
    <row r="6" spans="1:30" ht="54.75" customHeight="1" thickBot="1">
      <c r="A6" s="404"/>
      <c r="B6" s="405"/>
      <c r="C6" s="3175" t="s">
        <v>3074</v>
      </c>
      <c r="D6" s="3176"/>
      <c r="E6" s="3172" t="s">
        <v>3133</v>
      </c>
      <c r="F6" s="3172"/>
      <c r="G6" s="3172" t="s">
        <v>3135</v>
      </c>
      <c r="H6" s="3172"/>
      <c r="I6" s="3172" t="s">
        <v>3112</v>
      </c>
      <c r="J6" s="3172"/>
      <c r="K6" s="608" t="s">
        <v>2546</v>
      </c>
      <c r="L6" s="1125"/>
      <c r="M6" s="1126"/>
      <c r="N6" s="1126"/>
      <c r="O6" s="1126"/>
      <c r="P6" s="3186"/>
      <c r="Q6" s="3187"/>
      <c r="R6" s="3170"/>
      <c r="S6" s="3171"/>
      <c r="T6" s="3188"/>
      <c r="U6" s="3189"/>
      <c r="V6" s="3190"/>
      <c r="W6" s="3190"/>
      <c r="X6" s="1809"/>
      <c r="Y6" s="3188"/>
      <c r="Z6" s="3189"/>
      <c r="AA6" s="3165"/>
      <c r="AB6" s="3165"/>
      <c r="AC6" s="3165"/>
    </row>
    <row r="7" spans="1:30" s="116" customFormat="1" ht="15.75" thickBot="1">
      <c r="A7" s="406" t="s">
        <v>2547</v>
      </c>
      <c r="B7" s="407"/>
      <c r="C7" s="408">
        <f>'数据-取费表'!B2</f>
        <v>43126</v>
      </c>
      <c r="D7" s="409">
        <v>100</v>
      </c>
      <c r="E7" s="410">
        <v>42307</v>
      </c>
      <c r="F7" s="411">
        <f>SUMIF(70:70,YEAR(E7)&amp;"-"&amp;INT((MONTH(E7)+2)/3),71:71)</f>
        <v>95.5</v>
      </c>
      <c r="G7" s="2930">
        <v>42247</v>
      </c>
      <c r="H7" s="409">
        <f>SUMIF(70:70,YEAR(G7)&amp;"-"&amp;INT((MONTH(G7)+2)/3),71:71)</f>
        <v>95</v>
      </c>
      <c r="I7" s="2930">
        <v>42401</v>
      </c>
      <c r="J7" s="409">
        <f>SUMIF(70:70,YEAR(I7)&amp;"-"&amp;INT((MONTH(I7)+2)/3),71:71)</f>
        <v>96</v>
      </c>
      <c r="K7" s="609"/>
      <c r="L7" s="1127"/>
      <c r="M7" s="1128"/>
      <c r="N7" s="1128"/>
      <c r="O7" s="1128"/>
      <c r="P7" s="3166" t="s">
        <v>2548</v>
      </c>
      <c r="Q7" s="3191"/>
      <c r="R7" s="767" t="s">
        <v>17</v>
      </c>
      <c r="S7" s="768">
        <f t="shared" ref="S7:S15" si="0">F7</f>
        <v>95.5</v>
      </c>
      <c r="T7" s="767" t="s">
        <v>17</v>
      </c>
      <c r="U7" s="768">
        <f t="shared" ref="U7:U15" si="1">H7</f>
        <v>95</v>
      </c>
      <c r="V7" s="767" t="s">
        <v>17</v>
      </c>
      <c r="W7" s="768">
        <f t="shared" ref="W7:W15" si="2">J7</f>
        <v>96</v>
      </c>
      <c r="X7" s="769"/>
      <c r="Y7" s="3166" t="s">
        <v>2548</v>
      </c>
      <c r="Z7" s="3167"/>
      <c r="AA7" s="770">
        <f>D7/F7</f>
        <v>1.0471204188481675</v>
      </c>
      <c r="AB7" s="770">
        <f>D7/H7</f>
        <v>1.0526315789473684</v>
      </c>
      <c r="AC7" s="770">
        <f>D7/J7</f>
        <v>1.0416666666666667</v>
      </c>
    </row>
    <row r="8" spans="1:30" s="116" customFormat="1" ht="15.75" thickBot="1">
      <c r="A8" s="406" t="s">
        <v>2549</v>
      </c>
      <c r="B8" s="407"/>
      <c r="C8" s="412" t="s">
        <v>2550</v>
      </c>
      <c r="D8" s="409">
        <v>100</v>
      </c>
      <c r="E8" s="412" t="s">
        <v>3113</v>
      </c>
      <c r="F8" s="411">
        <f>SUMIF(73:73,E8,74:74)-SUMIF(73:73,C8,74:74)+100</f>
        <v>100</v>
      </c>
      <c r="G8" s="412" t="s">
        <v>3113</v>
      </c>
      <c r="H8" s="409">
        <f>SUMIF(73:73,G8,74:74)-SUMIF(73:73,C8,74:74)+100</f>
        <v>100</v>
      </c>
      <c r="I8" s="412" t="s">
        <v>3113</v>
      </c>
      <c r="J8" s="409">
        <f>SUMIF(73:73,I8,74:74)-SUMIF(73:73,C8,74:74)+100</f>
        <v>100</v>
      </c>
      <c r="K8" s="609"/>
      <c r="L8" s="1127"/>
      <c r="M8" s="1128"/>
      <c r="N8" s="1128"/>
      <c r="O8" s="1128"/>
      <c r="P8" s="3166" t="s">
        <v>2551</v>
      </c>
      <c r="Q8" s="3167"/>
      <c r="R8" s="767" t="s">
        <v>17</v>
      </c>
      <c r="S8" s="768">
        <f t="shared" si="0"/>
        <v>100</v>
      </c>
      <c r="T8" s="767" t="s">
        <v>17</v>
      </c>
      <c r="U8" s="768">
        <f t="shared" si="1"/>
        <v>100</v>
      </c>
      <c r="V8" s="767" t="s">
        <v>17</v>
      </c>
      <c r="W8" s="768">
        <f t="shared" si="2"/>
        <v>100</v>
      </c>
      <c r="X8" s="769"/>
      <c r="Y8" s="3166" t="s">
        <v>2551</v>
      </c>
      <c r="Z8" s="3167"/>
      <c r="AA8" s="770">
        <f t="shared" ref="AA8:AA45" si="3">D8/F8</f>
        <v>1</v>
      </c>
      <c r="AB8" s="770">
        <f t="shared" ref="AB8:AB45" si="4">D8/H8</f>
        <v>1</v>
      </c>
      <c r="AC8" s="770">
        <f t="shared" ref="AC8:AC45" si="5">D8/J8</f>
        <v>1</v>
      </c>
    </row>
    <row r="9" spans="1:30" s="116" customFormat="1" ht="28.5">
      <c r="A9" s="413" t="s">
        <v>2552</v>
      </c>
      <c r="B9" s="70" t="s">
        <v>2553</v>
      </c>
      <c r="C9" s="2690" t="s">
        <v>3103</v>
      </c>
      <c r="D9" s="133">
        <v>100</v>
      </c>
      <c r="E9" s="2690" t="s">
        <v>3103</v>
      </c>
      <c r="F9" s="133">
        <f>SUMIF(75:75,E9,76:76)-SUMIF(75:75,C9,76:76)+100</f>
        <v>100</v>
      </c>
      <c r="G9" s="2690" t="s">
        <v>3114</v>
      </c>
      <c r="H9" s="133">
        <f>SUMIF(75:75,G9,76:76)-SUMIF(75:75,C9,76:76)+100</f>
        <v>95</v>
      </c>
      <c r="I9" s="2690" t="s">
        <v>3114</v>
      </c>
      <c r="J9" s="133">
        <f>SUMIF(75:75,I9,76:76)-SUMIF(75:75,C9,76:76)+100</f>
        <v>95</v>
      </c>
      <c r="K9" s="609"/>
      <c r="L9" s="1127"/>
      <c r="M9" s="1128"/>
      <c r="N9" s="1128"/>
      <c r="O9" s="1129"/>
      <c r="P9" s="3177" t="s">
        <v>2554</v>
      </c>
      <c r="Q9" s="1791" t="str">
        <f t="shared" ref="Q9:Q15" si="6">B9</f>
        <v>用途</v>
      </c>
      <c r="R9" s="767" t="s">
        <v>17</v>
      </c>
      <c r="S9" s="768">
        <f t="shared" si="0"/>
        <v>100</v>
      </c>
      <c r="T9" s="767" t="s">
        <v>17</v>
      </c>
      <c r="U9" s="768">
        <f t="shared" si="1"/>
        <v>95</v>
      </c>
      <c r="V9" s="767" t="s">
        <v>17</v>
      </c>
      <c r="W9" s="768">
        <f t="shared" si="2"/>
        <v>95</v>
      </c>
      <c r="X9" s="769"/>
      <c r="Y9" s="3043" t="s">
        <v>2555</v>
      </c>
      <c r="Z9" s="54" t="str">
        <f t="shared" ref="Z9:Z15" si="7">Q9</f>
        <v>用途</v>
      </c>
      <c r="AA9" s="770">
        <f t="shared" si="3"/>
        <v>1</v>
      </c>
      <c r="AB9" s="770">
        <f t="shared" si="4"/>
        <v>1.0526315789473684</v>
      </c>
      <c r="AC9" s="770">
        <f t="shared" si="5"/>
        <v>1.0526315789473684</v>
      </c>
    </row>
    <row r="10" spans="1:30" s="425" customFormat="1" ht="27">
      <c r="A10" s="419"/>
      <c r="B10" s="420" t="s">
        <v>2556</v>
      </c>
      <c r="C10" s="430">
        <v>67.97</v>
      </c>
      <c r="D10" s="134">
        <v>100</v>
      </c>
      <c r="E10" s="463" t="s">
        <v>3104</v>
      </c>
      <c r="F10" s="134">
        <f>ROUND(100/'数据-取费表'!G16,0)</f>
        <v>101</v>
      </c>
      <c r="G10" s="461" t="s">
        <v>3115</v>
      </c>
      <c r="H10" s="134">
        <f>ROUND(100/'数据-取费表'!G16,0)</f>
        <v>101</v>
      </c>
      <c r="I10" s="461" t="s">
        <v>3115</v>
      </c>
      <c r="J10" s="134">
        <f>ROUND(100/'数据-取费表'!G16,0)</f>
        <v>101</v>
      </c>
      <c r="K10" s="670"/>
      <c r="L10" s="1130"/>
      <c r="M10" s="1131"/>
      <c r="N10" s="1131"/>
      <c r="O10" s="1132"/>
      <c r="P10" s="3177"/>
      <c r="Q10" s="1791" t="str">
        <f t="shared" si="6"/>
        <v>土地使用年限（年）</v>
      </c>
      <c r="R10" s="767" t="s">
        <v>17</v>
      </c>
      <c r="S10" s="768">
        <f t="shared" si="0"/>
        <v>101</v>
      </c>
      <c r="T10" s="767" t="s">
        <v>17</v>
      </c>
      <c r="U10" s="768">
        <f t="shared" si="1"/>
        <v>101</v>
      </c>
      <c r="V10" s="767" t="s">
        <v>17</v>
      </c>
      <c r="W10" s="768">
        <f t="shared" si="2"/>
        <v>101</v>
      </c>
      <c r="X10" s="769"/>
      <c r="Y10" s="3043"/>
      <c r="Z10" s="54" t="str">
        <f t="shared" si="7"/>
        <v>土地使用年限（年）</v>
      </c>
      <c r="AA10" s="770">
        <f t="shared" si="3"/>
        <v>0.99009900990099009</v>
      </c>
      <c r="AB10" s="770">
        <f t="shared" si="4"/>
        <v>0.99009900990099009</v>
      </c>
      <c r="AC10" s="770">
        <f t="shared" si="5"/>
        <v>0.99009900990099009</v>
      </c>
    </row>
    <row r="11" spans="1:30" ht="15">
      <c r="A11" s="426"/>
      <c r="B11" s="420" t="s">
        <v>2557</v>
      </c>
      <c r="C11" s="427">
        <f>'数据-汇总表'!I4</f>
        <v>2.79</v>
      </c>
      <c r="D11" s="134">
        <v>100</v>
      </c>
      <c r="E11" s="2934">
        <v>1.92</v>
      </c>
      <c r="F11" s="134">
        <f>LOOKUP(E11,80:80,81:81)-LOOKUP(C11,80:80,81:81)+100</f>
        <v>101</v>
      </c>
      <c r="G11" s="428">
        <v>1.96</v>
      </c>
      <c r="H11" s="134">
        <f>LOOKUP(G11,80:80,81:81)-LOOKUP(C11,80:80,81:81)+100</f>
        <v>101</v>
      </c>
      <c r="I11" s="427">
        <v>3.19</v>
      </c>
      <c r="J11" s="134">
        <f>LOOKUP(I11,80:80,81:81)-LOOKUP(C11,80:80,81:81)+100</f>
        <v>99</v>
      </c>
      <c r="K11" s="671">
        <v>1</v>
      </c>
      <c r="L11" s="1133"/>
      <c r="M11" s="1126"/>
      <c r="N11" s="1126"/>
      <c r="O11" s="1134"/>
      <c r="P11" s="3177"/>
      <c r="Q11" s="1791" t="str">
        <f t="shared" si="6"/>
        <v>容积率</v>
      </c>
      <c r="R11" s="767" t="s">
        <v>17</v>
      </c>
      <c r="S11" s="768">
        <f t="shared" si="0"/>
        <v>101</v>
      </c>
      <c r="T11" s="767" t="s">
        <v>17</v>
      </c>
      <c r="U11" s="768">
        <f t="shared" si="1"/>
        <v>101</v>
      </c>
      <c r="V11" s="767" t="s">
        <v>17</v>
      </c>
      <c r="W11" s="768">
        <f t="shared" si="2"/>
        <v>99</v>
      </c>
      <c r="X11" s="769"/>
      <c r="Y11" s="3043"/>
      <c r="Z11" s="54" t="str">
        <f t="shared" si="7"/>
        <v>容积率</v>
      </c>
      <c r="AA11" s="770">
        <f t="shared" si="3"/>
        <v>0.99009900990099009</v>
      </c>
      <c r="AB11" s="770">
        <f t="shared" si="4"/>
        <v>0.99009900990099009</v>
      </c>
      <c r="AC11" s="770">
        <f t="shared" si="5"/>
        <v>1.0101010101010102</v>
      </c>
    </row>
    <row r="12" spans="1:30" s="116" customFormat="1" ht="15">
      <c r="A12" s="429"/>
      <c r="B12" s="2593" t="s">
        <v>2746</v>
      </c>
      <c r="C12" s="2931" t="s">
        <v>3116</v>
      </c>
      <c r="D12" s="431">
        <v>100</v>
      </c>
      <c r="E12" s="2931" t="s">
        <v>3116</v>
      </c>
      <c r="F12" s="134">
        <f>SUMIF(82:82,E12,83:83)-SUMIF(82:82,C12,83:83)+100</f>
        <v>100</v>
      </c>
      <c r="G12" s="2931" t="s">
        <v>3116</v>
      </c>
      <c r="H12" s="134">
        <f>SUMIF(82:82,G12,83:83)-SUMIF(82:82,C12,83:83)+100</f>
        <v>100</v>
      </c>
      <c r="I12" s="2931" t="s">
        <v>3116</v>
      </c>
      <c r="J12" s="134">
        <f>SUMIF(82:82,I12,83:83)-SUMIF(82:82,C12,83:83)+100</f>
        <v>100</v>
      </c>
      <c r="K12" s="670"/>
      <c r="L12" s="1127"/>
      <c r="M12" s="1128"/>
      <c r="N12" s="1128"/>
      <c r="O12" s="1129"/>
      <c r="P12" s="3177"/>
      <c r="Q12" s="1791" t="str">
        <f t="shared" si="6"/>
        <v>配建</v>
      </c>
      <c r="R12" s="767" t="s">
        <v>17</v>
      </c>
      <c r="S12" s="768">
        <f t="shared" si="0"/>
        <v>100</v>
      </c>
      <c r="T12" s="767" t="s">
        <v>17</v>
      </c>
      <c r="U12" s="768">
        <f t="shared" si="1"/>
        <v>100</v>
      </c>
      <c r="V12" s="767" t="s">
        <v>17</v>
      </c>
      <c r="W12" s="768">
        <f t="shared" si="2"/>
        <v>100</v>
      </c>
      <c r="X12" s="769"/>
      <c r="Y12" s="3043"/>
      <c r="Z12" s="54" t="str">
        <f t="shared" si="7"/>
        <v>配建</v>
      </c>
      <c r="AA12" s="770">
        <f>D12/F12</f>
        <v>1</v>
      </c>
      <c r="AB12" s="770">
        <f>D12/H12</f>
        <v>1</v>
      </c>
      <c r="AC12" s="770">
        <f>D12/J12</f>
        <v>1</v>
      </c>
    </row>
    <row r="13" spans="1:30" ht="15">
      <c r="A13" s="426"/>
      <c r="B13" s="2593">
        <v>111</v>
      </c>
      <c r="C13" s="432"/>
      <c r="D13" s="433">
        <v>100</v>
      </c>
      <c r="E13" s="547"/>
      <c r="F13" s="134">
        <f>SUMIF(84:84,E13,85:85)-SUMIF(84:84,C13,85:85)+100</f>
        <v>100</v>
      </c>
      <c r="G13" s="672"/>
      <c r="H13" s="433">
        <f>SUMIF(84:84,G13,85:85)-SUMIF(84:84,C13,85:85)+100</f>
        <v>100</v>
      </c>
      <c r="I13" s="672"/>
      <c r="J13" s="433">
        <f>SUMIF(84:84,I13,85:85)-SUMIF(84:84,C13,85:85)+100</f>
        <v>100</v>
      </c>
      <c r="K13" s="670"/>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D13/F13</f>
        <v>1</v>
      </c>
      <c r="AB13" s="770">
        <f>D13/H13</f>
        <v>1</v>
      </c>
      <c r="AC13" s="770">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5"/>
      <c r="M14" s="1126"/>
      <c r="N14" s="1126"/>
      <c r="O14" s="1134"/>
      <c r="P14" s="3177"/>
      <c r="Q14" s="1791">
        <f t="shared" si="6"/>
        <v>111</v>
      </c>
      <c r="R14" s="767" t="s">
        <v>17</v>
      </c>
      <c r="S14" s="768">
        <f t="shared" si="0"/>
        <v>100</v>
      </c>
      <c r="T14" s="767" t="s">
        <v>17</v>
      </c>
      <c r="U14" s="768">
        <f t="shared" si="1"/>
        <v>100</v>
      </c>
      <c r="V14" s="767" t="s">
        <v>17</v>
      </c>
      <c r="W14" s="768">
        <f t="shared" si="2"/>
        <v>100</v>
      </c>
      <c r="X14" s="769"/>
      <c r="Y14" s="3043"/>
      <c r="Z14" s="54">
        <f t="shared" si="7"/>
        <v>111</v>
      </c>
      <c r="AA14" s="770">
        <f>D14/F14</f>
        <v>1</v>
      </c>
      <c r="AB14" s="770">
        <f>D14/H14</f>
        <v>1</v>
      </c>
      <c r="AC14" s="770">
        <f>D14/J14</f>
        <v>1</v>
      </c>
    </row>
    <row r="15" spans="1:30" ht="71.25">
      <c r="A15" s="438" t="s">
        <v>2558</v>
      </c>
      <c r="B15" s="68" t="s">
        <v>2090</v>
      </c>
      <c r="C15" s="2596" t="str">
        <f>估价对象房地状况!C15</f>
        <v>周边2公里内有泷悦长安、梧桐苑等住宅项目，居住社区成熟度一般</v>
      </c>
      <c r="D15" s="439">
        <v>100</v>
      </c>
      <c r="E15" s="440" t="s">
        <v>3204</v>
      </c>
      <c r="F15" s="439">
        <f>SUMIF(88:88,E16,89:89)-SUMIF(88:88,C16,89:89)+100</f>
        <v>102</v>
      </c>
      <c r="G15" s="440" t="s">
        <v>3203</v>
      </c>
      <c r="H15" s="439">
        <f>SUMIF(88:88,G16,89:89)-SUMIF(88:88,C16,89:89)+100</f>
        <v>102</v>
      </c>
      <c r="I15" s="442" t="s">
        <v>3117</v>
      </c>
      <c r="J15" s="439">
        <f>SUMIF(88:88,I16,89:89)-SUMIF(88:88,C16,89:89)+100</f>
        <v>102</v>
      </c>
      <c r="K15" s="671">
        <v>2</v>
      </c>
      <c r="L15" s="1135"/>
      <c r="M15" s="1126"/>
      <c r="N15" s="1126"/>
      <c r="O15" s="1134"/>
      <c r="P15" s="3192" t="s">
        <v>2559</v>
      </c>
      <c r="Q15" s="1806" t="str">
        <f t="shared" si="6"/>
        <v>居住社区成熟度</v>
      </c>
      <c r="R15" s="771" t="s">
        <v>17</v>
      </c>
      <c r="S15" s="772">
        <f t="shared" si="0"/>
        <v>102</v>
      </c>
      <c r="T15" s="771" t="s">
        <v>17</v>
      </c>
      <c r="U15" s="772">
        <f t="shared" si="1"/>
        <v>102</v>
      </c>
      <c r="V15" s="771" t="s">
        <v>17</v>
      </c>
      <c r="W15" s="772">
        <f t="shared" si="2"/>
        <v>102</v>
      </c>
      <c r="X15" s="1809"/>
      <c r="Y15" s="3192" t="s">
        <v>2559</v>
      </c>
      <c r="Z15" s="1810" t="str">
        <f t="shared" si="7"/>
        <v>居住社区成熟度</v>
      </c>
      <c r="AA15" s="1807">
        <f t="shared" si="3"/>
        <v>0.98039215686274506</v>
      </c>
      <c r="AB15" s="1807">
        <f t="shared" si="4"/>
        <v>0.98039215686274506</v>
      </c>
      <c r="AC15" s="1807">
        <f t="shared" si="5"/>
        <v>0.98039215686274506</v>
      </c>
    </row>
    <row r="16" spans="1:30" ht="15">
      <c r="A16" s="426"/>
      <c r="B16" s="444"/>
      <c r="C16" s="445" t="s">
        <v>3105</v>
      </c>
      <c r="D16" s="446"/>
      <c r="E16" s="2598" t="s">
        <v>3110</v>
      </c>
      <c r="F16" s="446"/>
      <c r="G16" s="2598" t="s">
        <v>3110</v>
      </c>
      <c r="H16" s="448"/>
      <c r="I16" s="2597" t="s">
        <v>3110</v>
      </c>
      <c r="J16" s="446"/>
      <c r="K16" s="670"/>
      <c r="L16" s="1135"/>
      <c r="M16" s="1126"/>
      <c r="N16" s="1126"/>
      <c r="O16" s="1134"/>
      <c r="P16" s="3193"/>
      <c r="Q16" s="1806"/>
      <c r="R16" s="771"/>
      <c r="S16" s="772"/>
      <c r="T16" s="771"/>
      <c r="U16" s="772"/>
      <c r="V16" s="771"/>
      <c r="W16" s="772"/>
      <c r="X16" s="1809"/>
      <c r="Y16" s="3193"/>
      <c r="Z16" s="1810"/>
      <c r="AA16" s="1807">
        <v>1</v>
      </c>
      <c r="AB16" s="1807">
        <v>1</v>
      </c>
      <c r="AC16" s="1807">
        <v>1</v>
      </c>
    </row>
    <row r="17" spans="1:29" ht="42.75">
      <c r="A17" s="426"/>
      <c r="B17" s="449" t="s">
        <v>2652</v>
      </c>
      <c r="C17" s="2655" t="str">
        <f>估价对象房地状况!C16</f>
        <v>估价对象零星分布商业，商业繁华度一般</v>
      </c>
      <c r="D17" s="448">
        <v>100</v>
      </c>
      <c r="E17" s="2946"/>
      <c r="F17" s="448">
        <f>SUMIF(90:90,E18,91:91)-SUMIF(90:90,C18,91:91)+100</f>
        <v>100</v>
      </c>
      <c r="G17" s="2946"/>
      <c r="H17" s="453">
        <f>SUMIF(90:90,G18,91:91)-SUMIF(90:90,C18,91:91)+100</f>
        <v>100</v>
      </c>
      <c r="I17" s="2932"/>
      <c r="J17" s="453">
        <f>SUMIF(90:90,I18,91:91)-SUMIF(90:90,C18,91:91)+100</f>
        <v>100</v>
      </c>
      <c r="K17" s="671">
        <v>2</v>
      </c>
      <c r="L17" s="1135"/>
      <c r="M17" s="1126"/>
      <c r="N17" s="1126"/>
      <c r="O17" s="1134"/>
      <c r="P17" s="3193"/>
      <c r="Q17" s="1806" t="str">
        <f>B17</f>
        <v>商业繁华度</v>
      </c>
      <c r="R17" s="771" t="s">
        <v>17</v>
      </c>
      <c r="S17" s="772">
        <f>F17</f>
        <v>100</v>
      </c>
      <c r="T17" s="771" t="s">
        <v>17</v>
      </c>
      <c r="U17" s="772">
        <f>H17</f>
        <v>100</v>
      </c>
      <c r="V17" s="771" t="s">
        <v>17</v>
      </c>
      <c r="W17" s="772">
        <f>J17</f>
        <v>100</v>
      </c>
      <c r="X17" s="1809"/>
      <c r="Y17" s="3193"/>
      <c r="Z17" s="1810" t="str">
        <f>Q17</f>
        <v>商业繁华度</v>
      </c>
      <c r="AA17" s="1807">
        <f t="shared" si="3"/>
        <v>1</v>
      </c>
      <c r="AB17" s="1807">
        <f t="shared" si="4"/>
        <v>1</v>
      </c>
      <c r="AC17" s="1807">
        <f t="shared" si="5"/>
        <v>1</v>
      </c>
    </row>
    <row r="18" spans="1:29" ht="15">
      <c r="A18" s="426"/>
      <c r="B18" s="454"/>
      <c r="C18" s="2601" t="s">
        <v>3105</v>
      </c>
      <c r="D18" s="448"/>
      <c r="E18" s="2603" t="s">
        <v>3105</v>
      </c>
      <c r="F18" s="448"/>
      <c r="G18" s="2603" t="s">
        <v>3105</v>
      </c>
      <c r="H18" s="446"/>
      <c r="I18" s="2602" t="s">
        <v>3105</v>
      </c>
      <c r="J18" s="446"/>
      <c r="K18" s="670"/>
      <c r="L18" s="1135"/>
      <c r="M18" s="1126"/>
      <c r="N18" s="1126"/>
      <c r="O18" s="1134"/>
      <c r="P18" s="3193"/>
      <c r="Q18" s="1806"/>
      <c r="R18" s="771"/>
      <c r="S18" s="772"/>
      <c r="T18" s="771"/>
      <c r="U18" s="772"/>
      <c r="V18" s="771"/>
      <c r="W18" s="772"/>
      <c r="X18" s="1809"/>
      <c r="Y18" s="3193"/>
      <c r="Z18" s="1810"/>
      <c r="AA18" s="1807">
        <v>1</v>
      </c>
      <c r="AB18" s="1807">
        <v>1</v>
      </c>
      <c r="AC18" s="1807">
        <v>1</v>
      </c>
    </row>
    <row r="19" spans="1:29" ht="57">
      <c r="A19" s="426"/>
      <c r="B19" s="449" t="s">
        <v>2686</v>
      </c>
      <c r="C19" s="2655" t="str">
        <f>估价对象房地状况!C17</f>
        <v>估价对象周边办公楼项目较少，办公集聚程度一般</v>
      </c>
      <c r="D19" s="453">
        <v>100</v>
      </c>
      <c r="E19" s="455"/>
      <c r="F19" s="453">
        <f>SUMIF(92:92,E20,93:93)-SUMIF(92:92,C20,93:93)+100</f>
        <v>100</v>
      </c>
      <c r="G19" s="455"/>
      <c r="H19" s="448">
        <f>SUMIF(92:92,G20,93:93)-SUMIF(92:92,C20,93:93)+100</f>
        <v>100</v>
      </c>
      <c r="I19" s="2933"/>
      <c r="J19" s="448">
        <f>SUMIF(92:92,I20,93:93)-SUMIF(92:92,C20,93:93)+100</f>
        <v>100</v>
      </c>
      <c r="K19" s="671"/>
      <c r="L19" s="1135"/>
      <c r="M19" s="1126"/>
      <c r="N19" s="1126"/>
      <c r="O19" s="1134"/>
      <c r="P19" s="3193"/>
      <c r="Q19" s="1806" t="str">
        <f>B19</f>
        <v>办公集聚程度</v>
      </c>
      <c r="R19" s="771" t="s">
        <v>17</v>
      </c>
      <c r="S19" s="772">
        <f>F19</f>
        <v>100</v>
      </c>
      <c r="T19" s="771" t="s">
        <v>17</v>
      </c>
      <c r="U19" s="772">
        <f>H19</f>
        <v>100</v>
      </c>
      <c r="V19" s="771" t="s">
        <v>17</v>
      </c>
      <c r="W19" s="772">
        <f>J19</f>
        <v>100</v>
      </c>
      <c r="X19" s="1809"/>
      <c r="Y19" s="3193"/>
      <c r="Z19" s="1810" t="str">
        <f>Q19</f>
        <v>办公集聚程度</v>
      </c>
      <c r="AA19" s="1807">
        <f t="shared" si="3"/>
        <v>1</v>
      </c>
      <c r="AB19" s="1807">
        <f t="shared" si="4"/>
        <v>1</v>
      </c>
      <c r="AC19" s="1807">
        <f t="shared" si="5"/>
        <v>1</v>
      </c>
    </row>
    <row r="20" spans="1:29" ht="15">
      <c r="A20" s="426"/>
      <c r="B20" s="454"/>
      <c r="C20" s="2598" t="s">
        <v>3105</v>
      </c>
      <c r="D20" s="446"/>
      <c r="E20" s="2598" t="s">
        <v>3105</v>
      </c>
      <c r="F20" s="446"/>
      <c r="G20" s="2598" t="s">
        <v>3105</v>
      </c>
      <c r="H20" s="446"/>
      <c r="I20" s="2597" t="s">
        <v>3105</v>
      </c>
      <c r="J20" s="446"/>
      <c r="K20" s="670"/>
      <c r="L20" s="1135"/>
      <c r="M20" s="1126"/>
      <c r="N20" s="1126"/>
      <c r="O20" s="1134"/>
      <c r="P20" s="3193"/>
      <c r="Q20" s="1806"/>
      <c r="R20" s="771"/>
      <c r="S20" s="772"/>
      <c r="T20" s="771"/>
      <c r="U20" s="772"/>
      <c r="V20" s="771"/>
      <c r="W20" s="772"/>
      <c r="X20" s="1809"/>
      <c r="Y20" s="3193"/>
      <c r="Z20" s="1810"/>
      <c r="AA20" s="1807">
        <v>1</v>
      </c>
      <c r="AB20" s="1807">
        <v>1</v>
      </c>
      <c r="AC20" s="1807">
        <v>1</v>
      </c>
    </row>
    <row r="21" spans="1:29" ht="81">
      <c r="A21" s="426"/>
      <c r="B21" s="449" t="s">
        <v>2708</v>
      </c>
      <c r="C21" s="2600" t="str">
        <f>估价对象房地状况!C18</f>
        <v>周边有941、981路等公交线路经过，交通便捷度一般</v>
      </c>
      <c r="D21" s="448">
        <v>100</v>
      </c>
      <c r="E21" s="450" t="s">
        <v>3205</v>
      </c>
      <c r="F21" s="453">
        <f>SUMIF(94:94,E22,95:95)-SUMIF(94:94,C22,95:95)+100</f>
        <v>102</v>
      </c>
      <c r="G21" s="2946" t="s">
        <v>3206</v>
      </c>
      <c r="H21" s="448">
        <f>SUMIF(94:94,G22,95:95)-SUMIF(94:94,C22,95:95)+100</f>
        <v>102</v>
      </c>
      <c r="I21" s="452" t="s">
        <v>3118</v>
      </c>
      <c r="J21" s="448">
        <f>SUMIF(94:94,I22,95:95)-SUMIF(94:94,C22,95:95)+100</f>
        <v>100</v>
      </c>
      <c r="K21" s="671">
        <v>2</v>
      </c>
      <c r="L21" s="1135"/>
      <c r="M21" s="1126"/>
      <c r="N21" s="1126"/>
      <c r="O21" s="1134"/>
      <c r="P21" s="3193"/>
      <c r="Q21" s="1806" t="str">
        <f>B21</f>
        <v>交通便捷度</v>
      </c>
      <c r="R21" s="771" t="s">
        <v>17</v>
      </c>
      <c r="S21" s="772">
        <f>F21</f>
        <v>102</v>
      </c>
      <c r="T21" s="771" t="s">
        <v>17</v>
      </c>
      <c r="U21" s="772">
        <f>H21</f>
        <v>102</v>
      </c>
      <c r="V21" s="771" t="s">
        <v>17</v>
      </c>
      <c r="W21" s="772">
        <f>J21</f>
        <v>100</v>
      </c>
      <c r="X21" s="1809"/>
      <c r="Y21" s="3193"/>
      <c r="Z21" s="1810" t="str">
        <f>Q21</f>
        <v>交通便捷度</v>
      </c>
      <c r="AA21" s="1807">
        <f t="shared" si="3"/>
        <v>0.98039215686274506</v>
      </c>
      <c r="AB21" s="1807">
        <f t="shared" si="4"/>
        <v>0.98039215686274506</v>
      </c>
      <c r="AC21" s="1807">
        <f t="shared" si="5"/>
        <v>1</v>
      </c>
    </row>
    <row r="22" spans="1:29" ht="15">
      <c r="A22" s="426"/>
      <c r="B22" s="1379"/>
      <c r="C22" s="445" t="s">
        <v>3105</v>
      </c>
      <c r="D22" s="448"/>
      <c r="E22" s="2598" t="s">
        <v>3110</v>
      </c>
      <c r="F22" s="446"/>
      <c r="G22" s="2598" t="s">
        <v>3110</v>
      </c>
      <c r="H22" s="446"/>
      <c r="I22" s="2597" t="s">
        <v>3105</v>
      </c>
      <c r="J22" s="446"/>
      <c r="K22" s="670"/>
      <c r="L22" s="1135"/>
      <c r="M22" s="1126"/>
      <c r="N22" s="1126"/>
      <c r="O22" s="1134"/>
      <c r="P22" s="3193"/>
      <c r="Q22" s="1806"/>
      <c r="R22" s="771"/>
      <c r="S22" s="772"/>
      <c r="T22" s="771"/>
      <c r="U22" s="772"/>
      <c r="V22" s="771"/>
      <c r="W22" s="772"/>
      <c r="X22" s="1809"/>
      <c r="Y22" s="3193"/>
      <c r="Z22" s="1810"/>
      <c r="AA22" s="1807">
        <v>1</v>
      </c>
      <c r="AB22" s="1807">
        <v>1</v>
      </c>
      <c r="AC22" s="1807">
        <v>1</v>
      </c>
    </row>
    <row r="23" spans="1:29" ht="42.75">
      <c r="A23" s="402"/>
      <c r="B23" s="449" t="s">
        <v>2747</v>
      </c>
      <c r="C23" s="1384" t="str">
        <f>估价对象房地状况!C19</f>
        <v>零星有其他用地，基本不影响本宗地</v>
      </c>
      <c r="D23" s="453">
        <v>100</v>
      </c>
      <c r="E23" s="450"/>
      <c r="F23" s="453">
        <f>SUMIF(96:96,E24,97:97)-SUMIF(96:96,C24,97:97)+100</f>
        <v>103</v>
      </c>
      <c r="G23" s="452"/>
      <c r="H23" s="453">
        <f>SUMIF(96:96,G24,97:97)-SUMIF(96:96,C24,97:97)+100</f>
        <v>103</v>
      </c>
      <c r="I23" s="452"/>
      <c r="J23" s="453">
        <f>SUMIF(96:96,I24,97:97)-SUMIF(96:96,C24,97:97)+100</f>
        <v>100</v>
      </c>
      <c r="K23" s="671">
        <v>3</v>
      </c>
      <c r="L23" s="1135"/>
      <c r="M23" s="1126"/>
      <c r="N23" s="1126"/>
      <c r="O23" s="1134"/>
      <c r="P23" s="3193"/>
      <c r="Q23" s="1806" t="str">
        <f t="shared" ref="Q23:Q37" si="8">B23</f>
        <v>区域土地利用方向</v>
      </c>
      <c r="R23" s="771" t="s">
        <v>17</v>
      </c>
      <c r="S23" s="772">
        <f>F23</f>
        <v>103</v>
      </c>
      <c r="T23" s="771" t="s">
        <v>17</v>
      </c>
      <c r="U23" s="772">
        <f>H23</f>
        <v>103</v>
      </c>
      <c r="V23" s="771" t="s">
        <v>17</v>
      </c>
      <c r="W23" s="772">
        <f>J23</f>
        <v>100</v>
      </c>
      <c r="X23" s="1809"/>
      <c r="Y23" s="3193"/>
      <c r="Z23" s="1810" t="str">
        <f>Q23</f>
        <v>区域土地利用方向</v>
      </c>
      <c r="AA23" s="1807">
        <f t="shared" si="3"/>
        <v>0.970873786407767</v>
      </c>
      <c r="AB23" s="1807">
        <f t="shared" si="4"/>
        <v>0.970873786407767</v>
      </c>
      <c r="AC23" s="1807">
        <f t="shared" si="5"/>
        <v>1</v>
      </c>
    </row>
    <row r="24" spans="1:29" ht="15">
      <c r="A24" s="402"/>
      <c r="B24" s="454"/>
      <c r="C24" s="614" t="s">
        <v>3105</v>
      </c>
      <c r="D24" s="446"/>
      <c r="E24" s="2598" t="s">
        <v>3110</v>
      </c>
      <c r="F24" s="446"/>
      <c r="G24" s="2597" t="s">
        <v>3110</v>
      </c>
      <c r="H24" s="446"/>
      <c r="I24" s="2597" t="s">
        <v>3105</v>
      </c>
      <c r="J24" s="446"/>
      <c r="K24" s="804"/>
      <c r="L24" s="1135"/>
      <c r="M24" s="1126"/>
      <c r="N24" s="1126"/>
      <c r="O24" s="1134"/>
      <c r="P24" s="3193"/>
      <c r="Q24" s="1806"/>
      <c r="R24" s="771"/>
      <c r="S24" s="772"/>
      <c r="T24" s="771"/>
      <c r="U24" s="772"/>
      <c r="V24" s="771"/>
      <c r="W24" s="772"/>
      <c r="X24" s="1809"/>
      <c r="Y24" s="3193"/>
      <c r="Z24" s="1810"/>
      <c r="AA24" s="1807"/>
      <c r="AB24" s="1807"/>
      <c r="AC24" s="1807"/>
    </row>
    <row r="25" spans="1:29" ht="85.5">
      <c r="A25" s="402"/>
      <c r="B25" s="1379" t="s">
        <v>2748</v>
      </c>
      <c r="C25" s="2655" t="str">
        <f>估价对象房地状况!C20</f>
        <v>周边无大学等教育配套设施，有石门营文化公园等绿化设施，自然及人文环境一般</v>
      </c>
      <c r="D25" s="448">
        <v>100</v>
      </c>
      <c r="E25" s="2932" t="s">
        <v>3207</v>
      </c>
      <c r="F25" s="448">
        <f>SUMIF(98:98,E26,99:99)-SUMIF(98:98,C26,99:99)+100</f>
        <v>100</v>
      </c>
      <c r="G25" s="2932" t="s">
        <v>3208</v>
      </c>
      <c r="H25" s="448">
        <f>SUMIF(98:98,G26,99:99)-SUMIF(98:98,C26,99:99)+100</f>
        <v>100</v>
      </c>
      <c r="I25" s="2932" t="s">
        <v>3219</v>
      </c>
      <c r="J25" s="448">
        <f>SUMIF(98:98,I26,99:99)-SUMIF(98:98,C26,99:99)+100</f>
        <v>102</v>
      </c>
      <c r="K25" s="671">
        <v>2</v>
      </c>
      <c r="L25" s="1135"/>
      <c r="M25" s="1126"/>
      <c r="N25" s="1126"/>
      <c r="O25" s="1134"/>
      <c r="P25" s="3193"/>
      <c r="Q25" s="1806" t="str">
        <f t="shared" si="8"/>
        <v>自然及人文环境状况</v>
      </c>
      <c r="R25" s="771" t="s">
        <v>17</v>
      </c>
      <c r="S25" s="772">
        <f>F25</f>
        <v>100</v>
      </c>
      <c r="T25" s="771" t="s">
        <v>17</v>
      </c>
      <c r="U25" s="772">
        <f>H25</f>
        <v>100</v>
      </c>
      <c r="V25" s="771" t="s">
        <v>17</v>
      </c>
      <c r="W25" s="772">
        <f>J25</f>
        <v>102</v>
      </c>
      <c r="X25" s="1809"/>
      <c r="Y25" s="3193"/>
      <c r="Z25" s="1810" t="str">
        <f>Q25</f>
        <v>自然及人文环境状况</v>
      </c>
      <c r="AA25" s="1807">
        <f t="shared" si="3"/>
        <v>1</v>
      </c>
      <c r="AB25" s="1807">
        <f t="shared" si="4"/>
        <v>1</v>
      </c>
      <c r="AC25" s="1807">
        <f t="shared" si="5"/>
        <v>0.98039215686274506</v>
      </c>
    </row>
    <row r="26" spans="1:29" ht="15">
      <c r="A26" s="402"/>
      <c r="B26" s="454"/>
      <c r="C26" s="445" t="s">
        <v>3105</v>
      </c>
      <c r="D26" s="446"/>
      <c r="E26" s="2604" t="s">
        <v>3105</v>
      </c>
      <c r="F26" s="446"/>
      <c r="G26" s="2604" t="s">
        <v>3105</v>
      </c>
      <c r="H26" s="446"/>
      <c r="I26" s="445" t="s">
        <v>3110</v>
      </c>
      <c r="J26" s="446"/>
      <c r="K26" s="670"/>
      <c r="L26" s="1135"/>
      <c r="M26" s="1126"/>
      <c r="N26" s="1126"/>
      <c r="O26" s="1134"/>
      <c r="P26" s="3193"/>
      <c r="Q26" s="1806"/>
      <c r="R26" s="771"/>
      <c r="S26" s="772"/>
      <c r="T26" s="771"/>
      <c r="U26" s="772"/>
      <c r="V26" s="771"/>
      <c r="W26" s="772"/>
      <c r="X26" s="1809"/>
      <c r="Y26" s="3193"/>
      <c r="Z26" s="1810"/>
      <c r="AA26" s="1807">
        <v>1</v>
      </c>
      <c r="AB26" s="1807">
        <v>1</v>
      </c>
      <c r="AC26" s="1807">
        <v>1</v>
      </c>
    </row>
    <row r="27" spans="1:29" s="116" customFormat="1" ht="42.75">
      <c r="A27" s="647"/>
      <c r="B27" s="1379" t="s">
        <v>2653</v>
      </c>
      <c r="C27" s="2600" t="str">
        <f>估价对象房地状况!C21</f>
        <v>估价对象所在区域公共配套设施齐备较差</v>
      </c>
      <c r="D27" s="448">
        <v>100</v>
      </c>
      <c r="E27" s="2932" t="s">
        <v>3209</v>
      </c>
      <c r="F27" s="448">
        <f>SUMIF(100:100,E28,101:101)-SUMIF(100:100,C28,101:101)+100</f>
        <v>104</v>
      </c>
      <c r="G27" s="2932" t="s">
        <v>3209</v>
      </c>
      <c r="H27" s="448">
        <f>SUMIF(100:100,G28,101:101)-SUMIF(100:100,C28,101:101)+100</f>
        <v>104</v>
      </c>
      <c r="I27" s="2932" t="s">
        <v>3221</v>
      </c>
      <c r="J27" s="448">
        <f>SUMIF(100:100,I28,101:101)-SUMIF(100:100,C28,101:101)+100</f>
        <v>102</v>
      </c>
      <c r="K27" s="671">
        <v>2</v>
      </c>
      <c r="L27" s="1127"/>
      <c r="M27" s="1128"/>
      <c r="N27" s="1128"/>
      <c r="O27" s="1129"/>
      <c r="P27" s="3193"/>
      <c r="Q27" s="1791" t="str">
        <f t="shared" si="8"/>
        <v>公共配套设施</v>
      </c>
      <c r="R27" s="767" t="s">
        <v>17</v>
      </c>
      <c r="S27" s="768">
        <f>F27</f>
        <v>104</v>
      </c>
      <c r="T27" s="767" t="s">
        <v>17</v>
      </c>
      <c r="U27" s="768">
        <f>H27</f>
        <v>104</v>
      </c>
      <c r="V27" s="767" t="s">
        <v>17</v>
      </c>
      <c r="W27" s="768">
        <f>J27</f>
        <v>102</v>
      </c>
      <c r="X27" s="769"/>
      <c r="Y27" s="3193"/>
      <c r="Z27" s="54" t="str">
        <f>Q27</f>
        <v>公共配套设施</v>
      </c>
      <c r="AA27" s="1807">
        <f>D27/F27</f>
        <v>0.96153846153846156</v>
      </c>
      <c r="AB27" s="1807">
        <f>D27/H27</f>
        <v>0.96153846153846156</v>
      </c>
      <c r="AC27" s="1807">
        <f>D27/J27</f>
        <v>0.98039215686274506</v>
      </c>
    </row>
    <row r="28" spans="1:29" s="116" customFormat="1" ht="15">
      <c r="A28" s="647"/>
      <c r="B28" s="454"/>
      <c r="C28" s="2691" t="s">
        <v>3171</v>
      </c>
      <c r="D28" s="446"/>
      <c r="E28" s="2604" t="s">
        <v>3110</v>
      </c>
      <c r="F28" s="446"/>
      <c r="G28" s="2604" t="s">
        <v>3110</v>
      </c>
      <c r="H28" s="446"/>
      <c r="I28" s="445" t="s">
        <v>3105</v>
      </c>
      <c r="J28" s="446"/>
      <c r="K28" s="670"/>
      <c r="L28" s="1127"/>
      <c r="M28" s="1128"/>
      <c r="N28" s="1128"/>
      <c r="O28" s="1129"/>
      <c r="P28" s="3193"/>
      <c r="Q28" s="1791"/>
      <c r="R28" s="767"/>
      <c r="S28" s="768"/>
      <c r="T28" s="767"/>
      <c r="U28" s="768"/>
      <c r="V28" s="767"/>
      <c r="W28" s="768"/>
      <c r="X28" s="769"/>
      <c r="Y28" s="3193"/>
      <c r="Z28" s="54"/>
      <c r="AA28" s="1807">
        <v>1</v>
      </c>
      <c r="AB28" s="1807">
        <v>1</v>
      </c>
      <c r="AC28" s="1807">
        <v>1</v>
      </c>
    </row>
    <row r="29" spans="1:29" s="116" customFormat="1" ht="15">
      <c r="A29" s="647"/>
      <c r="B29" s="1379" t="s">
        <v>2654</v>
      </c>
      <c r="C29" s="2600" t="str">
        <f>估价对象房地状况!C22</f>
        <v>基础设施为七通</v>
      </c>
      <c r="D29" s="448">
        <v>100</v>
      </c>
      <c r="E29" s="450"/>
      <c r="F29" s="448">
        <f>SUMIF(102:102,E30,103:103)-SUMIF(102:102,C30,103:103)+100</f>
        <v>100</v>
      </c>
      <c r="G29" s="450"/>
      <c r="H29" s="448">
        <f>SUMIF(102:102,G30,103:103)-SUMIF(102:102,C30,103:103)+100</f>
        <v>100</v>
      </c>
      <c r="I29" s="452"/>
      <c r="J29" s="448">
        <f>SUMIF(102:102,I30,103:103)-SUMIF(102:102,C30,103:103)+100</f>
        <v>100</v>
      </c>
      <c r="K29" s="671">
        <v>0.5</v>
      </c>
      <c r="L29" s="1127"/>
      <c r="M29" s="1128"/>
      <c r="N29" s="1128"/>
      <c r="O29" s="1129"/>
      <c r="P29" s="3193"/>
      <c r="Q29" s="1791" t="str">
        <f t="shared" ref="Q29" si="9">B29</f>
        <v>基础设施水平</v>
      </c>
      <c r="R29" s="767" t="s">
        <v>17</v>
      </c>
      <c r="S29" s="768">
        <f>F29</f>
        <v>100</v>
      </c>
      <c r="T29" s="767" t="s">
        <v>17</v>
      </c>
      <c r="U29" s="768">
        <f>H29</f>
        <v>100</v>
      </c>
      <c r="V29" s="767" t="s">
        <v>17</v>
      </c>
      <c r="W29" s="768">
        <f>J29</f>
        <v>100</v>
      </c>
      <c r="X29" s="769"/>
      <c r="Y29" s="3193"/>
      <c r="Z29" s="54" t="str">
        <f>Q29</f>
        <v>基础设施水平</v>
      </c>
      <c r="AA29" s="1807">
        <f>D29/F29</f>
        <v>1</v>
      </c>
      <c r="AB29" s="1807">
        <f>D29/H29</f>
        <v>1</v>
      </c>
      <c r="AC29" s="1807">
        <f>D29/J29</f>
        <v>1</v>
      </c>
    </row>
    <row r="30" spans="1:29" s="116" customFormat="1" ht="15">
      <c r="A30" s="647"/>
      <c r="B30" s="454"/>
      <c r="C30" s="2691" t="s">
        <v>3132</v>
      </c>
      <c r="D30" s="446"/>
      <c r="E30" s="2692" t="s">
        <v>3132</v>
      </c>
      <c r="F30" s="446"/>
      <c r="G30" s="2692" t="s">
        <v>3132</v>
      </c>
      <c r="H30" s="446"/>
      <c r="I30" s="2692" t="s">
        <v>3132</v>
      </c>
      <c r="J30" s="446"/>
      <c r="K30" s="670"/>
      <c r="L30" s="1127"/>
      <c r="M30" s="1128"/>
      <c r="N30" s="1128"/>
      <c r="O30" s="1129"/>
      <c r="P30" s="3193"/>
      <c r="Q30" s="1791"/>
      <c r="R30" s="767"/>
      <c r="S30" s="768"/>
      <c r="T30" s="767"/>
      <c r="U30" s="768"/>
      <c r="V30" s="767"/>
      <c r="W30" s="768"/>
      <c r="X30" s="769"/>
      <c r="Y30" s="3193"/>
      <c r="Z30" s="54"/>
      <c r="AA30" s="1807">
        <v>1</v>
      </c>
      <c r="AB30" s="1807">
        <v>1</v>
      </c>
      <c r="AC30" s="1807">
        <v>1</v>
      </c>
    </row>
    <row r="31" spans="1:29" ht="15">
      <c r="A31" s="426"/>
      <c r="B31" s="454" t="s">
        <v>2655</v>
      </c>
      <c r="C31" s="614" t="s">
        <v>3122</v>
      </c>
      <c r="D31" s="433">
        <v>100</v>
      </c>
      <c r="E31" s="632" t="s">
        <v>3122</v>
      </c>
      <c r="F31" s="433">
        <f>SUMIF(104:104,E31,105:105)-SUMIF(104:104,C31,105:105)+100</f>
        <v>100</v>
      </c>
      <c r="G31" s="632" t="s">
        <v>3136</v>
      </c>
      <c r="H31" s="433">
        <f>SUMIF(104:104,G31,105:105)-SUMIF(104:104,C31,105:105)+100</f>
        <v>99</v>
      </c>
      <c r="I31" s="632" t="s">
        <v>3121</v>
      </c>
      <c r="J31" s="433">
        <f>SUMIF(104:104,I31,105:105)-SUMIF(104:104,C31,105:105)+100</f>
        <v>98</v>
      </c>
      <c r="K31" s="671">
        <v>1</v>
      </c>
      <c r="L31" s="1135"/>
      <c r="M31" s="1126"/>
      <c r="N31" s="1126"/>
      <c r="O31" s="1134"/>
      <c r="P31" s="3193"/>
      <c r="Q31" s="1806" t="str">
        <f t="shared" si="8"/>
        <v>临街状况</v>
      </c>
      <c r="R31" s="771" t="s">
        <v>17</v>
      </c>
      <c r="S31" s="772">
        <f t="shared" ref="S31:S45" si="10">F31</f>
        <v>100</v>
      </c>
      <c r="T31" s="771" t="s">
        <v>17</v>
      </c>
      <c r="U31" s="772">
        <f t="shared" ref="U31:U45" si="11">H31</f>
        <v>99</v>
      </c>
      <c r="V31" s="771" t="s">
        <v>17</v>
      </c>
      <c r="W31" s="772">
        <f t="shared" ref="W31:W45" si="12">J31</f>
        <v>98</v>
      </c>
      <c r="X31" s="1809"/>
      <c r="Y31" s="3193"/>
      <c r="Z31" s="1810" t="str">
        <f t="shared" ref="Z31:Z45" si="13">Q31</f>
        <v>临街状况</v>
      </c>
      <c r="AA31" s="1807">
        <f t="shared" si="3"/>
        <v>1</v>
      </c>
      <c r="AB31" s="1807">
        <f t="shared" si="4"/>
        <v>1.0101010101010102</v>
      </c>
      <c r="AC31" s="1807">
        <f t="shared" si="5"/>
        <v>1.0204081632653061</v>
      </c>
    </row>
    <row r="32" spans="1:29" ht="27.75">
      <c r="A32" s="426"/>
      <c r="B32" s="1379" t="s">
        <v>2690</v>
      </c>
      <c r="C32" s="2929" t="s">
        <v>3106</v>
      </c>
      <c r="D32" s="448">
        <v>100</v>
      </c>
      <c r="E32" s="450"/>
      <c r="F32" s="448">
        <f>SUMIF(106:106,E33,107:107)-SUMIF(106:106,C33,107:107)+100</f>
        <v>100</v>
      </c>
      <c r="G32" s="450"/>
      <c r="H32" s="448">
        <f>SUMIF(106:106,G33,107:107)-SUMIF(106:106,C33,107:107)+100</f>
        <v>100</v>
      </c>
      <c r="I32" s="452" t="s">
        <v>3119</v>
      </c>
      <c r="J32" s="448">
        <f>SUMIF(106:106,I33,107:107)-SUMIF(106:106,C33,107:107)+100</f>
        <v>100.5</v>
      </c>
      <c r="K32" s="671">
        <v>0.5</v>
      </c>
      <c r="L32" s="1135"/>
      <c r="M32" s="1126"/>
      <c r="N32" s="1126"/>
      <c r="O32" s="1134"/>
      <c r="P32" s="3193"/>
      <c r="Q32" s="1806" t="str">
        <f t="shared" si="8"/>
        <v>毗邻道路的类型与等级</v>
      </c>
      <c r="R32" s="771" t="s">
        <v>17</v>
      </c>
      <c r="S32" s="772">
        <f t="shared" si="10"/>
        <v>100</v>
      </c>
      <c r="T32" s="771" t="s">
        <v>17</v>
      </c>
      <c r="U32" s="772">
        <f t="shared" si="11"/>
        <v>100</v>
      </c>
      <c r="V32" s="771" t="s">
        <v>17</v>
      </c>
      <c r="W32" s="772">
        <f t="shared" si="12"/>
        <v>100.5</v>
      </c>
      <c r="X32" s="1809"/>
      <c r="Y32" s="3193"/>
      <c r="Z32" s="1810" t="str">
        <f t="shared" si="13"/>
        <v>毗邻道路的类型与等级</v>
      </c>
      <c r="AA32" s="1807">
        <f t="shared" si="3"/>
        <v>1</v>
      </c>
      <c r="AB32" s="1807">
        <f t="shared" si="4"/>
        <v>1</v>
      </c>
      <c r="AC32" s="1807">
        <f t="shared" si="5"/>
        <v>0.99502487562189057</v>
      </c>
    </row>
    <row r="33" spans="1:29" ht="15">
      <c r="A33" s="426"/>
      <c r="B33" s="454"/>
      <c r="C33" s="445" t="s">
        <v>3107</v>
      </c>
      <c r="D33" s="446"/>
      <c r="E33" s="2604" t="s">
        <v>3107</v>
      </c>
      <c r="F33" s="446"/>
      <c r="G33" s="2604" t="s">
        <v>3107</v>
      </c>
      <c r="H33" s="446"/>
      <c r="I33" s="445" t="s">
        <v>3120</v>
      </c>
      <c r="J33" s="446"/>
      <c r="K33" s="611"/>
      <c r="L33" s="1135"/>
      <c r="M33" s="1126"/>
      <c r="N33" s="1126"/>
      <c r="O33" s="1134"/>
      <c r="P33" s="3193"/>
      <c r="Q33" s="1806"/>
      <c r="R33" s="771"/>
      <c r="S33" s="772"/>
      <c r="T33" s="771"/>
      <c r="U33" s="772"/>
      <c r="V33" s="771"/>
      <c r="W33" s="772"/>
      <c r="X33" s="1809"/>
      <c r="Y33" s="3193"/>
      <c r="Z33" s="1810"/>
      <c r="AA33" s="1807">
        <v>1</v>
      </c>
      <c r="AB33" s="1807">
        <v>1</v>
      </c>
      <c r="AC33" s="1807">
        <v>1</v>
      </c>
    </row>
    <row r="34" spans="1:29" ht="15">
      <c r="A34" s="426"/>
      <c r="B34" s="420" t="s">
        <v>2749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193"/>
      <c r="Q34" s="1806" t="str">
        <f t="shared" si="8"/>
        <v>土地级别</v>
      </c>
      <c r="R34" s="771" t="s">
        <v>17</v>
      </c>
      <c r="S34" s="772">
        <f t="shared" si="10"/>
        <v>100</v>
      </c>
      <c r="T34" s="771" t="s">
        <v>17</v>
      </c>
      <c r="U34" s="772">
        <f t="shared" si="11"/>
        <v>100</v>
      </c>
      <c r="V34" s="771" t="s">
        <v>17</v>
      </c>
      <c r="W34" s="772">
        <f t="shared" si="12"/>
        <v>100</v>
      </c>
      <c r="X34" s="1809"/>
      <c r="Y34" s="3193"/>
      <c r="Z34" s="1810" t="str">
        <f t="shared" si="13"/>
        <v>土地级别</v>
      </c>
      <c r="AA34" s="1807">
        <f t="shared" si="3"/>
        <v>1</v>
      </c>
      <c r="AB34" s="1807">
        <f t="shared" si="4"/>
        <v>1</v>
      </c>
      <c r="AC34" s="1807">
        <f t="shared" si="5"/>
        <v>1</v>
      </c>
    </row>
    <row r="35" spans="1:29" ht="15">
      <c r="A35" s="402"/>
      <c r="B35" s="1381">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5"/>
      <c r="M35" s="1126"/>
      <c r="N35" s="1126"/>
      <c r="O35" s="1134"/>
      <c r="P35" s="3193"/>
      <c r="Q35" s="1806">
        <f t="shared" si="8"/>
        <v>111</v>
      </c>
      <c r="R35" s="771" t="s">
        <v>17</v>
      </c>
      <c r="S35" s="772">
        <f t="shared" si="10"/>
        <v>100</v>
      </c>
      <c r="T35" s="771" t="s">
        <v>17</v>
      </c>
      <c r="U35" s="772">
        <f t="shared" si="11"/>
        <v>100</v>
      </c>
      <c r="V35" s="771" t="s">
        <v>17</v>
      </c>
      <c r="W35" s="772">
        <f t="shared" si="12"/>
        <v>100</v>
      </c>
      <c r="X35" s="1809"/>
      <c r="Y35" s="3193"/>
      <c r="Z35" s="1810">
        <f t="shared" si="13"/>
        <v>111</v>
      </c>
      <c r="AA35" s="1807">
        <f t="shared" si="3"/>
        <v>1</v>
      </c>
      <c r="AB35" s="1807">
        <f t="shared" si="4"/>
        <v>1</v>
      </c>
      <c r="AC35" s="1807">
        <f t="shared" si="5"/>
        <v>1</v>
      </c>
    </row>
    <row r="36" spans="1:29" ht="15">
      <c r="A36" s="673"/>
      <c r="B36" s="1382">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5"/>
      <c r="M36" s="1126"/>
      <c r="N36" s="1126"/>
      <c r="O36" s="1134"/>
      <c r="P36" s="3194" t="s">
        <v>2564</v>
      </c>
      <c r="Q36" s="1806">
        <f t="shared" si="8"/>
        <v>111</v>
      </c>
      <c r="R36" s="771" t="s">
        <v>17</v>
      </c>
      <c r="S36" s="772">
        <f t="shared" si="10"/>
        <v>100</v>
      </c>
      <c r="T36" s="771" t="s">
        <v>17</v>
      </c>
      <c r="U36" s="772">
        <f t="shared" si="11"/>
        <v>100</v>
      </c>
      <c r="V36" s="771" t="s">
        <v>17</v>
      </c>
      <c r="W36" s="772">
        <f t="shared" si="12"/>
        <v>100</v>
      </c>
      <c r="X36" s="1809"/>
      <c r="Y36" s="3195" t="s">
        <v>2564</v>
      </c>
      <c r="Z36" s="1810">
        <f t="shared" si="13"/>
        <v>111</v>
      </c>
      <c r="AA36" s="1807">
        <f t="shared" si="3"/>
        <v>1</v>
      </c>
      <c r="AB36" s="1807">
        <f t="shared" si="4"/>
        <v>1</v>
      </c>
      <c r="AC36" s="1807">
        <f t="shared" si="5"/>
        <v>1</v>
      </c>
    </row>
    <row r="37" spans="1:29" s="469" customFormat="1" ht="15.75" thickBot="1">
      <c r="A37" s="674"/>
      <c r="B37" s="1383">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3"/>
      <c r="M37" s="1136"/>
      <c r="N37" s="1136"/>
      <c r="O37" s="1137"/>
      <c r="P37" s="3195"/>
      <c r="Q37" s="1806">
        <f t="shared" si="8"/>
        <v>111</v>
      </c>
      <c r="R37" s="774" t="s">
        <v>17</v>
      </c>
      <c r="S37" s="775">
        <f t="shared" si="10"/>
        <v>100</v>
      </c>
      <c r="T37" s="774" t="s">
        <v>17</v>
      </c>
      <c r="U37" s="775">
        <f t="shared" si="11"/>
        <v>100</v>
      </c>
      <c r="V37" s="774" t="s">
        <v>17</v>
      </c>
      <c r="W37" s="775">
        <f t="shared" si="12"/>
        <v>100</v>
      </c>
      <c r="X37" s="776"/>
      <c r="Y37" s="3195"/>
      <c r="Z37" s="777">
        <f t="shared" si="13"/>
        <v>111</v>
      </c>
      <c r="AA37" s="1807">
        <f t="shared" si="3"/>
        <v>1</v>
      </c>
      <c r="AB37" s="1807">
        <f t="shared" si="4"/>
        <v>1</v>
      </c>
      <c r="AC37" s="1807">
        <f t="shared" si="5"/>
        <v>1</v>
      </c>
    </row>
    <row r="38" spans="1:29" ht="15">
      <c r="A38" s="470" t="s">
        <v>2562</v>
      </c>
      <c r="B38" s="454" t="s">
        <v>2750</v>
      </c>
      <c r="C38" s="677">
        <f>'数据-基础表'!A3</f>
        <v>38778.720000000001</v>
      </c>
      <c r="D38" s="465">
        <v>100</v>
      </c>
      <c r="E38" s="677">
        <v>132433.29999999999</v>
      </c>
      <c r="F38" s="465">
        <f>LOOKUP(E38,117:117,118:118)-LOOKUP(C38,117:117,118:118)+100</f>
        <v>102</v>
      </c>
      <c r="G38" s="677">
        <v>84985.06</v>
      </c>
      <c r="H38" s="465">
        <f>LOOKUP(G38,117:117,118:118)-LOOKUP(C38,117:117,118:118)+100</f>
        <v>101</v>
      </c>
      <c r="I38" s="528">
        <v>82624.91</v>
      </c>
      <c r="J38" s="465">
        <f>LOOKUP(I38,117:117,118:118)-LOOKUP(C38,117:117,118:118)+100</f>
        <v>101</v>
      </c>
      <c r="K38" s="611"/>
      <c r="L38" s="1135"/>
      <c r="M38" s="1126"/>
      <c r="N38" s="1126"/>
      <c r="O38" s="1134"/>
      <c r="P38" s="3195"/>
      <c r="Q38" s="1806" t="str">
        <f>B38</f>
        <v>宗地面积</v>
      </c>
      <c r="R38" s="771" t="s">
        <v>17</v>
      </c>
      <c r="S38" s="772">
        <f t="shared" si="10"/>
        <v>102</v>
      </c>
      <c r="T38" s="771" t="s">
        <v>17</v>
      </c>
      <c r="U38" s="772">
        <f t="shared" si="11"/>
        <v>101</v>
      </c>
      <c r="V38" s="771" t="s">
        <v>17</v>
      </c>
      <c r="W38" s="772">
        <f t="shared" si="12"/>
        <v>101</v>
      </c>
      <c r="X38" s="1809"/>
      <c r="Y38" s="3195"/>
      <c r="Z38" s="1810" t="str">
        <f t="shared" si="13"/>
        <v>宗地面积</v>
      </c>
      <c r="AA38" s="1807">
        <f t="shared" si="3"/>
        <v>0.98039215686274506</v>
      </c>
      <c r="AB38" s="1807">
        <f t="shared" si="4"/>
        <v>0.99009900990099009</v>
      </c>
      <c r="AC38" s="1807">
        <f t="shared" si="5"/>
        <v>0.99009900990099009</v>
      </c>
    </row>
    <row r="39" spans="1:29" ht="15">
      <c r="A39" s="470"/>
      <c r="B39" s="420" t="s">
        <v>2751</v>
      </c>
      <c r="C39" s="2606" t="s">
        <v>3108</v>
      </c>
      <c r="D39" s="433">
        <v>100</v>
      </c>
      <c r="E39" s="2606" t="s">
        <v>3202</v>
      </c>
      <c r="F39" s="433">
        <f>SUMIF(119:119,E39,120:120)-SUMIF(119:119,C39,120:120)+100</f>
        <v>97</v>
      </c>
      <c r="G39" s="2606" t="s">
        <v>3202</v>
      </c>
      <c r="H39" s="433">
        <f>SUMIF(119:119,G39,120:120)-SUMIF(119:119,C39,120:120)+100</f>
        <v>97</v>
      </c>
      <c r="I39" s="2606" t="s">
        <v>3123</v>
      </c>
      <c r="J39" s="433">
        <f>SUMIF(119:119,I39,120:120)-SUMIF(119:119,C39,120:120)+100</f>
        <v>94</v>
      </c>
      <c r="K39" s="610">
        <v>3</v>
      </c>
      <c r="L39" s="1135"/>
      <c r="M39" s="1126"/>
      <c r="N39" s="1126"/>
      <c r="O39" s="1134"/>
      <c r="P39" s="3195"/>
      <c r="Q39" s="1806" t="str">
        <f t="shared" ref="Q39:Q45" si="14">B39</f>
        <v>宗地形状</v>
      </c>
      <c r="R39" s="771" t="s">
        <v>17</v>
      </c>
      <c r="S39" s="772">
        <f t="shared" si="10"/>
        <v>97</v>
      </c>
      <c r="T39" s="771" t="s">
        <v>17</v>
      </c>
      <c r="U39" s="772">
        <f t="shared" si="11"/>
        <v>97</v>
      </c>
      <c r="V39" s="771" t="s">
        <v>17</v>
      </c>
      <c r="W39" s="772">
        <f t="shared" si="12"/>
        <v>94</v>
      </c>
      <c r="X39" s="1809"/>
      <c r="Y39" s="3195"/>
      <c r="Z39" s="1810" t="str">
        <f t="shared" si="13"/>
        <v>宗地形状</v>
      </c>
      <c r="AA39" s="1807">
        <f t="shared" si="3"/>
        <v>1.0309278350515463</v>
      </c>
      <c r="AB39" s="1807">
        <f t="shared" si="4"/>
        <v>1.0309278350515463</v>
      </c>
      <c r="AC39" s="1807">
        <f t="shared" si="5"/>
        <v>1.0638297872340425</v>
      </c>
    </row>
    <row r="40" spans="1:29" ht="15">
      <c r="A40" s="470"/>
      <c r="B40" s="420" t="s">
        <v>2752</v>
      </c>
      <c r="C40" s="2606"/>
      <c r="D40" s="433">
        <v>100</v>
      </c>
      <c r="E40" s="2606"/>
      <c r="F40" s="433">
        <f>SUMIF(121:121,E40,122:122)-SUMIF(121:121,C40,122:122)+100</f>
        <v>100</v>
      </c>
      <c r="G40" s="2606"/>
      <c r="H40" s="433">
        <f>SUMIF(121:121,G40,122:122)-SUMIF(121:121,C40,122:122)+100</f>
        <v>100</v>
      </c>
      <c r="I40" s="2606"/>
      <c r="J40" s="433">
        <f>SUMIF(121:121,I40,122:122)-SUMIF(121:121,C40,122:122)+100</f>
        <v>100</v>
      </c>
      <c r="K40" s="610">
        <v>0</v>
      </c>
      <c r="L40" s="1135"/>
      <c r="M40" s="1126"/>
      <c r="N40" s="1126"/>
      <c r="O40" s="1134"/>
      <c r="P40" s="3195"/>
      <c r="Q40" s="1806" t="str">
        <f t="shared" si="14"/>
        <v>临街宽度及深度</v>
      </c>
      <c r="R40" s="771" t="s">
        <v>17</v>
      </c>
      <c r="S40" s="772">
        <f t="shared" si="10"/>
        <v>100</v>
      </c>
      <c r="T40" s="771" t="s">
        <v>17</v>
      </c>
      <c r="U40" s="772">
        <f t="shared" si="11"/>
        <v>100</v>
      </c>
      <c r="V40" s="771" t="s">
        <v>17</v>
      </c>
      <c r="W40" s="772">
        <f t="shared" si="12"/>
        <v>100</v>
      </c>
      <c r="X40" s="1809"/>
      <c r="Y40" s="3195"/>
      <c r="Z40" s="1810" t="str">
        <f t="shared" si="13"/>
        <v>临街宽度及深度</v>
      </c>
      <c r="AA40" s="1807">
        <f t="shared" si="3"/>
        <v>1</v>
      </c>
      <c r="AB40" s="1807">
        <f t="shared" si="4"/>
        <v>1</v>
      </c>
      <c r="AC40" s="1807">
        <f t="shared" si="5"/>
        <v>1</v>
      </c>
    </row>
    <row r="41" spans="1:29" s="116" customFormat="1" ht="15">
      <c r="A41" s="471"/>
      <c r="B41" s="420" t="s">
        <v>2753</v>
      </c>
      <c r="C41" s="472" t="s">
        <v>3210</v>
      </c>
      <c r="D41" s="134">
        <v>100</v>
      </c>
      <c r="E41" s="2693" t="s">
        <v>3109</v>
      </c>
      <c r="F41" s="433">
        <f>SUMIF(123:123,E41,124:124)-SUMIF(123:123,C41,124:124)+100</f>
        <v>98.5</v>
      </c>
      <c r="G41" s="2693" t="s">
        <v>3109</v>
      </c>
      <c r="H41" s="433">
        <f>SUMIF(123:123,G41,124:124)-SUMIF(123:123,C41,124:124)+100</f>
        <v>98.5</v>
      </c>
      <c r="I41" s="2693" t="s">
        <v>3124</v>
      </c>
      <c r="J41" s="433">
        <f>SUMIF(123:123,I41,124:124)-SUMIF(123:123,C41,124:124)+100</f>
        <v>100.5</v>
      </c>
      <c r="K41" s="610">
        <v>0.5</v>
      </c>
      <c r="L41" s="1127"/>
      <c r="M41" s="1128"/>
      <c r="N41" s="1128"/>
      <c r="O41" s="1129"/>
      <c r="P41" s="3195"/>
      <c r="Q41" s="1806" t="str">
        <f t="shared" si="14"/>
        <v>宗地开发程度</v>
      </c>
      <c r="R41" s="767" t="s">
        <v>17</v>
      </c>
      <c r="S41" s="768">
        <f t="shared" si="10"/>
        <v>98.5</v>
      </c>
      <c r="T41" s="767" t="s">
        <v>17</v>
      </c>
      <c r="U41" s="768">
        <f t="shared" si="11"/>
        <v>98.5</v>
      </c>
      <c r="V41" s="767" t="s">
        <v>17</v>
      </c>
      <c r="W41" s="768">
        <f t="shared" si="12"/>
        <v>100.5</v>
      </c>
      <c r="X41" s="769"/>
      <c r="Y41" s="3195"/>
      <c r="Z41" s="54" t="str">
        <f t="shared" si="13"/>
        <v>宗地开发程度</v>
      </c>
      <c r="AA41" s="770">
        <f t="shared" si="3"/>
        <v>1.015228426395939</v>
      </c>
      <c r="AB41" s="770">
        <f t="shared" si="4"/>
        <v>1.015228426395939</v>
      </c>
      <c r="AC41" s="770">
        <f t="shared" si="5"/>
        <v>0.99502487562189057</v>
      </c>
    </row>
    <row r="42" spans="1:29" ht="15">
      <c r="A42" s="470"/>
      <c r="B42" s="420" t="s">
        <v>2754</v>
      </c>
      <c r="C42" s="2606" t="s">
        <v>3110</v>
      </c>
      <c r="D42" s="433">
        <v>100</v>
      </c>
      <c r="E42" s="2606" t="s">
        <v>3110</v>
      </c>
      <c r="F42" s="433">
        <f>SUMIF(125:125,E42,126:126)-SUMIF(125:125,C42,126:126)+100</f>
        <v>100</v>
      </c>
      <c r="G42" s="2606" t="s">
        <v>3110</v>
      </c>
      <c r="H42" s="433">
        <f>SUMIF(125:125,G42,126:126)-SUMIF(125:125,C42,126:126)+100</f>
        <v>100</v>
      </c>
      <c r="I42" s="2606" t="s">
        <v>3110</v>
      </c>
      <c r="J42" s="433">
        <f>SUMIF(125:125,I42,126:126)-SUMIF(125:125,C42,126:126)+100</f>
        <v>100</v>
      </c>
      <c r="K42" s="610">
        <v>1</v>
      </c>
      <c r="L42" s="1135"/>
      <c r="M42" s="1126"/>
      <c r="N42" s="1126"/>
      <c r="O42" s="1134"/>
      <c r="P42" s="3195" t="s">
        <v>2564</v>
      </c>
      <c r="Q42" s="1806" t="str">
        <f t="shared" si="14"/>
        <v>工程地质条件</v>
      </c>
      <c r="R42" s="771" t="s">
        <v>17</v>
      </c>
      <c r="S42" s="772">
        <f t="shared" si="10"/>
        <v>100</v>
      </c>
      <c r="T42" s="771" t="s">
        <v>17</v>
      </c>
      <c r="U42" s="772">
        <f t="shared" si="11"/>
        <v>100</v>
      </c>
      <c r="V42" s="771" t="s">
        <v>17</v>
      </c>
      <c r="W42" s="772">
        <f t="shared" si="12"/>
        <v>100</v>
      </c>
      <c r="X42" s="1809"/>
      <c r="Y42" s="3195" t="s">
        <v>2564</v>
      </c>
      <c r="Z42" s="1810" t="str">
        <f t="shared" si="13"/>
        <v>工程地质条件</v>
      </c>
      <c r="AA42" s="1807">
        <f t="shared" si="3"/>
        <v>1</v>
      </c>
      <c r="AB42" s="1807">
        <f t="shared" si="4"/>
        <v>1</v>
      </c>
      <c r="AC42" s="1807">
        <f t="shared" si="5"/>
        <v>1</v>
      </c>
    </row>
    <row r="43" spans="1:29" ht="15">
      <c r="A43" s="470"/>
      <c r="B43" s="1382">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5"/>
      <c r="M43" s="1126"/>
      <c r="N43" s="1126"/>
      <c r="O43" s="1134"/>
      <c r="P43" s="3195"/>
      <c r="Q43" s="1806">
        <f t="shared" si="14"/>
        <v>111</v>
      </c>
      <c r="R43" s="771" t="s">
        <v>17</v>
      </c>
      <c r="S43" s="772">
        <f t="shared" si="10"/>
        <v>100</v>
      </c>
      <c r="T43" s="771" t="s">
        <v>17</v>
      </c>
      <c r="U43" s="772">
        <f t="shared" si="11"/>
        <v>100</v>
      </c>
      <c r="V43" s="771" t="s">
        <v>17</v>
      </c>
      <c r="W43" s="772">
        <f t="shared" si="12"/>
        <v>100</v>
      </c>
      <c r="X43" s="1809"/>
      <c r="Y43" s="3195"/>
      <c r="Z43" s="1810">
        <f t="shared" si="13"/>
        <v>111</v>
      </c>
      <c r="AA43" s="1807">
        <f t="shared" si="3"/>
        <v>1</v>
      </c>
      <c r="AB43" s="1807">
        <f t="shared" si="4"/>
        <v>1</v>
      </c>
      <c r="AC43" s="1807">
        <f t="shared" si="5"/>
        <v>1</v>
      </c>
    </row>
    <row r="44" spans="1:29" ht="15">
      <c r="A44" s="470"/>
      <c r="B44" s="1382">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5"/>
      <c r="M44" s="1126"/>
      <c r="N44" s="1126"/>
      <c r="O44" s="1134"/>
      <c r="P44" s="3195"/>
      <c r="Q44" s="1806">
        <f t="shared" si="14"/>
        <v>111</v>
      </c>
      <c r="R44" s="771" t="s">
        <v>17</v>
      </c>
      <c r="S44" s="772">
        <f t="shared" si="10"/>
        <v>100</v>
      </c>
      <c r="T44" s="771" t="s">
        <v>17</v>
      </c>
      <c r="U44" s="772">
        <f t="shared" si="11"/>
        <v>100</v>
      </c>
      <c r="V44" s="771" t="s">
        <v>17</v>
      </c>
      <c r="W44" s="772">
        <f t="shared" si="12"/>
        <v>100</v>
      </c>
      <c r="X44" s="1809"/>
      <c r="Y44" s="3195"/>
      <c r="Z44" s="1810">
        <f t="shared" si="13"/>
        <v>111</v>
      </c>
      <c r="AA44" s="1807">
        <f t="shared" si="3"/>
        <v>1</v>
      </c>
      <c r="AB44" s="1807">
        <f t="shared" si="4"/>
        <v>1</v>
      </c>
      <c r="AC44" s="1807">
        <f t="shared" si="5"/>
        <v>1</v>
      </c>
    </row>
    <row r="45" spans="1:29" s="469" customFormat="1" ht="15.75" thickBot="1">
      <c r="A45" s="466"/>
      <c r="B45" s="1382">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3"/>
      <c r="M45" s="1136"/>
      <c r="N45" s="1136"/>
      <c r="O45" s="1137"/>
      <c r="P45" s="3195"/>
      <c r="Q45" s="1806">
        <f t="shared" si="14"/>
        <v>111</v>
      </c>
      <c r="R45" s="774" t="s">
        <v>17</v>
      </c>
      <c r="S45" s="775">
        <f t="shared" si="10"/>
        <v>100</v>
      </c>
      <c r="T45" s="774" t="s">
        <v>17</v>
      </c>
      <c r="U45" s="775">
        <f t="shared" si="11"/>
        <v>100</v>
      </c>
      <c r="V45" s="774" t="s">
        <v>17</v>
      </c>
      <c r="W45" s="775">
        <f t="shared" si="12"/>
        <v>100</v>
      </c>
      <c r="X45" s="776"/>
      <c r="Y45" s="3195"/>
      <c r="Z45" s="777">
        <f t="shared" si="13"/>
        <v>111</v>
      </c>
      <c r="AA45" s="1807">
        <f t="shared" si="3"/>
        <v>1</v>
      </c>
      <c r="AB45" s="1807">
        <f t="shared" si="4"/>
        <v>1</v>
      </c>
      <c r="AC45" s="1807">
        <f t="shared" si="5"/>
        <v>1</v>
      </c>
    </row>
    <row r="46" spans="1:29" ht="15">
      <c r="A46" s="477" t="s">
        <v>2719</v>
      </c>
      <c r="B46" s="2695" t="s">
        <v>2755</v>
      </c>
      <c r="C46" s="680" t="s">
        <v>1</v>
      </c>
      <c r="D46" s="479"/>
      <c r="E46" s="480">
        <v>43366</v>
      </c>
      <c r="F46" s="481"/>
      <c r="G46" s="482">
        <v>34002</v>
      </c>
      <c r="H46" s="483"/>
      <c r="I46" s="480">
        <v>34760</v>
      </c>
      <c r="J46" s="483"/>
      <c r="K46" s="780"/>
      <c r="L46" s="1138"/>
      <c r="M46" s="1139"/>
      <c r="N46" s="1126"/>
      <c r="O46" s="1139"/>
      <c r="P46" s="3177" t="str">
        <f>A46</f>
        <v>成交单价</v>
      </c>
      <c r="Q46" s="3177"/>
      <c r="R46" s="3190">
        <f>E46</f>
        <v>43366</v>
      </c>
      <c r="S46" s="3190"/>
      <c r="T46" s="3190">
        <f>G46</f>
        <v>34002</v>
      </c>
      <c r="U46" s="3190"/>
      <c r="V46" s="3190">
        <f>I46</f>
        <v>34760</v>
      </c>
      <c r="W46" s="3190"/>
      <c r="X46" s="756"/>
      <c r="Y46" s="778"/>
      <c r="Z46" s="756"/>
      <c r="AA46" s="756"/>
      <c r="AB46" s="756"/>
      <c r="AC46" s="756"/>
    </row>
    <row r="47" spans="1:29" ht="15.75" thickBot="1">
      <c r="A47" s="484" t="s">
        <v>2668</v>
      </c>
      <c r="B47" s="681"/>
      <c r="C47" s="488">
        <f>R48</f>
        <v>37965</v>
      </c>
      <c r="D47" s="487"/>
      <c r="E47" s="488">
        <f>R47</f>
        <v>40985</v>
      </c>
      <c r="F47" s="489"/>
      <c r="G47" s="486">
        <f>T47</f>
        <v>34688</v>
      </c>
      <c r="H47" s="487"/>
      <c r="I47" s="488">
        <f>V47</f>
        <v>38223</v>
      </c>
      <c r="J47" s="487"/>
      <c r="K47" s="781"/>
      <c r="L47" s="1138"/>
      <c r="M47" s="1139"/>
      <c r="N47" s="1139"/>
      <c r="O47" s="1139"/>
      <c r="P47" s="3177" t="str">
        <f>A47</f>
        <v>比较价值（元/平方米）</v>
      </c>
      <c r="Q47" s="3177"/>
      <c r="R47" s="3196">
        <f>ROUND(PRODUCT(R46,AA7:AA45),0)</f>
        <v>40985</v>
      </c>
      <c r="S47" s="3196"/>
      <c r="T47" s="3196">
        <f>ROUND(PRODUCT(T46,AB7:AB45),0)</f>
        <v>34688</v>
      </c>
      <c r="U47" s="3196"/>
      <c r="V47" s="3196">
        <f>ROUND(PRODUCT(V46,AC7:AC45),0)</f>
        <v>38223</v>
      </c>
      <c r="W47" s="3196"/>
      <c r="X47" s="756"/>
      <c r="Y47" s="756"/>
      <c r="Z47" s="756"/>
      <c r="AA47" s="756"/>
      <c r="AB47" s="756"/>
      <c r="AC47" s="756"/>
    </row>
    <row r="48" spans="1:29" ht="15.75" thickBot="1">
      <c r="A48" s="490" t="s">
        <v>2756</v>
      </c>
      <c r="B48" s="491"/>
      <c r="C48" s="492">
        <f>R48</f>
        <v>37965</v>
      </c>
      <c r="D48" s="492"/>
      <c r="E48" s="492"/>
      <c r="F48" s="492"/>
      <c r="G48" s="492"/>
      <c r="H48" s="492"/>
      <c r="I48" s="492"/>
      <c r="J48" s="492"/>
      <c r="K48" s="782"/>
      <c r="L48" s="1138"/>
      <c r="M48" s="1139"/>
      <c r="N48" s="1139"/>
      <c r="O48" s="1139"/>
      <c r="P48" s="3197" t="str">
        <f>A48</f>
        <v>估价对象XX用房的比较价值（楼面单价，元/平方米）</v>
      </c>
      <c r="Q48" s="3198"/>
      <c r="R48" s="3199">
        <f>ROUND(AVERAGE(R47:V47),0)</f>
        <v>37965</v>
      </c>
      <c r="S48" s="3199"/>
      <c r="T48" s="3199"/>
      <c r="U48" s="3199"/>
      <c r="V48" s="3199"/>
      <c r="W48" s="3199"/>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2670</v>
      </c>
      <c r="D51" s="496"/>
      <c r="E51" s="497">
        <f>IF(E46&lt;E47,E47/E46-1,E46/E47-1)</f>
        <v>5.8094424789557175E-2</v>
      </c>
      <c r="F51" s="498" t="str">
        <f>IF(OR(E51&gt;=0.3,E51&lt;=-0.3),"超过30%","")</f>
        <v/>
      </c>
      <c r="G51" s="497">
        <f>IF(G46&lt;G47,G47/G46-1,G46/G47-1)</f>
        <v>2.0175283806834976E-2</v>
      </c>
      <c r="H51" s="498" t="str">
        <f>IF(OR(G51&gt;=0.3,G51&lt;=-0.3),"超过30%","")</f>
        <v/>
      </c>
      <c r="I51" s="497">
        <f>IF(I46&lt;I47,I47/I46-1,I46/I47-1)</f>
        <v>9.9626006904487863E-2</v>
      </c>
      <c r="J51" s="498" t="str">
        <f>IF(OR(I51&gt;=0.3,I51&lt;=-0.3),"超过30%","")</f>
        <v/>
      </c>
      <c r="K51" s="1100"/>
      <c r="L51" s="1101"/>
      <c r="M51" s="1139"/>
      <c r="N51" s="1139"/>
      <c r="O51" s="1139"/>
    </row>
    <row r="52" spans="1:15" ht="13.5" customHeight="1">
      <c r="A52" s="1139"/>
      <c r="B52" s="1139"/>
      <c r="C52" s="495" t="s">
        <v>2671</v>
      </c>
      <c r="D52" s="499"/>
      <c r="E52" s="497">
        <f>IF(E47&lt;G47,G47/E47-1,E47/G47-1)</f>
        <v>0.18153251845018459</v>
      </c>
      <c r="F52" s="498" t="str">
        <f>IF(OR(E52&gt;=0.2,E52&lt;=-0.2),"超过20%","")</f>
        <v/>
      </c>
      <c r="G52" s="497">
        <f>IF(G47&lt;I47,I47/G47-1,G47/I47-1)</f>
        <v>0.10190844095940954</v>
      </c>
      <c r="H52" s="498" t="str">
        <f>IF(OR(G52&gt;=0.2,G52&lt;=-0.2),"超过20%","")</f>
        <v/>
      </c>
      <c r="I52" s="497">
        <f>IF(I47&lt;E47,E47/I47-1,I47/E47-1)</f>
        <v>7.2260157496795152E-2</v>
      </c>
      <c r="J52" s="498" t="str">
        <f>IF(OR(I52&gt;=0.2,I52&lt;=-0.2),"超过20%","")</f>
        <v/>
      </c>
      <c r="K52" s="1100"/>
      <c r="L52" s="1101"/>
      <c r="M52" s="1139"/>
      <c r="N52" s="1139"/>
      <c r="O52" s="1139"/>
    </row>
    <row r="53" spans="1:15" s="500" customFormat="1" ht="13.5" customHeight="1">
      <c r="A53" s="1140"/>
      <c r="B53" s="1140"/>
      <c r="C53" s="495" t="s">
        <v>2672</v>
      </c>
      <c r="D53" s="499"/>
      <c r="E53" s="497">
        <f>IF(E46&lt;G46,G46/E46-1,E46/G46-1)</f>
        <v>0.27539556496676676</v>
      </c>
      <c r="F53" s="498" t="str">
        <f>IF(OR(E53&gt;=0.3,E53&lt;=-0.3),"超过30%","")</f>
        <v/>
      </c>
      <c r="G53" s="497">
        <f>IF(G46&lt;I46,I46/G46-1,G46/I46-1)</f>
        <v>2.2292806305511448E-2</v>
      </c>
      <c r="H53" s="498" t="str">
        <f>IF(OR(G53&gt;=0.3,G53&lt;=-0.3),"超过30%","")</f>
        <v/>
      </c>
      <c r="I53" s="497">
        <f>IF(I46&lt;E46,E46/I46-1,I46/E46-1)</f>
        <v>0.2475834292289989</v>
      </c>
      <c r="J53" s="498" t="str">
        <f>IF(OR(I53&gt;=0.3,I53&lt;=-0.3),"超过30%","")</f>
        <v/>
      </c>
      <c r="K53" s="1143"/>
      <c r="L53" s="1144"/>
      <c r="M53" s="1140"/>
      <c r="N53" s="1140"/>
      <c r="O53" s="1140"/>
    </row>
    <row r="54" spans="1:15" s="500" customFormat="1" ht="15" thickBot="1">
      <c r="A54" s="1140"/>
      <c r="B54" s="1141"/>
      <c r="C54" s="759"/>
      <c r="D54" s="757"/>
      <c r="E54" s="757"/>
      <c r="F54" s="757"/>
      <c r="G54" s="757"/>
      <c r="H54" s="757"/>
      <c r="I54" s="757"/>
      <c r="J54" s="757"/>
      <c r="K54" s="1143"/>
      <c r="L54" s="1144"/>
      <c r="M54" s="1140"/>
      <c r="N54" s="1140"/>
      <c r="O54" s="1140"/>
    </row>
    <row r="55" spans="1:15" ht="27" customHeight="1">
      <c r="A55" s="682" t="s">
        <v>2757</v>
      </c>
      <c r="B55" s="683" t="s">
        <v>2758</v>
      </c>
      <c r="C55" s="2696" t="s">
        <v>2759</v>
      </c>
      <c r="D55" s="2697" t="s">
        <v>2760</v>
      </c>
      <c r="E55" s="684" t="s">
        <v>2761</v>
      </c>
      <c r="F55" s="1102" t="s">
        <v>2762</v>
      </c>
      <c r="G55" s="3178" t="s">
        <v>2763</v>
      </c>
      <c r="H55" s="3200"/>
      <c r="I55" s="142" t="s">
        <v>2764</v>
      </c>
      <c r="J55" s="2698">
        <f>项目基本情况!F35</f>
        <v>0</v>
      </c>
      <c r="K55" s="2699" t="s">
        <v>2765</v>
      </c>
      <c r="L55" s="1101"/>
      <c r="M55" s="1139"/>
      <c r="N55" s="1139"/>
      <c r="O55" s="1139"/>
    </row>
    <row r="56" spans="1:15" s="690" customFormat="1">
      <c r="A56" s="686" t="s">
        <v>2766</v>
      </c>
      <c r="B56" s="687">
        <f>C48</f>
        <v>37965</v>
      </c>
      <c r="C56" s="688">
        <v>1</v>
      </c>
      <c r="D56" s="1158">
        <v>1</v>
      </c>
      <c r="E56" s="688">
        <f>'数据-汇总表'!E8+'数据-汇总表'!E9</f>
        <v>106262.38999999998</v>
      </c>
      <c r="F56" s="1098">
        <f t="shared" ref="F56:F65" si="15">ROUND(B56*E56/10000,0)</f>
        <v>403425</v>
      </c>
      <c r="G56" s="3201"/>
      <c r="H56" s="3177"/>
      <c r="I56" s="1103">
        <v>1</v>
      </c>
      <c r="J56" s="1106">
        <v>1</v>
      </c>
      <c r="K56" s="1140"/>
      <c r="L56" s="936"/>
      <c r="M56" s="936"/>
      <c r="N56" s="936"/>
      <c r="O56" s="936"/>
    </row>
    <row r="57" spans="1:15" s="690" customFormat="1">
      <c r="A57" s="691" t="s">
        <v>2767</v>
      </c>
      <c r="B57" s="260">
        <f>ROUND($C$48*C57*D57,0)</f>
        <v>6644</v>
      </c>
      <c r="C57" s="198">
        <f t="shared" ref="C57:C65" si="16">IF($C$55="北京市系数",I57,J57)</f>
        <v>0.7</v>
      </c>
      <c r="D57" s="1159">
        <v>0.25</v>
      </c>
      <c r="E57" s="2974">
        <f>'数据-汇总表'!G20</f>
        <v>850</v>
      </c>
      <c r="F57" s="1098">
        <f t="shared" si="15"/>
        <v>565</v>
      </c>
      <c r="G57" s="3202" t="s">
        <v>2768</v>
      </c>
      <c r="H57" s="1099" t="str">
        <f>项目基本情况!B37</f>
        <v>七级</v>
      </c>
      <c r="I57" s="1103">
        <f>SUMIF(修正!A45:A56,H57,修正!B45:B56)</f>
        <v>0.7</v>
      </c>
      <c r="J57" s="1107"/>
      <c r="K57" s="1139"/>
      <c r="L57" s="936"/>
      <c r="M57" s="936"/>
      <c r="N57" s="936"/>
      <c r="O57" s="936"/>
    </row>
    <row r="58" spans="1:15" s="690" customFormat="1">
      <c r="A58" s="691" t="s">
        <v>2769</v>
      </c>
      <c r="B58" s="260">
        <f t="shared" ref="B58:B65" si="17">ROUND($C$48*C58*D58,0)</f>
        <v>3797</v>
      </c>
      <c r="C58" s="198">
        <f t="shared" si="16"/>
        <v>0.4</v>
      </c>
      <c r="D58" s="1159">
        <v>0.25</v>
      </c>
      <c r="E58" s="692"/>
      <c r="F58" s="1098">
        <f t="shared" si="15"/>
        <v>0</v>
      </c>
      <c r="G58" s="3202"/>
      <c r="H58" s="1099" t="str">
        <f>项目基本情况!B37</f>
        <v>七级</v>
      </c>
      <c r="I58" s="1103">
        <f>SUMIF(修正!A45:A56,H58,修正!C45:C56)</f>
        <v>0.4</v>
      </c>
      <c r="J58" s="1107"/>
      <c r="K58" s="1140"/>
      <c r="L58" s="936"/>
      <c r="M58" s="936"/>
      <c r="N58" s="936"/>
      <c r="O58" s="936"/>
    </row>
    <row r="59" spans="1:15" s="690" customFormat="1">
      <c r="A59" s="691" t="s">
        <v>2770</v>
      </c>
      <c r="B59" s="260">
        <f t="shared" si="17"/>
        <v>2658</v>
      </c>
      <c r="C59" s="198">
        <f t="shared" si="16"/>
        <v>0.28000000000000003</v>
      </c>
      <c r="D59" s="1159">
        <v>0.25</v>
      </c>
      <c r="E59" s="692"/>
      <c r="F59" s="1098">
        <f t="shared" si="15"/>
        <v>0</v>
      </c>
      <c r="G59" s="3202"/>
      <c r="H59" s="1099" t="str">
        <f>项目基本情况!B37</f>
        <v>七级</v>
      </c>
      <c r="I59" s="1103">
        <f>SUMIF(修正!A45:A56,H59,修正!D45:D56)</f>
        <v>0.28000000000000003</v>
      </c>
      <c r="J59" s="1107"/>
      <c r="K59" s="1139"/>
      <c r="L59" s="936"/>
      <c r="M59" s="936"/>
      <c r="N59" s="936"/>
      <c r="O59" s="936"/>
    </row>
    <row r="60" spans="1:15" s="690" customFormat="1">
      <c r="A60" s="691" t="s">
        <v>2771</v>
      </c>
      <c r="B60" s="260">
        <f t="shared" si="17"/>
        <v>2373</v>
      </c>
      <c r="C60" s="198">
        <f t="shared" si="16"/>
        <v>0.25</v>
      </c>
      <c r="D60" s="1159">
        <v>0.25</v>
      </c>
      <c r="E60" s="692"/>
      <c r="F60" s="1098">
        <f t="shared" si="15"/>
        <v>0</v>
      </c>
      <c r="G60" s="3202"/>
      <c r="H60" s="1099" t="str">
        <f>项目基本情况!B37</f>
        <v>七级</v>
      </c>
      <c r="I60" s="1103">
        <f>SUMIF(修正!A45:A56,H60,修正!E45:E56)</f>
        <v>0.25</v>
      </c>
      <c r="J60" s="1107"/>
      <c r="K60" s="1140"/>
      <c r="L60" s="936"/>
      <c r="M60" s="936"/>
      <c r="N60" s="936"/>
      <c r="O60" s="936"/>
    </row>
    <row r="61" spans="1:15" s="690" customFormat="1">
      <c r="A61" s="691" t="s">
        <v>2772</v>
      </c>
      <c r="B61" s="260">
        <f t="shared" si="17"/>
        <v>2373</v>
      </c>
      <c r="C61" s="198">
        <f t="shared" si="16"/>
        <v>0.25</v>
      </c>
      <c r="D61" s="1159">
        <v>0.25</v>
      </c>
      <c r="E61" s="259">
        <f>'数据-汇总表'!E11</f>
        <v>50</v>
      </c>
      <c r="F61" s="1098">
        <f t="shared" si="15"/>
        <v>12</v>
      </c>
      <c r="G61" s="2700" t="s">
        <v>2773</v>
      </c>
      <c r="H61" s="1099" t="str">
        <f>项目基本情况!C37</f>
        <v>七级</v>
      </c>
      <c r="I61" s="1103">
        <f>SUMIF(修正!A45:A56,H61,修正!F45:F56)</f>
        <v>0.25</v>
      </c>
      <c r="J61" s="1107"/>
      <c r="K61" s="1139"/>
      <c r="L61" s="936"/>
      <c r="M61" s="936"/>
      <c r="N61" s="936"/>
      <c r="O61" s="936"/>
    </row>
    <row r="62" spans="1:15" s="690" customFormat="1">
      <c r="A62" s="691" t="s">
        <v>2774</v>
      </c>
      <c r="B62" s="260">
        <f t="shared" si="17"/>
        <v>2373</v>
      </c>
      <c r="C62" s="198">
        <f t="shared" si="16"/>
        <v>0.25</v>
      </c>
      <c r="D62" s="1159">
        <v>0.25</v>
      </c>
      <c r="E62" s="259">
        <f>'数据-汇总表'!E12</f>
        <v>2256.4499999999998</v>
      </c>
      <c r="F62" s="1098">
        <f t="shared" si="15"/>
        <v>535</v>
      </c>
      <c r="G62" s="1104" t="s">
        <v>2775</v>
      </c>
      <c r="H62" s="1099" t="str">
        <f>IF(G62="商业",项目基本情况!B37,IF(G62="办公",项目基本情况!C37,IF(G62="住宅",项目基本情况!D37,项目基本情况!E37)))</f>
        <v>七级</v>
      </c>
      <c r="I62" s="1103">
        <f>SUMIF(修正!A45:A56,H62,修正!G45:G56)</f>
        <v>0.25</v>
      </c>
      <c r="J62" s="1107"/>
      <c r="K62" s="1140"/>
      <c r="L62" s="936"/>
      <c r="M62" s="936"/>
      <c r="N62" s="936"/>
      <c r="O62" s="936"/>
    </row>
    <row r="63" spans="1:15" s="690" customFormat="1">
      <c r="A63" s="691" t="s">
        <v>2776</v>
      </c>
      <c r="B63" s="260">
        <f t="shared" si="17"/>
        <v>1898</v>
      </c>
      <c r="C63" s="198">
        <f t="shared" si="16"/>
        <v>0.2</v>
      </c>
      <c r="D63" s="1159">
        <v>0.25</v>
      </c>
      <c r="E63" s="259">
        <f>'数据-汇总表'!E13</f>
        <v>20003</v>
      </c>
      <c r="F63" s="1098">
        <f t="shared" si="15"/>
        <v>3797</v>
      </c>
      <c r="G63" s="1104" t="s">
        <v>2777</v>
      </c>
      <c r="H63" s="1099" t="str">
        <f>IF(G63="商业",项目基本情况!B37,IF(G63="办公",项目基本情况!C37,IF(G63="住宅",项目基本情况!D37,项目基本情况!E37)))</f>
        <v>七级</v>
      </c>
      <c r="I63" s="1103">
        <f>SUMIF(修正!A45:A56,H63,修正!H45:H56)</f>
        <v>0.2</v>
      </c>
      <c r="J63" s="1107"/>
      <c r="K63" s="1139"/>
      <c r="L63" s="936"/>
      <c r="M63" s="936"/>
      <c r="N63" s="936"/>
      <c r="O63" s="936"/>
    </row>
    <row r="64" spans="1:15" s="690" customFormat="1">
      <c r="A64" s="691" t="s">
        <v>2778</v>
      </c>
      <c r="B64" s="260">
        <f t="shared" si="17"/>
        <v>1898</v>
      </c>
      <c r="C64" s="198">
        <f t="shared" si="16"/>
        <v>0.2</v>
      </c>
      <c r="D64" s="1159">
        <v>0.25</v>
      </c>
      <c r="E64" s="259">
        <f>'数据-汇总表'!E14</f>
        <v>0</v>
      </c>
      <c r="F64" s="1098">
        <f t="shared" si="15"/>
        <v>0</v>
      </c>
      <c r="G64" s="2700" t="s">
        <v>2768</v>
      </c>
      <c r="H64" s="1099" t="str">
        <f>项目基本情况!B37</f>
        <v>七级</v>
      </c>
      <c r="I64" s="1103">
        <f>SUMIF(修正!A45:A56,H64,修正!H45:H56)</f>
        <v>0.2</v>
      </c>
      <c r="J64" s="1107"/>
      <c r="K64" s="1140"/>
      <c r="L64" s="936"/>
      <c r="M64" s="936"/>
      <c r="N64" s="936"/>
      <c r="O64" s="936"/>
    </row>
    <row r="65" spans="1:17" s="690" customFormat="1" ht="15" thickBot="1">
      <c r="A65" s="691" t="s">
        <v>2779</v>
      </c>
      <c r="B65" s="260">
        <f t="shared" si="17"/>
        <v>1898</v>
      </c>
      <c r="C65" s="198">
        <f t="shared" si="16"/>
        <v>0.2</v>
      </c>
      <c r="D65" s="1159">
        <v>0.25</v>
      </c>
      <c r="E65" s="259">
        <f>'数据-汇总表'!E15</f>
        <v>0</v>
      </c>
      <c r="F65" s="1098">
        <f t="shared" si="15"/>
        <v>0</v>
      </c>
      <c r="G65" s="2701" t="s">
        <v>2773</v>
      </c>
      <c r="H65" s="1109" t="str">
        <f>项目基本情况!C37</f>
        <v>七级</v>
      </c>
      <c r="I65" s="1105">
        <f>SUMIF(修正!A45:A56,H65,修正!H45:H56)</f>
        <v>0.2</v>
      </c>
      <c r="J65" s="1108"/>
      <c r="K65" s="1139"/>
      <c r="L65" s="936"/>
      <c r="M65" s="936"/>
      <c r="N65" s="936"/>
      <c r="O65" s="936"/>
    </row>
    <row r="66" spans="1:17" s="690" customFormat="1" ht="13.5" thickBot="1">
      <c r="A66" s="693" t="s">
        <v>2780</v>
      </c>
      <c r="B66" s="694" t="s">
        <v>28</v>
      </c>
      <c r="C66" s="694" t="s">
        <v>29</v>
      </c>
      <c r="D66" s="694" t="s">
        <v>1029</v>
      </c>
      <c r="E66" s="694">
        <f>IF(B46="楼面地价",SUM(E56:E65),'数据-汇总表'!D3)</f>
        <v>129421.83999999998</v>
      </c>
      <c r="F66" s="695">
        <f>IF(B46="楼面地价",SUM(F56:F65),ROUND(C48*E66/10000,0))</f>
        <v>408334</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2673</v>
      </c>
      <c r="B69" s="756"/>
      <c r="C69" s="761"/>
      <c r="D69" s="761"/>
      <c r="E69" s="761"/>
      <c r="F69" s="762"/>
      <c r="G69" s="762"/>
      <c r="H69" s="761"/>
      <c r="I69" s="761"/>
      <c r="J69" s="1154"/>
      <c r="K69" s="1155"/>
      <c r="L69" s="1156"/>
      <c r="M69" s="1154"/>
      <c r="N69" s="1154"/>
      <c r="O69" s="1154"/>
      <c r="P69" s="501"/>
      <c r="Q69" s="502"/>
    </row>
    <row r="70" spans="1:17" s="506" customFormat="1" ht="15">
      <c r="A70" s="2702" t="s">
        <v>2781</v>
      </c>
      <c r="B70" s="1354"/>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5"/>
    </row>
    <row r="71" spans="1:17" s="116" customFormat="1" ht="30" customHeight="1">
      <c r="A71" s="2703" t="s">
        <v>2782</v>
      </c>
      <c r="B71" s="330"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v>95.5</v>
      </c>
      <c r="M71" s="1563">
        <v>95</v>
      </c>
      <c r="N71" s="593">
        <v>94.5</v>
      </c>
      <c r="O71" s="1564">
        <v>94</v>
      </c>
      <c r="P71" s="502"/>
    </row>
    <row r="72" spans="1:17" s="116" customFormat="1" ht="15.75" thickBot="1">
      <c r="A72" s="513" t="s">
        <v>2584</v>
      </c>
      <c r="B72" s="514"/>
      <c r="C72" s="515"/>
      <c r="D72" s="516"/>
      <c r="E72" s="516"/>
      <c r="F72" s="516"/>
      <c r="G72" s="516"/>
      <c r="H72" s="516"/>
      <c r="I72" s="516"/>
      <c r="J72" s="516"/>
      <c r="K72" s="516"/>
      <c r="L72" s="516"/>
      <c r="M72" s="517"/>
      <c r="N72" s="516"/>
      <c r="O72" s="1157"/>
      <c r="P72" s="502"/>
      <c r="Q72" s="502"/>
    </row>
    <row r="73" spans="1:17" s="116" customFormat="1" ht="15">
      <c r="A73" s="519" t="s">
        <v>2549</v>
      </c>
      <c r="B73" s="508"/>
      <c r="C73" s="520" t="s">
        <v>2651</v>
      </c>
      <c r="D73" s="521"/>
      <c r="E73" s="521"/>
      <c r="F73" s="521"/>
      <c r="G73" s="521"/>
      <c r="H73" s="521"/>
      <c r="I73" s="521"/>
      <c r="J73" s="521"/>
      <c r="K73" s="521"/>
      <c r="L73" s="522"/>
      <c r="M73" s="523"/>
      <c r="N73" s="1146"/>
      <c r="O73" s="1146"/>
      <c r="P73" s="524"/>
      <c r="Q73" s="502"/>
    </row>
    <row r="74" spans="1:17" s="116" customFormat="1" ht="15.75" thickBot="1">
      <c r="A74" s="519"/>
      <c r="B74" s="508"/>
      <c r="C74" s="637">
        <v>100</v>
      </c>
      <c r="D74" s="510"/>
      <c r="E74" s="510"/>
      <c r="F74" s="510"/>
      <c r="G74" s="510"/>
      <c r="H74" s="510"/>
      <c r="I74" s="510"/>
      <c r="J74" s="510"/>
      <c r="K74" s="510"/>
      <c r="L74" s="510"/>
      <c r="M74" s="512"/>
      <c r="N74" s="1146"/>
      <c r="O74" s="1146"/>
      <c r="P74" s="502"/>
      <c r="Q74" s="502"/>
    </row>
    <row r="75" spans="1:17" ht="27">
      <c r="A75" s="525" t="s">
        <v>2587</v>
      </c>
      <c r="B75" s="526" t="s">
        <v>2553</v>
      </c>
      <c r="C75" s="2924" t="s">
        <v>3075</v>
      </c>
      <c r="D75" s="2924" t="s">
        <v>3076</v>
      </c>
      <c r="E75" s="2924" t="s">
        <v>3077</v>
      </c>
      <c r="F75" s="528"/>
      <c r="G75" s="528"/>
      <c r="H75" s="528"/>
      <c r="I75" s="528"/>
      <c r="J75" s="528"/>
      <c r="K75" s="529"/>
      <c r="L75" s="530"/>
      <c r="M75" s="531"/>
      <c r="N75" s="1147"/>
      <c r="O75" s="1147"/>
      <c r="P75" s="44"/>
      <c r="Q75" s="502"/>
    </row>
    <row r="76" spans="1:17" ht="15.75" thickBot="1">
      <c r="A76" s="532"/>
      <c r="B76" s="533"/>
      <c r="C76" s="534">
        <v>100</v>
      </c>
      <c r="D76" s="534">
        <v>95</v>
      </c>
      <c r="E76" s="534">
        <v>95</v>
      </c>
      <c r="F76" s="534"/>
      <c r="G76" s="534"/>
      <c r="H76" s="534"/>
      <c r="I76" s="534"/>
      <c r="J76" s="534"/>
      <c r="K76" s="534"/>
      <c r="L76" s="534"/>
      <c r="M76" s="535"/>
      <c r="N76" s="1148"/>
      <c r="O76" s="1148"/>
      <c r="P76" s="44"/>
      <c r="Q76" s="502"/>
    </row>
    <row r="77" spans="1:17" ht="27.75" thickTop="1">
      <c r="A77" s="532"/>
      <c r="B77" s="536" t="s">
        <v>2556</v>
      </c>
      <c r="C77" s="537"/>
      <c r="D77" s="537"/>
      <c r="E77" s="537"/>
      <c r="F77" s="537"/>
      <c r="G77" s="537"/>
      <c r="H77" s="537"/>
      <c r="I77" s="537"/>
      <c r="J77" s="537"/>
      <c r="K77" s="538"/>
      <c r="L77" s="539"/>
      <c r="M77" s="540"/>
      <c r="N77" s="1147"/>
      <c r="O77" s="1147"/>
      <c r="P77" s="44"/>
      <c r="Q77" s="502"/>
    </row>
    <row r="78" spans="1:17" ht="15.75" thickBot="1">
      <c r="A78" s="532"/>
      <c r="B78" s="541"/>
      <c r="C78" s="542"/>
      <c r="D78" s="542"/>
      <c r="E78" s="542"/>
      <c r="F78" s="542"/>
      <c r="G78" s="542"/>
      <c r="H78" s="542"/>
      <c r="I78" s="542"/>
      <c r="J78" s="542"/>
      <c r="K78" s="542"/>
      <c r="L78" s="542"/>
      <c r="M78" s="543"/>
      <c r="N78" s="1148"/>
      <c r="O78" s="1148"/>
      <c r="P78" s="44"/>
      <c r="Q78" s="502"/>
    </row>
    <row r="79" spans="1:17" ht="15.75" thickTop="1">
      <c r="A79" s="532"/>
      <c r="B79" s="544" t="s">
        <v>2557</v>
      </c>
      <c r="C79" s="545" t="str">
        <f>C80&amp;"（含）"&amp;"-"&amp;D80</f>
        <v>0（含）-1</v>
      </c>
      <c r="D79" s="545" t="str">
        <f t="shared" ref="D79:L79" si="20">D80&amp;"（含）"&amp;"-"&amp;E80</f>
        <v>1（含）-2.1</v>
      </c>
      <c r="E79" s="545" t="str">
        <f t="shared" si="20"/>
        <v>2.1（含）-3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48"/>
      <c r="O79" s="1148"/>
      <c r="P79" s="44"/>
      <c r="Q79" s="502"/>
    </row>
    <row r="80" spans="1:17" ht="15">
      <c r="A80" s="532"/>
      <c r="B80" s="546"/>
      <c r="C80" s="547">
        <v>0</v>
      </c>
      <c r="D80" s="547">
        <v>1</v>
      </c>
      <c r="E80" s="547">
        <v>2.1</v>
      </c>
      <c r="F80" s="547">
        <v>3</v>
      </c>
      <c r="G80" s="547">
        <v>4</v>
      </c>
      <c r="H80" s="547">
        <v>5</v>
      </c>
      <c r="I80" s="547"/>
      <c r="J80" s="547"/>
      <c r="K80" s="548"/>
      <c r="L80" s="549"/>
      <c r="M80" s="550"/>
      <c r="N80" s="1147"/>
      <c r="O80" s="1147"/>
      <c r="P80" s="44"/>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48"/>
      <c r="O81" s="1148"/>
      <c r="P81" s="44"/>
      <c r="Q81" s="502"/>
    </row>
    <row r="82" spans="1:17" s="469" customFormat="1" ht="15.75" thickTop="1">
      <c r="A82" s="551"/>
      <c r="B82" s="536" t="str">
        <f>B12</f>
        <v>配建</v>
      </c>
      <c r="C82" s="552" t="s">
        <v>3078</v>
      </c>
      <c r="D82" s="2925" t="s">
        <v>3079</v>
      </c>
      <c r="E82" s="2926" t="s">
        <v>3080</v>
      </c>
      <c r="F82" s="552"/>
      <c r="G82" s="552"/>
      <c r="H82" s="553"/>
      <c r="I82" s="553"/>
      <c r="J82" s="553"/>
      <c r="K82" s="553"/>
      <c r="L82" s="554"/>
      <c r="M82" s="555"/>
      <c r="N82" s="1149"/>
      <c r="O82" s="1149"/>
      <c r="P82" s="556"/>
      <c r="Q82" s="557"/>
    </row>
    <row r="83" spans="1:17" s="469" customFormat="1" ht="15.75" thickBot="1">
      <c r="A83" s="551"/>
      <c r="B83" s="541"/>
      <c r="C83" s="558">
        <v>100</v>
      </c>
      <c r="D83" s="534">
        <v>90</v>
      </c>
      <c r="E83" s="534">
        <v>80</v>
      </c>
      <c r="F83" s="534"/>
      <c r="G83" s="534"/>
      <c r="H83" s="534"/>
      <c r="I83" s="534"/>
      <c r="J83" s="534"/>
      <c r="K83" s="534"/>
      <c r="L83" s="534"/>
      <c r="M83" s="535"/>
      <c r="N83" s="1148"/>
      <c r="O83" s="1148"/>
      <c r="P83" s="556"/>
      <c r="Q83" s="557"/>
    </row>
    <row r="84" spans="1:17" s="469" customFormat="1" ht="15.75" thickTop="1">
      <c r="A84" s="551"/>
      <c r="B84" s="536">
        <f>B13</f>
        <v>111</v>
      </c>
      <c r="C84" s="552"/>
      <c r="D84" s="552"/>
      <c r="E84" s="552"/>
      <c r="F84" s="552"/>
      <c r="G84" s="552"/>
      <c r="H84" s="553"/>
      <c r="I84" s="553"/>
      <c r="J84" s="553"/>
      <c r="K84" s="553"/>
      <c r="L84" s="554"/>
      <c r="M84" s="555"/>
      <c r="N84" s="1149"/>
      <c r="O84" s="1149"/>
      <c r="P84" s="468"/>
      <c r="Q84" s="559"/>
    </row>
    <row r="85" spans="1:17" s="469" customFormat="1" ht="15.75" thickBot="1">
      <c r="A85" s="551"/>
      <c r="B85" s="541"/>
      <c r="C85" s="558"/>
      <c r="D85" s="558"/>
      <c r="E85" s="558"/>
      <c r="F85" s="558"/>
      <c r="G85" s="558"/>
      <c r="H85" s="560"/>
      <c r="I85" s="560"/>
      <c r="J85" s="560"/>
      <c r="K85" s="560"/>
      <c r="L85" s="560"/>
      <c r="M85" s="561"/>
      <c r="N85" s="1149"/>
      <c r="O85" s="1149"/>
      <c r="P85" s="556"/>
      <c r="Q85" s="557"/>
    </row>
    <row r="86" spans="1:17" s="469" customFormat="1" ht="15.75" thickTop="1">
      <c r="A86" s="551"/>
      <c r="B86" s="544">
        <f>B14</f>
        <v>111</v>
      </c>
      <c r="C86" s="521"/>
      <c r="D86" s="521"/>
      <c r="E86" s="521"/>
      <c r="F86" s="521"/>
      <c r="G86" s="521"/>
      <c r="H86" s="562"/>
      <c r="I86" s="562"/>
      <c r="J86" s="562"/>
      <c r="K86" s="562"/>
      <c r="L86" s="563"/>
      <c r="M86" s="564"/>
      <c r="N86" s="1149"/>
      <c r="O86" s="1149"/>
      <c r="P86" s="565"/>
      <c r="Q86" s="557"/>
    </row>
    <row r="87" spans="1:17" s="469" customFormat="1" ht="15.75" thickBot="1">
      <c r="A87" s="566"/>
      <c r="B87" s="567"/>
      <c r="C87" s="568"/>
      <c r="D87" s="568"/>
      <c r="E87" s="568"/>
      <c r="F87" s="568"/>
      <c r="G87" s="568"/>
      <c r="H87" s="569"/>
      <c r="I87" s="569"/>
      <c r="J87" s="569"/>
      <c r="K87" s="569"/>
      <c r="L87" s="569"/>
      <c r="M87" s="570"/>
      <c r="N87" s="1149"/>
      <c r="O87" s="1149"/>
      <c r="P87" s="556"/>
      <c r="Q87" s="557"/>
    </row>
    <row r="88" spans="1:17">
      <c r="A88" s="525" t="s">
        <v>2558</v>
      </c>
      <c r="B88" s="526" t="s">
        <v>2595</v>
      </c>
      <c r="C88" s="571" t="s">
        <v>2596</v>
      </c>
      <c r="D88" s="571" t="s">
        <v>2597</v>
      </c>
      <c r="E88" s="571" t="s">
        <v>2598</v>
      </c>
      <c r="F88" s="571" t="s">
        <v>2599</v>
      </c>
      <c r="G88" s="571" t="s">
        <v>2600</v>
      </c>
      <c r="H88" s="527"/>
      <c r="I88" s="527"/>
      <c r="J88" s="527"/>
      <c r="K88" s="572"/>
      <c r="L88" s="573"/>
      <c r="M88" s="574"/>
      <c r="N88" s="1147"/>
      <c r="O88" s="1147"/>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48"/>
      <c r="O89" s="1148"/>
      <c r="P89" s="44"/>
      <c r="Q89" s="502"/>
    </row>
    <row r="90" spans="1:17" ht="15.75" thickTop="1">
      <c r="A90" s="532"/>
      <c r="B90" s="536" t="s">
        <v>2783</v>
      </c>
      <c r="C90" s="576" t="s">
        <v>2596</v>
      </c>
      <c r="D90" s="576" t="s">
        <v>2597</v>
      </c>
      <c r="E90" s="576" t="s">
        <v>2598</v>
      </c>
      <c r="F90" s="576" t="s">
        <v>2599</v>
      </c>
      <c r="G90" s="576" t="s">
        <v>2600</v>
      </c>
      <c r="H90" s="537"/>
      <c r="I90" s="537"/>
      <c r="J90" s="537"/>
      <c r="K90" s="538"/>
      <c r="L90" s="539"/>
      <c r="M90" s="540"/>
      <c r="N90" s="1147"/>
      <c r="O90" s="1147"/>
      <c r="P90" s="44"/>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8"/>
      <c r="O91" s="1148"/>
      <c r="P91" s="44"/>
      <c r="Q91" s="502"/>
    </row>
    <row r="92" spans="1:17" ht="15.75" thickTop="1">
      <c r="A92" s="532"/>
      <c r="B92" s="536" t="s">
        <v>2696</v>
      </c>
      <c r="C92" s="576" t="s">
        <v>2596</v>
      </c>
      <c r="D92" s="576" t="s">
        <v>2597</v>
      </c>
      <c r="E92" s="576" t="s">
        <v>2598</v>
      </c>
      <c r="F92" s="576" t="s">
        <v>2599</v>
      </c>
      <c r="G92" s="576" t="s">
        <v>2600</v>
      </c>
      <c r="H92" s="537"/>
      <c r="I92" s="537"/>
      <c r="J92" s="537"/>
      <c r="K92" s="538"/>
      <c r="L92" s="539"/>
      <c r="M92" s="540"/>
      <c r="N92" s="1147"/>
      <c r="O92" s="1147"/>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8"/>
      <c r="O93" s="1148"/>
      <c r="P93" s="44"/>
      <c r="Q93" s="502"/>
    </row>
    <row r="94" spans="1:17" ht="15.75" thickTop="1">
      <c r="A94" s="532"/>
      <c r="B94" s="536" t="s">
        <v>2601</v>
      </c>
      <c r="C94" s="576" t="s">
        <v>2596</v>
      </c>
      <c r="D94" s="576" t="s">
        <v>2597</v>
      </c>
      <c r="E94" s="576" t="s">
        <v>2598</v>
      </c>
      <c r="F94" s="576" t="s">
        <v>2599</v>
      </c>
      <c r="G94" s="576" t="s">
        <v>2600</v>
      </c>
      <c r="H94" s="537"/>
      <c r="I94" s="537"/>
      <c r="J94" s="537"/>
      <c r="K94" s="538"/>
      <c r="L94" s="539"/>
      <c r="M94" s="540"/>
      <c r="N94" s="1147"/>
      <c r="O94" s="1147"/>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8"/>
      <c r="O95" s="1148"/>
      <c r="P95" s="44"/>
      <c r="Q95" s="502"/>
    </row>
    <row r="96" spans="1:17" s="116" customFormat="1" ht="15.75" thickTop="1">
      <c r="A96" s="577"/>
      <c r="B96" s="536" t="s">
        <v>2784</v>
      </c>
      <c r="C96" s="576" t="s">
        <v>2596</v>
      </c>
      <c r="D96" s="576" t="s">
        <v>2597</v>
      </c>
      <c r="E96" s="576" t="s">
        <v>2598</v>
      </c>
      <c r="F96" s="576" t="s">
        <v>2599</v>
      </c>
      <c r="G96" s="576" t="s">
        <v>2600</v>
      </c>
      <c r="H96" s="576"/>
      <c r="I96" s="576"/>
      <c r="J96" s="576"/>
      <c r="K96" s="576"/>
      <c r="L96" s="696"/>
      <c r="M96" s="620"/>
      <c r="N96" s="1146"/>
      <c r="O96" s="1146"/>
      <c r="P96" s="44"/>
      <c r="Q96" s="502"/>
    </row>
    <row r="97" spans="1:17" s="116" customFormat="1" ht="15.75" thickBot="1">
      <c r="A97" s="577"/>
      <c r="B97" s="541"/>
      <c r="C97" s="580">
        <v>100</v>
      </c>
      <c r="D97" s="542">
        <f>C97-$K23</f>
        <v>97</v>
      </c>
      <c r="E97" s="542">
        <f>D97-$K23</f>
        <v>94</v>
      </c>
      <c r="F97" s="542">
        <f>E97-$K23</f>
        <v>91</v>
      </c>
      <c r="G97" s="542">
        <f>F97-$K23</f>
        <v>88</v>
      </c>
      <c r="H97" s="542"/>
      <c r="I97" s="542"/>
      <c r="J97" s="542"/>
      <c r="K97" s="542"/>
      <c r="L97" s="542"/>
      <c r="M97" s="543"/>
      <c r="N97" s="1148"/>
      <c r="O97" s="1148"/>
      <c r="P97" s="44"/>
      <c r="Q97" s="502"/>
    </row>
    <row r="98" spans="1:17" s="116" customFormat="1" ht="27.75" thickTop="1">
      <c r="A98" s="577"/>
      <c r="B98" s="536" t="s">
        <v>2785</v>
      </c>
      <c r="C98" s="571" t="s">
        <v>2596</v>
      </c>
      <c r="D98" s="571" t="s">
        <v>2597</v>
      </c>
      <c r="E98" s="571" t="s">
        <v>2598</v>
      </c>
      <c r="F98" s="571" t="s">
        <v>2599</v>
      </c>
      <c r="G98" s="571" t="s">
        <v>2600</v>
      </c>
      <c r="H98" s="576"/>
      <c r="I98" s="576"/>
      <c r="J98" s="576"/>
      <c r="K98" s="576"/>
      <c r="L98" s="576"/>
      <c r="M98" s="620"/>
      <c r="N98" s="1146"/>
      <c r="O98" s="1146"/>
      <c r="P98" s="44"/>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48"/>
      <c r="O99" s="1148"/>
      <c r="P99" s="44"/>
      <c r="Q99" s="502"/>
    </row>
    <row r="100" spans="1:17" s="469" customFormat="1" ht="15.75" thickTop="1">
      <c r="A100" s="551"/>
      <c r="B100" s="536" t="s">
        <v>2653</v>
      </c>
      <c r="C100" s="571" t="s">
        <v>2596</v>
      </c>
      <c r="D100" s="571" t="s">
        <v>2597</v>
      </c>
      <c r="E100" s="571" t="s">
        <v>2598</v>
      </c>
      <c r="F100" s="571" t="s">
        <v>2599</v>
      </c>
      <c r="G100" s="571" t="s">
        <v>2600</v>
      </c>
      <c r="H100" s="598"/>
      <c r="I100" s="598"/>
      <c r="J100" s="598"/>
      <c r="K100" s="598"/>
      <c r="L100" s="599"/>
      <c r="M100" s="600"/>
      <c r="N100" s="1149"/>
      <c r="O100" s="1149"/>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9"/>
      <c r="O101" s="1149"/>
      <c r="P101" s="556"/>
      <c r="Q101" s="557"/>
    </row>
    <row r="102" spans="1:17" s="469" customFormat="1" ht="15.75" thickTop="1">
      <c r="A102" s="551"/>
      <c r="B102" s="544" t="s">
        <v>2654</v>
      </c>
      <c r="C102" s="658" t="s">
        <v>2674</v>
      </c>
      <c r="D102" s="658" t="s">
        <v>2675</v>
      </c>
      <c r="E102" s="658" t="s">
        <v>2676</v>
      </c>
      <c r="F102" s="658" t="s">
        <v>2677</v>
      </c>
      <c r="G102" s="658" t="s">
        <v>2678</v>
      </c>
      <c r="H102" s="598"/>
      <c r="I102" s="598"/>
      <c r="J102" s="598"/>
      <c r="K102" s="598"/>
      <c r="L102" s="598"/>
      <c r="M102" s="1380"/>
      <c r="N102" s="1149"/>
      <c r="O102" s="1149"/>
      <c r="P102" s="556"/>
      <c r="Q102" s="557"/>
    </row>
    <row r="103" spans="1:17" s="469" customFormat="1" ht="15.75" thickBot="1">
      <c r="A103" s="551"/>
      <c r="B103" s="544"/>
      <c r="C103" s="542">
        <v>100</v>
      </c>
      <c r="D103" s="542">
        <f>C103-$K29</f>
        <v>99.5</v>
      </c>
      <c r="E103" s="542">
        <f>D103-$K29</f>
        <v>99</v>
      </c>
      <c r="F103" s="542">
        <f>E103-$K29</f>
        <v>98.5</v>
      </c>
      <c r="G103" s="542">
        <f>F103-$K29</f>
        <v>98</v>
      </c>
      <c r="H103" s="546"/>
      <c r="I103" s="546"/>
      <c r="J103" s="546"/>
      <c r="K103" s="546"/>
      <c r="L103" s="546"/>
      <c r="M103" s="1380"/>
      <c r="N103" s="1149"/>
      <c r="O103" s="1149"/>
      <c r="P103" s="556"/>
      <c r="Q103" s="557"/>
    </row>
    <row r="104" spans="1:17" ht="15.75" thickTop="1">
      <c r="A104" s="532"/>
      <c r="B104" s="536" t="str">
        <f>B31</f>
        <v>临街状况</v>
      </c>
      <c r="C104" s="537" t="s">
        <v>2786</v>
      </c>
      <c r="D104" s="537" t="s">
        <v>2787</v>
      </c>
      <c r="E104" s="537" t="s">
        <v>2788</v>
      </c>
      <c r="F104" s="537" t="s">
        <v>2789</v>
      </c>
      <c r="G104" s="537"/>
      <c r="H104" s="537"/>
      <c r="I104" s="537"/>
      <c r="J104" s="537"/>
      <c r="K104" s="538"/>
      <c r="L104" s="539"/>
      <c r="M104" s="540"/>
      <c r="N104" s="1147"/>
      <c r="O104" s="1147"/>
      <c r="P104" s="44"/>
      <c r="Q104" s="502"/>
    </row>
    <row r="105" spans="1:17" ht="15.75" thickBot="1">
      <c r="A105" s="532"/>
      <c r="B105" s="541"/>
      <c r="C105" s="542">
        <v>100</v>
      </c>
      <c r="D105" s="542">
        <f>C105-$K31</f>
        <v>99</v>
      </c>
      <c r="E105" s="542">
        <f t="shared" ref="E105:M105" si="22">D105-$K31</f>
        <v>98</v>
      </c>
      <c r="F105" s="542">
        <f t="shared" si="22"/>
        <v>97</v>
      </c>
      <c r="G105" s="542">
        <f t="shared" si="22"/>
        <v>96</v>
      </c>
      <c r="H105" s="542">
        <f t="shared" si="22"/>
        <v>95</v>
      </c>
      <c r="I105" s="542">
        <f t="shared" si="22"/>
        <v>94</v>
      </c>
      <c r="J105" s="542">
        <f t="shared" si="22"/>
        <v>93</v>
      </c>
      <c r="K105" s="542">
        <f t="shared" si="22"/>
        <v>92</v>
      </c>
      <c r="L105" s="542">
        <f t="shared" si="22"/>
        <v>91</v>
      </c>
      <c r="M105" s="542">
        <f t="shared" si="22"/>
        <v>90</v>
      </c>
      <c r="N105" s="1148"/>
      <c r="O105" s="1148"/>
      <c r="P105" s="44"/>
      <c r="Q105" s="502"/>
    </row>
    <row r="106" spans="1:17" ht="27.75" thickTop="1">
      <c r="A106" s="532"/>
      <c r="B106" s="536" t="s">
        <v>2690</v>
      </c>
      <c r="C106" s="552" t="s">
        <v>3081</v>
      </c>
      <c r="D106" s="552" t="s">
        <v>3082</v>
      </c>
      <c r="E106" s="552" t="s">
        <v>3083</v>
      </c>
      <c r="F106" s="552" t="s">
        <v>3084</v>
      </c>
      <c r="G106" s="552" t="s">
        <v>3085</v>
      </c>
      <c r="H106" s="581"/>
      <c r="I106" s="581"/>
      <c r="J106" s="581"/>
      <c r="K106" s="582"/>
      <c r="L106" s="583"/>
      <c r="M106" s="584"/>
      <c r="N106" s="1147"/>
      <c r="O106" s="1147"/>
      <c r="P106" s="44"/>
      <c r="Q106" s="502"/>
    </row>
    <row r="107" spans="1:17" ht="15.75" thickBot="1">
      <c r="A107" s="532"/>
      <c r="B107" s="541"/>
      <c r="C107" s="542">
        <v>100</v>
      </c>
      <c r="D107" s="542">
        <f>C107-$K32</f>
        <v>99.5</v>
      </c>
      <c r="E107" s="542">
        <f t="shared" ref="E107:M107" si="23">D107-$K32</f>
        <v>99</v>
      </c>
      <c r="F107" s="542">
        <f t="shared" si="23"/>
        <v>98.5</v>
      </c>
      <c r="G107" s="542">
        <f t="shared" si="23"/>
        <v>98</v>
      </c>
      <c r="H107" s="542">
        <f t="shared" si="23"/>
        <v>97.5</v>
      </c>
      <c r="I107" s="542">
        <f t="shared" si="23"/>
        <v>97</v>
      </c>
      <c r="J107" s="542">
        <f t="shared" si="23"/>
        <v>96.5</v>
      </c>
      <c r="K107" s="542">
        <f t="shared" si="23"/>
        <v>96</v>
      </c>
      <c r="L107" s="542">
        <f t="shared" si="23"/>
        <v>95.5</v>
      </c>
      <c r="M107" s="542">
        <f t="shared" si="23"/>
        <v>95</v>
      </c>
      <c r="N107" s="1148"/>
      <c r="O107" s="1148"/>
      <c r="P107" s="44"/>
      <c r="Q107" s="502"/>
    </row>
    <row r="108" spans="1:17" ht="15.75" thickTop="1">
      <c r="A108" s="532"/>
      <c r="B108" s="536" t="s">
        <v>2749</v>
      </c>
      <c r="C108" s="581"/>
      <c r="D108" s="581"/>
      <c r="E108" s="581"/>
      <c r="F108" s="581"/>
      <c r="G108" s="581"/>
      <c r="H108" s="581"/>
      <c r="I108" s="581"/>
      <c r="J108" s="581"/>
      <c r="K108" s="582"/>
      <c r="L108" s="583"/>
      <c r="M108" s="584"/>
      <c r="N108" s="1147"/>
      <c r="O108" s="1147"/>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8"/>
      <c r="O109" s="1148"/>
      <c r="P109" s="44"/>
      <c r="Q109" s="502"/>
    </row>
    <row r="110" spans="1:17" ht="15.75" thickTop="1">
      <c r="A110" s="532"/>
      <c r="B110" s="544">
        <f>B35</f>
        <v>111</v>
      </c>
      <c r="C110" s="552"/>
      <c r="D110" s="552"/>
      <c r="E110" s="552"/>
      <c r="F110" s="552"/>
      <c r="G110" s="585"/>
      <c r="H110" s="585"/>
      <c r="I110" s="585"/>
      <c r="J110" s="585"/>
      <c r="K110" s="586"/>
      <c r="L110" s="587"/>
      <c r="M110" s="588"/>
      <c r="N110" s="1147"/>
      <c r="O110" s="1147"/>
      <c r="P110" s="44"/>
      <c r="Q110" s="502"/>
    </row>
    <row r="111" spans="1:17" ht="15.75" thickBot="1">
      <c r="A111" s="532"/>
      <c r="B111" s="567"/>
      <c r="C111" s="558"/>
      <c r="D111" s="558"/>
      <c r="E111" s="558"/>
      <c r="F111" s="558"/>
      <c r="G111" s="589"/>
      <c r="H111" s="589"/>
      <c r="I111" s="589"/>
      <c r="J111" s="589"/>
      <c r="K111" s="589"/>
      <c r="L111" s="589"/>
      <c r="M111" s="590"/>
      <c r="N111" s="1148"/>
      <c r="O111" s="1148"/>
      <c r="P111" s="44"/>
      <c r="Q111" s="502"/>
    </row>
    <row r="112" spans="1:17" ht="15" thickTop="1">
      <c r="A112" s="673"/>
      <c r="B112" s="536">
        <f>B36</f>
        <v>111</v>
      </c>
      <c r="C112" s="521"/>
      <c r="D112" s="521"/>
      <c r="E112" s="521"/>
      <c r="F112" s="521"/>
      <c r="G112" s="581"/>
      <c r="H112" s="581"/>
      <c r="I112" s="581"/>
      <c r="J112" s="581"/>
      <c r="K112" s="582"/>
      <c r="L112" s="583"/>
      <c r="M112" s="584"/>
      <c r="N112" s="1147"/>
      <c r="O112" s="1147"/>
      <c r="P112" s="44"/>
      <c r="Q112" s="502"/>
    </row>
    <row r="113" spans="1:17" ht="15.75" thickBot="1">
      <c r="A113" s="532"/>
      <c r="B113" s="541"/>
      <c r="C113" s="568"/>
      <c r="D113" s="568"/>
      <c r="E113" s="568"/>
      <c r="F113" s="568"/>
      <c r="G113" s="534"/>
      <c r="H113" s="534"/>
      <c r="I113" s="534"/>
      <c r="J113" s="534"/>
      <c r="K113" s="534"/>
      <c r="L113" s="534"/>
      <c r="M113" s="535"/>
      <c r="N113" s="1148"/>
      <c r="O113" s="1148"/>
      <c r="P113" s="44"/>
      <c r="Q113" s="502"/>
    </row>
    <row r="114" spans="1:17" s="469" customFormat="1" ht="15"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5"/>
      <c r="E115" s="675"/>
      <c r="F115" s="675"/>
      <c r="G115" s="675"/>
      <c r="H115" s="675"/>
      <c r="I115" s="675"/>
      <c r="J115" s="675"/>
      <c r="K115" s="675"/>
      <c r="L115" s="675"/>
      <c r="M115" s="697"/>
      <c r="N115" s="1148"/>
      <c r="O115" s="1148"/>
      <c r="P115" s="556"/>
      <c r="Q115" s="557"/>
    </row>
    <row r="116" spans="1:17" ht="28.5">
      <c r="A116" s="525" t="s">
        <v>2562</v>
      </c>
      <c r="B116" s="526" t="s">
        <v>2790</v>
      </c>
      <c r="C116" s="527" t="str">
        <f>C117&amp;"(含)"&amp;"-"&amp;D117</f>
        <v>0(含)-10000</v>
      </c>
      <c r="D116" s="527" t="str">
        <f t="shared" ref="D116:M116" si="25">D117&amp;"(含)"&amp;"-"&amp;E117</f>
        <v>10000(含)-20000</v>
      </c>
      <c r="E116" s="527" t="str">
        <f t="shared" si="25"/>
        <v>20000(含)-30000</v>
      </c>
      <c r="F116" s="527" t="str">
        <f t="shared" si="25"/>
        <v>30000(含)-50000</v>
      </c>
      <c r="G116" s="527" t="str">
        <f t="shared" si="25"/>
        <v>50000(含)-100000</v>
      </c>
      <c r="H116" s="527" t="str">
        <f t="shared" si="25"/>
        <v>100000(含)-150000</v>
      </c>
      <c r="I116" s="527" t="str">
        <f t="shared" si="25"/>
        <v>150000(含)-200000</v>
      </c>
      <c r="J116" s="527" t="str">
        <f t="shared" si="25"/>
        <v>200000(含)-300000</v>
      </c>
      <c r="K116" s="527" t="str">
        <f t="shared" si="25"/>
        <v>300000(含)-500000</v>
      </c>
      <c r="L116" s="527" t="str">
        <f t="shared" si="25"/>
        <v>500000(含)-90000</v>
      </c>
      <c r="M116" s="527" t="str">
        <f t="shared" si="25"/>
        <v>90000(含)-</v>
      </c>
      <c r="N116" s="1147"/>
      <c r="O116" s="1147"/>
      <c r="P116" s="44"/>
      <c r="Q116" s="502"/>
    </row>
    <row r="117" spans="1:17" ht="15">
      <c r="A117" s="532"/>
      <c r="B117" s="544"/>
      <c r="C117" s="593">
        <v>0</v>
      </c>
      <c r="D117" s="593">
        <v>10000</v>
      </c>
      <c r="E117" s="593">
        <v>20000</v>
      </c>
      <c r="F117" s="593">
        <v>30000</v>
      </c>
      <c r="G117" s="593">
        <v>50000</v>
      </c>
      <c r="H117" s="593">
        <v>100000</v>
      </c>
      <c r="I117" s="593">
        <v>150000</v>
      </c>
      <c r="J117" s="547">
        <v>200000</v>
      </c>
      <c r="K117" s="547">
        <v>300000</v>
      </c>
      <c r="L117" s="2928">
        <v>500000</v>
      </c>
      <c r="M117" s="2927">
        <v>90000</v>
      </c>
      <c r="N117" s="1147"/>
      <c r="O117" s="1147"/>
      <c r="P117" s="44"/>
      <c r="Q117" s="502"/>
    </row>
    <row r="118" spans="1:17" ht="15.75" thickBot="1">
      <c r="A118" s="532"/>
      <c r="B118" s="541"/>
      <c r="C118" s="568">
        <v>100</v>
      </c>
      <c r="D118" s="589">
        <v>101</v>
      </c>
      <c r="E118" s="589">
        <v>102</v>
      </c>
      <c r="F118" s="589">
        <v>103</v>
      </c>
      <c r="G118" s="589">
        <v>104</v>
      </c>
      <c r="H118" s="589">
        <v>105</v>
      </c>
      <c r="I118" s="589">
        <v>106</v>
      </c>
      <c r="J118" s="589">
        <v>107</v>
      </c>
      <c r="K118" s="589">
        <v>108</v>
      </c>
      <c r="L118" s="589">
        <v>109</v>
      </c>
      <c r="M118" s="590">
        <v>110</v>
      </c>
      <c r="N118" s="1148"/>
      <c r="O118" s="1148"/>
      <c r="P118" s="44"/>
      <c r="Q118" s="502"/>
    </row>
    <row r="119" spans="1:17" ht="15" thickTop="1">
      <c r="A119" s="597"/>
      <c r="B119" s="536" t="s">
        <v>2791</v>
      </c>
      <c r="C119" s="581" t="s">
        <v>3086</v>
      </c>
      <c r="D119" s="581" t="s">
        <v>3087</v>
      </c>
      <c r="E119" s="581" t="s">
        <v>3088</v>
      </c>
      <c r="F119" s="581" t="s">
        <v>3089</v>
      </c>
      <c r="G119" s="581"/>
      <c r="H119" s="581"/>
      <c r="I119" s="581"/>
      <c r="J119" s="581"/>
      <c r="K119" s="582"/>
      <c r="L119" s="583"/>
      <c r="M119" s="584"/>
      <c r="N119" s="1147"/>
      <c r="O119" s="1147"/>
      <c r="P119" s="44"/>
      <c r="Q119" s="502"/>
    </row>
    <row r="120" spans="1:17" ht="15.75" thickBot="1">
      <c r="A120" s="532"/>
      <c r="B120" s="541"/>
      <c r="C120" s="542">
        <v>100</v>
      </c>
      <c r="D120" s="542">
        <f t="shared" ref="D120:M120" si="26">C120-$K39</f>
        <v>97</v>
      </c>
      <c r="E120" s="542">
        <f t="shared" si="26"/>
        <v>94</v>
      </c>
      <c r="F120" s="542">
        <f t="shared" si="26"/>
        <v>91</v>
      </c>
      <c r="G120" s="542">
        <f t="shared" si="26"/>
        <v>88</v>
      </c>
      <c r="H120" s="542">
        <f t="shared" si="26"/>
        <v>85</v>
      </c>
      <c r="I120" s="542">
        <f t="shared" si="26"/>
        <v>82</v>
      </c>
      <c r="J120" s="542">
        <f t="shared" si="26"/>
        <v>79</v>
      </c>
      <c r="K120" s="542">
        <f t="shared" si="26"/>
        <v>76</v>
      </c>
      <c r="L120" s="542">
        <f t="shared" si="26"/>
        <v>73</v>
      </c>
      <c r="M120" s="543">
        <f t="shared" si="26"/>
        <v>70</v>
      </c>
      <c r="N120" s="1148"/>
      <c r="O120" s="1148"/>
      <c r="P120" s="44"/>
      <c r="Q120" s="502"/>
    </row>
    <row r="121" spans="1:17" ht="15" thickTop="1">
      <c r="A121" s="597"/>
      <c r="B121" s="536" t="s">
        <v>2792</v>
      </c>
      <c r="C121" s="552" t="s">
        <v>3090</v>
      </c>
      <c r="D121" s="552" t="s">
        <v>3091</v>
      </c>
      <c r="E121" s="552" t="s">
        <v>3092</v>
      </c>
      <c r="F121" s="581"/>
      <c r="G121" s="581"/>
      <c r="H121" s="581"/>
      <c r="I121" s="581"/>
      <c r="J121" s="581"/>
      <c r="K121" s="582"/>
      <c r="L121" s="583"/>
      <c r="M121" s="584"/>
      <c r="N121" s="1147"/>
      <c r="O121" s="1147"/>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8"/>
      <c r="O122" s="1148"/>
      <c r="P122" s="44"/>
      <c r="Q122" s="502"/>
    </row>
    <row r="123" spans="1:17" s="469" customFormat="1" ht="15" thickTop="1">
      <c r="A123" s="591"/>
      <c r="B123" s="536" t="s">
        <v>2793</v>
      </c>
      <c r="C123" s="2925" t="s">
        <v>3093</v>
      </c>
      <c r="D123" s="2925" t="s">
        <v>3094</v>
      </c>
      <c r="E123" s="2925" t="s">
        <v>3095</v>
      </c>
      <c r="F123" s="2925" t="s">
        <v>3096</v>
      </c>
      <c r="G123" s="2925" t="s">
        <v>3097</v>
      </c>
      <c r="H123" s="581"/>
      <c r="I123" s="581"/>
      <c r="J123" s="581"/>
      <c r="K123" s="582"/>
      <c r="L123" s="583"/>
      <c r="M123" s="584"/>
      <c r="N123" s="1149"/>
      <c r="O123" s="1149"/>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49"/>
      <c r="O124" s="1149"/>
      <c r="P124" s="556"/>
      <c r="Q124" s="557"/>
    </row>
    <row r="125" spans="1:17" ht="15" thickTop="1">
      <c r="A125" s="597"/>
      <c r="B125" s="536" t="s">
        <v>2794</v>
      </c>
      <c r="C125" s="552" t="s">
        <v>3098</v>
      </c>
      <c r="D125" s="552" t="s">
        <v>3099</v>
      </c>
      <c r="E125" s="581" t="s">
        <v>3100</v>
      </c>
      <c r="F125" s="581" t="s">
        <v>3101</v>
      </c>
      <c r="G125" s="581" t="s">
        <v>3102</v>
      </c>
      <c r="H125" s="581"/>
      <c r="I125" s="581"/>
      <c r="J125" s="581"/>
      <c r="K125" s="582"/>
      <c r="L125" s="583"/>
      <c r="M125" s="584"/>
      <c r="N125" s="1147"/>
      <c r="O125" s="1147"/>
      <c r="P125" s="44"/>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48"/>
      <c r="O126" s="1148"/>
      <c r="P126" s="44"/>
      <c r="Q126" s="502"/>
    </row>
    <row r="127" spans="1:17" ht="15" thickTop="1">
      <c r="A127" s="597"/>
      <c r="B127" s="536">
        <f>B43</f>
        <v>111</v>
      </c>
      <c r="C127" s="552"/>
      <c r="D127" s="552"/>
      <c r="E127" s="552"/>
      <c r="F127" s="552"/>
      <c r="G127" s="552"/>
      <c r="H127" s="581"/>
      <c r="I127" s="581"/>
      <c r="J127" s="581"/>
      <c r="K127" s="582"/>
      <c r="L127" s="583"/>
      <c r="M127" s="584"/>
      <c r="N127" s="1147"/>
      <c r="O127" s="1147"/>
      <c r="P127" s="44"/>
      <c r="Q127" s="502"/>
    </row>
    <row r="128" spans="1:17" ht="15.75" thickBot="1">
      <c r="A128" s="532"/>
      <c r="B128" s="541"/>
      <c r="C128" s="558"/>
      <c r="D128" s="558"/>
      <c r="E128" s="558"/>
      <c r="F128" s="558"/>
      <c r="G128" s="534"/>
      <c r="H128" s="534"/>
      <c r="I128" s="534"/>
      <c r="J128" s="534"/>
      <c r="K128" s="534"/>
      <c r="L128" s="534"/>
      <c r="M128" s="535"/>
      <c r="N128" s="1148"/>
      <c r="O128" s="1148"/>
      <c r="P128" s="44"/>
      <c r="Q128" s="502"/>
    </row>
    <row r="129" spans="1:17" ht="15" thickTop="1">
      <c r="A129" s="597"/>
      <c r="B129" s="536">
        <f>B44</f>
        <v>111</v>
      </c>
      <c r="C129" s="521"/>
      <c r="D129" s="521"/>
      <c r="E129" s="521"/>
      <c r="F129" s="521"/>
      <c r="G129" s="581"/>
      <c r="H129" s="581"/>
      <c r="I129" s="581"/>
      <c r="J129" s="581"/>
      <c r="K129" s="582"/>
      <c r="L129" s="583"/>
      <c r="M129" s="584"/>
      <c r="N129" s="1147"/>
      <c r="O129" s="1147"/>
      <c r="P129" s="44"/>
      <c r="Q129" s="502"/>
    </row>
    <row r="130" spans="1:17" ht="15.75" thickBot="1">
      <c r="A130" s="532"/>
      <c r="B130" s="541"/>
      <c r="C130" s="568"/>
      <c r="D130" s="568"/>
      <c r="E130" s="568"/>
      <c r="F130" s="568"/>
      <c r="G130" s="534"/>
      <c r="H130" s="534"/>
      <c r="I130" s="534"/>
      <c r="J130" s="534"/>
      <c r="K130" s="534"/>
      <c r="L130" s="534"/>
      <c r="M130" s="535"/>
      <c r="N130" s="1148"/>
      <c r="O130" s="1148"/>
      <c r="P130" s="44"/>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8"/>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2328</v>
      </c>
      <c r="B1" s="1933"/>
      <c r="C1" s="240"/>
      <c r="D1" s="240"/>
      <c r="E1" s="240"/>
      <c r="F1" s="240"/>
      <c r="G1" s="1374">
        <f>MATCH(B1,'数据-取费表'!A6:A16,0)+5</f>
        <v>10</v>
      </c>
    </row>
    <row r="2" spans="1:9" s="242" customFormat="1" ht="18" customHeight="1">
      <c r="A2" s="243" t="s">
        <v>2329</v>
      </c>
      <c r="B2" s="244">
        <f ca="1">IF(D2="——",C52,C52-E2)</f>
        <v>545006</v>
      </c>
      <c r="C2" s="241" t="s">
        <v>2330</v>
      </c>
      <c r="D2" s="2541" t="s">
        <v>70</v>
      </c>
      <c r="E2" s="1435" t="e">
        <f ca="1">SUMIF(INDIRECT("'"&amp;G2&amp;"'"&amp;"!A:A"),"承租人权益价值",INDIRECT("'"&amp;G2&amp;"'"&amp;"!c:c"))</f>
        <v>#REF!</v>
      </c>
      <c r="F2" s="2542" t="s">
        <v>2330</v>
      </c>
      <c r="G2" s="2543"/>
    </row>
    <row r="3" spans="1:9" s="242" customFormat="1" ht="18" customHeight="1" thickBot="1">
      <c r="A3" s="245" t="s">
        <v>2331</v>
      </c>
      <c r="B3" s="246">
        <f ca="1">ROUND(B2*10000/(IF(B1="",'数据-汇总表'!E3,INDIRECT("'数据-取费表'!k"&amp;$G$1))),0)</f>
        <v>39954</v>
      </c>
      <c r="C3" s="241" t="s">
        <v>2332</v>
      </c>
      <c r="D3" s="241"/>
      <c r="E3" s="241"/>
      <c r="F3" s="241"/>
      <c r="G3" s="241"/>
    </row>
    <row r="4" spans="1:9" s="250" customFormat="1" ht="15.75">
      <c r="A4" s="247" t="s">
        <v>2333</v>
      </c>
      <c r="B4" s="248"/>
      <c r="C4" s="248"/>
      <c r="D4" s="248"/>
      <c r="E4" s="248"/>
      <c r="F4" s="248"/>
      <c r="G4" s="249"/>
    </row>
    <row r="5" spans="1:9" s="256" customFormat="1" ht="13.5" customHeight="1">
      <c r="A5" s="297" t="s">
        <v>2334</v>
      </c>
      <c r="B5" s="252" t="s">
        <v>2335</v>
      </c>
      <c r="C5" s="253">
        <f>C6+C7+C8</f>
        <v>423102</v>
      </c>
      <c r="D5" s="253" t="s">
        <v>2336</v>
      </c>
      <c r="E5" s="254" t="s">
        <v>2337</v>
      </c>
      <c r="F5" s="254" t="s">
        <v>2338</v>
      </c>
      <c r="G5" s="255"/>
    </row>
    <row r="6" spans="1:9" s="256" customFormat="1" ht="13.5" customHeight="1">
      <c r="A6" s="944" t="s">
        <v>2339</v>
      </c>
      <c r="B6" s="257" t="s">
        <v>2340</v>
      </c>
      <c r="C6" s="258">
        <f>'土地比较法-住宅、综合'!B2</f>
        <v>408334</v>
      </c>
      <c r="D6" s="259"/>
      <c r="E6" s="260"/>
      <c r="F6" s="260"/>
      <c r="G6" s="261"/>
    </row>
    <row r="7" spans="1:9" s="256" customFormat="1" ht="13.5" customHeight="1">
      <c r="A7" s="944" t="s">
        <v>2341</v>
      </c>
      <c r="B7" s="257" t="s">
        <v>2342</v>
      </c>
      <c r="C7" s="262">
        <f>ROUND(C6*F7,0)</f>
        <v>12454</v>
      </c>
      <c r="D7" s="262"/>
      <c r="E7" s="260"/>
      <c r="F7" s="263">
        <f>'数据-取费表'!B48+'数据-取费表'!B49</f>
        <v>3.0499999999999999E-2</v>
      </c>
      <c r="G7" s="261"/>
    </row>
    <row r="8" spans="1:9" s="265" customFormat="1">
      <c r="A8" s="944" t="s">
        <v>2343</v>
      </c>
      <c r="B8" s="257" t="s">
        <v>2344</v>
      </c>
      <c r="C8" s="262">
        <f>IF(G8="已包含在土地购买价格中","0",IF(B1="",'数据-取费表'!B29,IF(G9="全部缴纳",C9+C10,H9)))</f>
        <v>2314</v>
      </c>
      <c r="D8" s="264"/>
      <c r="E8" s="262"/>
      <c r="F8" s="263"/>
      <c r="G8" s="2544" t="s">
        <v>3154</v>
      </c>
    </row>
    <row r="9" spans="1:9" s="256" customFormat="1" ht="13.5" customHeight="1">
      <c r="A9" s="945" t="s">
        <v>800</v>
      </c>
      <c r="B9" s="266" t="s">
        <v>2345</v>
      </c>
      <c r="C9" s="267">
        <f ca="1">ROUND(D9*E9/10000,0)</f>
        <v>1657</v>
      </c>
      <c r="D9" s="1027">
        <f ca="1">IF(B1="",'数据-汇总表'!E5,IF(INDIRECT("'数据-取费表'!c"&amp;$G$1)="住宅",INDIRECT("'数据-取费表'!k"&amp;$G$1),0))</f>
        <v>103555.41999999998</v>
      </c>
      <c r="E9" s="267">
        <f>'数据-取费表'!B27</f>
        <v>160</v>
      </c>
      <c r="F9" s="263"/>
      <c r="G9" s="2545" t="s">
        <v>3211</v>
      </c>
      <c r="H9" s="1385"/>
      <c r="I9" s="2546" t="s">
        <v>2346</v>
      </c>
    </row>
    <row r="10" spans="1:9" s="256" customFormat="1" ht="13.5" customHeight="1">
      <c r="A10" s="945" t="s">
        <v>801</v>
      </c>
      <c r="B10" s="266" t="s">
        <v>2347</v>
      </c>
      <c r="C10" s="267">
        <f ca="1">ROUND(D10*E10/10000,0)</f>
        <v>657</v>
      </c>
      <c r="D10" s="1027">
        <f ca="1">IF(B1="",'数据-汇总表'!E6,IF(INDIRECT("'数据-取费表'!c"&amp;$G$1)="住宅",INDIRECT("'数据-取费表'!s"&amp;$G$1),INDIRECT("'数据-取费表'!k"&amp;$G$1)+INDIRECT("'数据-取费表'!s"&amp;$G$1)))</f>
        <v>32853.400000000023</v>
      </c>
      <c r="E10" s="267">
        <f>'数据-取费表'!B28</f>
        <v>200</v>
      </c>
      <c r="F10" s="263"/>
      <c r="G10" s="268"/>
    </row>
    <row r="11" spans="1:9" s="256" customFormat="1" ht="13.5" hidden="1" customHeight="1">
      <c r="A11" s="269" t="s">
        <v>7</v>
      </c>
      <c r="B11" s="257" t="s">
        <v>2348</v>
      </c>
      <c r="C11" s="253"/>
      <c r="D11" s="1029"/>
      <c r="E11" s="260"/>
      <c r="F11" s="260"/>
      <c r="G11" s="261"/>
    </row>
    <row r="12" spans="1:9" s="256" customFormat="1" ht="13.5" hidden="1" customHeight="1">
      <c r="A12" s="269" t="s">
        <v>8</v>
      </c>
      <c r="B12" s="257" t="s">
        <v>2349</v>
      </c>
      <c r="C12" s="253">
        <v>0</v>
      </c>
      <c r="D12" s="1029"/>
      <c r="E12" s="270"/>
      <c r="F12" s="263">
        <v>3.0499999999999999E-2</v>
      </c>
      <c r="G12" s="261"/>
    </row>
    <row r="13" spans="1:9" s="256" customFormat="1" ht="13.5" hidden="1" customHeight="1">
      <c r="A13" s="269" t="s">
        <v>9</v>
      </c>
      <c r="B13" s="257" t="s">
        <v>2350</v>
      </c>
      <c r="C13" s="253"/>
      <c r="D13" s="1029"/>
      <c r="E13" s="260"/>
      <c r="F13" s="260"/>
      <c r="G13" s="261"/>
    </row>
    <row r="14" spans="1:9" s="256" customFormat="1" ht="13.5" hidden="1" customHeight="1">
      <c r="A14" s="269" t="s">
        <v>10</v>
      </c>
      <c r="B14" s="257" t="s">
        <v>2351</v>
      </c>
      <c r="C14" s="253"/>
      <c r="D14" s="1029"/>
      <c r="E14" s="260"/>
      <c r="F14" s="260"/>
      <c r="G14" s="261" t="s">
        <v>2352</v>
      </c>
    </row>
    <row r="15" spans="1:9" s="256" customFormat="1" ht="13.5" hidden="1" customHeight="1">
      <c r="A15" s="269" t="s">
        <v>11</v>
      </c>
      <c r="B15" s="257" t="s">
        <v>2353</v>
      </c>
      <c r="C15" s="262"/>
      <c r="D15" s="1029"/>
      <c r="E15" s="260"/>
      <c r="F15" s="260"/>
      <c r="G15" s="261" t="s">
        <v>2354</v>
      </c>
    </row>
    <row r="16" spans="1:9" s="256" customFormat="1" ht="13.5" hidden="1" customHeight="1">
      <c r="A16" s="269" t="s">
        <v>12</v>
      </c>
      <c r="B16" s="257" t="s">
        <v>2351</v>
      </c>
      <c r="C16" s="262"/>
      <c r="D16" s="1029"/>
      <c r="E16" s="260"/>
      <c r="F16" s="260"/>
      <c r="G16" s="261"/>
    </row>
    <row r="17" spans="1:7" s="256" customFormat="1" ht="13.5" hidden="1" customHeight="1">
      <c r="A17" s="269" t="s">
        <v>13</v>
      </c>
      <c r="B17" s="257" t="s">
        <v>2355</v>
      </c>
      <c r="C17" s="271"/>
      <c r="D17" s="1030"/>
      <c r="E17" s="271"/>
      <c r="F17" s="271"/>
      <c r="G17" s="261" t="s">
        <v>2354</v>
      </c>
    </row>
    <row r="18" spans="1:7" s="256" customFormat="1" ht="13.5" hidden="1" customHeight="1">
      <c r="A18" s="269" t="s">
        <v>14</v>
      </c>
      <c r="B18" s="257" t="s">
        <v>2356</v>
      </c>
      <c r="C18" s="262">
        <v>0</v>
      </c>
      <c r="D18" s="1029"/>
      <c r="E18" s="260"/>
      <c r="F18" s="263">
        <v>3.0499999999999999E-2</v>
      </c>
      <c r="G18" s="261" t="s">
        <v>2357</v>
      </c>
    </row>
    <row r="19" spans="1:7" s="265" customFormat="1" ht="13.5" customHeight="1">
      <c r="A19" s="297" t="s">
        <v>2358</v>
      </c>
      <c r="B19" s="252" t="s">
        <v>2359</v>
      </c>
      <c r="C19" s="253" t="str">
        <f>IF(G19="已包含在土地取得成本中","0",ROUND(D19*E19/10000,0))</f>
        <v>0</v>
      </c>
      <c r="D19" s="1031">
        <f ca="1">D9+D10</f>
        <v>136408.82</v>
      </c>
      <c r="E19" s="253">
        <f>'数据-取费表'!B31</f>
        <v>200</v>
      </c>
      <c r="F19" s="273"/>
      <c r="G19" s="2544" t="s">
        <v>3155</v>
      </c>
    </row>
    <row r="20" spans="1:7" s="256" customFormat="1" ht="13.5" customHeight="1">
      <c r="A20" s="297" t="s">
        <v>2360</v>
      </c>
      <c r="B20" s="252" t="s">
        <v>2361</v>
      </c>
      <c r="C20" s="274">
        <f>ROUND((C5+C19)*F20,0)</f>
        <v>8462</v>
      </c>
      <c r="D20" s="274"/>
      <c r="E20" s="274"/>
      <c r="F20" s="275">
        <f>'数据-取费表'!B37</f>
        <v>0.02</v>
      </c>
      <c r="G20" s="276" t="s">
        <v>2362</v>
      </c>
    </row>
    <row r="21" spans="1:7" s="256" customFormat="1" ht="13.5" customHeight="1">
      <c r="A21" s="297" t="s">
        <v>2363</v>
      </c>
      <c r="B21" s="252" t="s">
        <v>2364</v>
      </c>
      <c r="C21" s="277">
        <f>F21</f>
        <v>0.02</v>
      </c>
      <c r="D21" s="278" t="s">
        <v>2365</v>
      </c>
      <c r="E21" s="274"/>
      <c r="F21" s="275">
        <f>'数据-取费表'!B38</f>
        <v>0.02</v>
      </c>
      <c r="G21" s="276" t="s">
        <v>2366</v>
      </c>
    </row>
    <row r="22" spans="1:7" s="256" customFormat="1" ht="13.5" customHeight="1">
      <c r="A22" s="297" t="s">
        <v>2367</v>
      </c>
      <c r="B22" s="252" t="s">
        <v>2368</v>
      </c>
      <c r="C22" s="1349">
        <f ca="1">ROUND(SUM(C23:C25),0)</f>
        <v>20296</v>
      </c>
      <c r="D22" s="277">
        <f ca="1">C26</f>
        <v>5.0000000000000001E-4</v>
      </c>
      <c r="E22" s="278" t="s">
        <v>2365</v>
      </c>
      <c r="F22" s="279">
        <f ca="1">'数据-取费表'!B40</f>
        <v>4.7500000000000001E-2</v>
      </c>
      <c r="G22" s="276" t="str">
        <f>IF('数据-取费表'!B22&lt;=1,"单利计息","复利计息")</f>
        <v>复利计息</v>
      </c>
    </row>
    <row r="23" spans="1:7" s="256" customFormat="1" ht="13.5" customHeight="1">
      <c r="A23" s="946" t="s">
        <v>2369</v>
      </c>
      <c r="B23" s="257" t="s">
        <v>2370</v>
      </c>
      <c r="C23" s="1350">
        <f ca="1">ROUND(IF('数据-取费表'!B22&lt;=1,C5*F22*'数据-取费表'!B23,C5*(POWER((1+F22),'数据-取费表'!B23)-1)),0)</f>
        <v>20097</v>
      </c>
      <c r="D23" s="280"/>
      <c r="E23" s="280"/>
      <c r="F23" s="281"/>
      <c r="G23" s="282" t="s">
        <v>2371</v>
      </c>
    </row>
    <row r="24" spans="1:7" s="256" customFormat="1" ht="13.5" customHeight="1">
      <c r="A24" s="946" t="s">
        <v>2372</v>
      </c>
      <c r="B24" s="257" t="s">
        <v>2373</v>
      </c>
      <c r="C24" s="1350">
        <f ca="1">ROUND(IF('数据-取费表'!B22&lt;=1,C19*F22*('数据-取费表'!B19/2+'数据-取费表'!B21),C19*(POWER((1+F22),('数据-取费表'!B19/2+'数据-取费表'!B21))-1)),0)</f>
        <v>0</v>
      </c>
      <c r="D24" s="280"/>
      <c r="E24" s="280"/>
      <c r="F24" s="281"/>
      <c r="G24" s="282" t="s">
        <v>2374</v>
      </c>
    </row>
    <row r="25" spans="1:7" s="256" customFormat="1" ht="24">
      <c r="A25" s="946" t="s">
        <v>2375</v>
      </c>
      <c r="B25" s="257" t="s">
        <v>2376</v>
      </c>
      <c r="C25" s="1350">
        <f ca="1">ROUND(IF('数据-取费表'!B22&lt;=1,C20*F22*'数据-取费表'!B23/2,C20*(POWER((1+F22),'数据-取费表'!B23/2)-1)),0)</f>
        <v>199</v>
      </c>
      <c r="D25" s="280"/>
      <c r="E25" s="283"/>
      <c r="F25" s="281"/>
      <c r="G25" s="284" t="s">
        <v>2377</v>
      </c>
    </row>
    <row r="26" spans="1:7" s="256" customFormat="1">
      <c r="A26" s="946" t="s">
        <v>795</v>
      </c>
      <c r="B26" s="257" t="s">
        <v>2378</v>
      </c>
      <c r="C26" s="280">
        <f ca="1">ROUND(IF('数据-取费表'!B22&lt;=1,F21*F22*'数据-取费表'!B23/2,F21*(POWER((1+F22),'数据-取费表'!B23/2)-1)),4)</f>
        <v>5.0000000000000001E-4</v>
      </c>
      <c r="D26" s="280"/>
      <c r="E26" s="283"/>
      <c r="F26" s="281"/>
      <c r="G26" s="285"/>
    </row>
    <row r="27" spans="1:7" s="256" customFormat="1" ht="24.75">
      <c r="A27" s="297" t="s">
        <v>2379</v>
      </c>
      <c r="B27" s="286" t="s">
        <v>2380</v>
      </c>
      <c r="C27" s="287">
        <f ca="1">C28</f>
        <v>19420</v>
      </c>
      <c r="D27" s="277">
        <f ca="1">C29</f>
        <v>8.9999999999999998E-4</v>
      </c>
      <c r="E27" s="278" t="s">
        <v>2381</v>
      </c>
      <c r="F27" s="288">
        <f ca="1">IF(B1="",'数据-取费表'!Q16,INDIRECT("'数据-取费表'!q"&amp;$G$1))</f>
        <v>0.09</v>
      </c>
      <c r="G27" s="289" t="s">
        <v>2382</v>
      </c>
    </row>
    <row r="28" spans="1:7" s="256" customFormat="1" ht="13.5" customHeight="1">
      <c r="A28" s="946" t="s">
        <v>791</v>
      </c>
      <c r="B28" s="290" t="s">
        <v>2383</v>
      </c>
      <c r="C28" s="291">
        <f ca="1">ROUND((C5+C19+C20)*F27*'数据-取费表'!B21/'数据-取费表'!B20,0)</f>
        <v>19420</v>
      </c>
      <c r="D28" s="277"/>
      <c r="E28" s="278"/>
      <c r="F28" s="288"/>
      <c r="G28" s="289"/>
    </row>
    <row r="29" spans="1:7" s="256" customFormat="1" ht="13.5" customHeight="1">
      <c r="A29" s="946" t="s">
        <v>792</v>
      </c>
      <c r="B29" s="290" t="s">
        <v>2384</v>
      </c>
      <c r="C29" s="280">
        <f ca="1">ROUND(C21*F27*'数据-取费表'!B21/'数据-取费表'!B20,4)</f>
        <v>8.9999999999999998E-4</v>
      </c>
      <c r="D29" s="277"/>
      <c r="E29" s="278"/>
      <c r="F29" s="288"/>
      <c r="G29" s="289"/>
    </row>
    <row r="30" spans="1:7" s="256" customFormat="1" ht="13.5" customHeight="1">
      <c r="A30" s="297" t="s">
        <v>2385</v>
      </c>
      <c r="B30" s="252" t="s">
        <v>2386</v>
      </c>
      <c r="C30" s="277">
        <f>ROUND(F30/(1+'数据-取费表'!C42),4)</f>
        <v>5.33E-2</v>
      </c>
      <c r="D30" s="278" t="s">
        <v>2381</v>
      </c>
      <c r="E30" s="283"/>
      <c r="F30" s="279">
        <f>'数据-取费表'!B41</f>
        <v>5.6000000000000001E-2</v>
      </c>
      <c r="G30" s="276" t="s">
        <v>2387</v>
      </c>
    </row>
    <row r="31" spans="1:7" ht="16.5" customHeight="1">
      <c r="A31" s="251">
        <v>1</v>
      </c>
      <c r="B31" s="252" t="s">
        <v>2388</v>
      </c>
      <c r="C31" s="253">
        <f ca="1">ROUND((C5+C19+C20+C22+C27)/(1-C21-D22-D27-C30),0)</f>
        <v>509327</v>
      </c>
      <c r="D31" s="272"/>
      <c r="E31" s="253"/>
      <c r="F31" s="292"/>
      <c r="G31" s="276" t="s">
        <v>2389</v>
      </c>
    </row>
    <row r="32" spans="1:7" s="250" customFormat="1" ht="15.75">
      <c r="A32" s="294" t="s">
        <v>2390</v>
      </c>
      <c r="B32" s="295"/>
      <c r="C32" s="295"/>
      <c r="D32" s="295"/>
      <c r="E32" s="295"/>
      <c r="F32" s="295"/>
      <c r="G32" s="296"/>
    </row>
    <row r="33" spans="1:7" s="256" customFormat="1" ht="13.5" customHeight="1">
      <c r="A33" s="297" t="s">
        <v>782</v>
      </c>
      <c r="B33" s="252" t="s">
        <v>2391</v>
      </c>
      <c r="C33" s="298">
        <f ca="1">SUM(C34:C38)</f>
        <v>29039</v>
      </c>
      <c r="D33" s="274"/>
      <c r="E33" s="254"/>
      <c r="F33" s="283"/>
      <c r="G33" s="276"/>
    </row>
    <row r="34" spans="1:7" s="300" customFormat="1" ht="13.5" customHeight="1">
      <c r="A34" s="946" t="s">
        <v>791</v>
      </c>
      <c r="B34" s="257" t="s">
        <v>2392</v>
      </c>
      <c r="C34" s="262">
        <f ca="1">IF(B1="",IF(F34=100%,'数据-取费表'!M16,'数据-取费表'!O16),IF(F34=100%,INDIRECT("'数据-取费表'!m"&amp;$G$1)+INDIRECT("'数据-取费表'!t"&amp;$G$1),INDIRECT("'数据-取费表'!o"&amp;$G$1)+INDIRECT("'数据-取费表'!aq"&amp;$G$1)))</f>
        <v>25514</v>
      </c>
      <c r="D34" s="259"/>
      <c r="E34" s="262"/>
      <c r="F34" s="299">
        <f ca="1">IF('数据-取费表'!B24=0,1,IF(B1="",'数据-取费表'!N16,INDIRECT("'数据-取费表'!n"&amp;$G$1)))</f>
        <v>0.47</v>
      </c>
      <c r="G34" s="261" t="s">
        <v>2393</v>
      </c>
    </row>
    <row r="35" spans="1:7" ht="13.5" customHeight="1">
      <c r="A35" s="946" t="s">
        <v>796</v>
      </c>
      <c r="B35" s="257" t="s">
        <v>2394</v>
      </c>
      <c r="C35" s="262">
        <f ca="1">ROUND(C34*F35,0)</f>
        <v>765</v>
      </c>
      <c r="D35" s="262"/>
      <c r="E35" s="262"/>
      <c r="F35" s="301">
        <f>'数据-取费表'!B33</f>
        <v>0.03</v>
      </c>
      <c r="G35" s="261" t="s">
        <v>2395</v>
      </c>
    </row>
    <row r="36" spans="1:7" ht="24">
      <c r="A36" s="946" t="s">
        <v>797</v>
      </c>
      <c r="B36" s="257" t="s">
        <v>2396</v>
      </c>
      <c r="C36" s="262">
        <f ca="1">ROUND(IF(B1="",SUMIF('数据-取费表'!C:C,"住宅",IF(F34=100%,'数据-取费表'!M:M,'数据-取费表'!O:O))*F36,IF(INDIRECT("'数据-取费表'!c"&amp;$G$1)="住宅",IF(F34=100%,INDIRECT("'数据-取费表'!m"&amp;$G$1)*F36,INDIRECT("'数据-取费表'!o"&amp;$G$1)*F36),0)),0)</f>
        <v>1095</v>
      </c>
      <c r="D36" s="262"/>
      <c r="E36" s="262"/>
      <c r="F36" s="301">
        <f>'数据-取费表'!B34</f>
        <v>0.05</v>
      </c>
      <c r="G36" s="302" t="s">
        <v>2397</v>
      </c>
    </row>
    <row r="37" spans="1:7" s="300" customFormat="1" ht="13.5" customHeight="1">
      <c r="A37" s="946" t="s">
        <v>798</v>
      </c>
      <c r="B37" s="257" t="s">
        <v>2398</v>
      </c>
      <c r="C37" s="291">
        <f ca="1">ROUND(E37*D37*F34/10000,0)</f>
        <v>1282</v>
      </c>
      <c r="D37" s="259">
        <f ca="1">D19</f>
        <v>136408.82</v>
      </c>
      <c r="E37" s="291">
        <f>'数据-取费表'!B35</f>
        <v>200</v>
      </c>
      <c r="F37" s="301"/>
      <c r="G37" s="303" t="s">
        <v>2399</v>
      </c>
    </row>
    <row r="38" spans="1:7" ht="13.5" customHeight="1">
      <c r="A38" s="946" t="s">
        <v>799</v>
      </c>
      <c r="B38" s="257" t="s">
        <v>2400</v>
      </c>
      <c r="C38" s="262">
        <f ca="1">ROUND(C34*F38,0)</f>
        <v>383</v>
      </c>
      <c r="D38" s="262"/>
      <c r="E38" s="262"/>
      <c r="F38" s="301">
        <f>'数据-取费表'!B36</f>
        <v>1.4999999999999999E-2</v>
      </c>
      <c r="G38" s="261" t="s">
        <v>2395</v>
      </c>
    </row>
    <row r="39" spans="1:7" s="256" customFormat="1" ht="13.5" customHeight="1">
      <c r="A39" s="297" t="s">
        <v>2401</v>
      </c>
      <c r="B39" s="252" t="s">
        <v>2402</v>
      </c>
      <c r="C39" s="274">
        <f ca="1">ROUND(C33*F20,0)</f>
        <v>581</v>
      </c>
      <c r="D39" s="274"/>
      <c r="E39" s="274"/>
      <c r="F39" s="275"/>
      <c r="G39" s="276" t="s">
        <v>2403</v>
      </c>
    </row>
    <row r="40" spans="1:7" s="256" customFormat="1" ht="13.5" customHeight="1">
      <c r="A40" s="297" t="s">
        <v>2404</v>
      </c>
      <c r="B40" s="252" t="s">
        <v>2405</v>
      </c>
      <c r="C40" s="1724">
        <f>F21</f>
        <v>0.02</v>
      </c>
      <c r="D40" s="278" t="s">
        <v>2406</v>
      </c>
      <c r="E40" s="274"/>
      <c r="F40" s="275"/>
      <c r="G40" s="276" t="s">
        <v>2407</v>
      </c>
    </row>
    <row r="41" spans="1:7" s="256" customFormat="1" ht="13.5" customHeight="1">
      <c r="A41" s="297" t="s">
        <v>2408</v>
      </c>
      <c r="B41" s="252" t="s">
        <v>2409</v>
      </c>
      <c r="C41" s="274">
        <f ca="1">ROUND(SUM(C42:C43),0)</f>
        <v>696</v>
      </c>
      <c r="D41" s="277">
        <f ca="1">C44</f>
        <v>5.0000000000000001E-4</v>
      </c>
      <c r="E41" s="278" t="s">
        <v>2406</v>
      </c>
      <c r="F41" s="279"/>
      <c r="G41" s="276" t="str">
        <f>IF('数据-取费表'!B22&lt;=1,"单利计息","复利计息")</f>
        <v>复利计息</v>
      </c>
    </row>
    <row r="42" spans="1:7" ht="13.5" customHeight="1">
      <c r="A42" s="946" t="s">
        <v>791</v>
      </c>
      <c r="B42" s="257" t="s">
        <v>2410</v>
      </c>
      <c r="C42" s="280">
        <f ca="1">ROUND(IF('数据-取费表'!B22&lt;=1,C33*F22*'数据-取费表'!B21/2,C33*(POWER((1+F22),'数据-取费表'!B21/2)-1)),0)</f>
        <v>682</v>
      </c>
      <c r="D42" s="280"/>
      <c r="E42" s="280"/>
      <c r="F42" s="281"/>
      <c r="G42" s="3203" t="s">
        <v>2411</v>
      </c>
    </row>
    <row r="43" spans="1:7" ht="13.5" customHeight="1">
      <c r="A43" s="946" t="s">
        <v>792</v>
      </c>
      <c r="B43" s="257" t="s">
        <v>2412</v>
      </c>
      <c r="C43" s="280">
        <f ca="1">ROUND(IF('数据-取费表'!B22&lt;=1,C39*F22*'数据-取费表'!B21/2,C39*(POWER((1+F22),'数据-取费表'!B21/2)-1)),0)</f>
        <v>14</v>
      </c>
      <c r="D43" s="280"/>
      <c r="E43" s="280"/>
      <c r="F43" s="281"/>
      <c r="G43" s="3204"/>
    </row>
    <row r="44" spans="1:7" ht="13.5" customHeight="1">
      <c r="A44" s="946" t="s">
        <v>793</v>
      </c>
      <c r="B44" s="257" t="s">
        <v>2413</v>
      </c>
      <c r="C44" s="280">
        <f ca="1">ROUND(IF('数据-取费表'!B22&lt;=1,C40*F22*'数据-取费表'!B21/2,C40*(POWER((1+F22),'数据-取费表'!B21/2)-1)),4)</f>
        <v>5.0000000000000001E-4</v>
      </c>
      <c r="D44" s="280"/>
      <c r="E44" s="280"/>
      <c r="F44" s="281"/>
      <c r="G44" s="3205"/>
    </row>
    <row r="45" spans="1:7" s="256" customFormat="1" ht="13.5" customHeight="1">
      <c r="A45" s="297" t="s">
        <v>2414</v>
      </c>
      <c r="B45" s="286" t="s">
        <v>2380</v>
      </c>
      <c r="C45" s="287">
        <f ca="1">C46</f>
        <v>2666</v>
      </c>
      <c r="D45" s="277">
        <f ca="1">C47</f>
        <v>1.8E-3</v>
      </c>
      <c r="E45" s="278" t="s">
        <v>2406</v>
      </c>
      <c r="F45" s="288"/>
      <c r="G45" s="289" t="s">
        <v>2415</v>
      </c>
    </row>
    <row r="46" spans="1:7" s="256" customFormat="1" ht="13.5" customHeight="1">
      <c r="A46" s="946" t="s">
        <v>791</v>
      </c>
      <c r="B46" s="290" t="s">
        <v>2416</v>
      </c>
      <c r="C46" s="291">
        <f ca="1">ROUND((C33+C39)*F27,0)</f>
        <v>2666</v>
      </c>
      <c r="D46" s="305"/>
      <c r="E46" s="278"/>
      <c r="F46" s="288"/>
      <c r="G46" s="289"/>
    </row>
    <row r="47" spans="1:7" s="256" customFormat="1" ht="13.5" customHeight="1">
      <c r="A47" s="946" t="s">
        <v>792</v>
      </c>
      <c r="B47" s="290" t="s">
        <v>2417</v>
      </c>
      <c r="C47" s="280">
        <f ca="1">ROUND(C40*F27,4)</f>
        <v>1.8E-3</v>
      </c>
      <c r="D47" s="305"/>
      <c r="E47" s="278"/>
      <c r="F47" s="288"/>
      <c r="G47" s="289"/>
    </row>
    <row r="48" spans="1:7" s="256" customFormat="1" ht="13.5" customHeight="1">
      <c r="A48" s="297" t="s">
        <v>2379</v>
      </c>
      <c r="B48" s="252" t="s">
        <v>2418</v>
      </c>
      <c r="C48" s="1724">
        <f>ROUND(F30/(1+'数据-取费表'!C42),4)</f>
        <v>5.33E-2</v>
      </c>
      <c r="D48" s="278" t="s">
        <v>2406</v>
      </c>
      <c r="E48" s="274"/>
      <c r="F48" s="279"/>
      <c r="G48" s="276" t="s">
        <v>2419</v>
      </c>
    </row>
    <row r="49" spans="1:7" ht="16.5" customHeight="1">
      <c r="A49" s="297" t="s">
        <v>2385</v>
      </c>
      <c r="B49" s="252" t="s">
        <v>2420</v>
      </c>
      <c r="C49" s="274">
        <f ca="1">ROUND((C33+C39+C41+C45)/(1-C40-D41-D45-C48),0)</f>
        <v>35679</v>
      </c>
      <c r="D49" s="274"/>
      <c r="E49" s="274"/>
      <c r="F49" s="306"/>
      <c r="G49" s="276" t="s">
        <v>2421</v>
      </c>
    </row>
    <row r="50" spans="1:7" s="300" customFormat="1" ht="24">
      <c r="A50" s="297" t="s">
        <v>2422</v>
      </c>
      <c r="B50" s="252" t="s">
        <v>2423</v>
      </c>
      <c r="C50" s="274"/>
      <c r="D50" s="274"/>
      <c r="E50" s="274"/>
      <c r="F50" s="306">
        <f>IF('数据-取费表'!B24=0,'数据-取费表'!N16,1)</f>
        <v>1</v>
      </c>
      <c r="G50" s="289" t="s">
        <v>2424</v>
      </c>
    </row>
    <row r="51" spans="1:7" ht="16.5" customHeight="1">
      <c r="A51" s="297" t="s">
        <v>2425</v>
      </c>
      <c r="B51" s="252" t="s">
        <v>2426</v>
      </c>
      <c r="C51" s="274">
        <f ca="1">ROUND(C49*F50,0)</f>
        <v>35679</v>
      </c>
      <c r="D51" s="274"/>
      <c r="E51" s="274"/>
      <c r="F51" s="306"/>
      <c r="G51" s="276" t="s">
        <v>2427</v>
      </c>
    </row>
    <row r="52" spans="1:7" s="250" customFormat="1" ht="16.5" thickBot="1">
      <c r="A52" s="307" t="s">
        <v>2428</v>
      </c>
      <c r="B52" s="308"/>
      <c r="C52" s="309">
        <f ca="1">C31+C51</f>
        <v>545006</v>
      </c>
      <c r="D52" s="308"/>
      <c r="E52" s="308"/>
      <c r="F52" s="308"/>
      <c r="G52" s="310"/>
    </row>
    <row r="55" spans="1:7" ht="15">
      <c r="B55" s="312" t="s">
        <v>2429</v>
      </c>
      <c r="C55" s="313"/>
    </row>
    <row r="56" spans="1:7">
      <c r="B56" s="315" t="s">
        <v>1515</v>
      </c>
      <c r="C56" s="317">
        <f ca="1">1-C57</f>
        <v>0.93500000000000005</v>
      </c>
    </row>
    <row r="57" spans="1:7">
      <c r="B57" s="315" t="s">
        <v>1516</v>
      </c>
      <c r="C57" s="316">
        <f ca="1">ROUND(C51/C52,3)</f>
        <v>6.5000000000000002E-2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2328</v>
      </c>
      <c r="B1" s="1933"/>
      <c r="C1" s="2547" t="s">
        <v>2430</v>
      </c>
      <c r="D1" s="240"/>
      <c r="E1" s="240"/>
      <c r="F1" s="240"/>
      <c r="G1" s="1374">
        <f>MATCH(B1,'数据-取费表'!A6:A16,0)+5</f>
        <v>10</v>
      </c>
      <c r="H1" s="1277" t="str">
        <f>IF(ISERROR(FIND("住宅",B1)),"非住宅","住宅")</f>
        <v>非住宅</v>
      </c>
    </row>
    <row r="2" spans="1:8" s="242" customFormat="1" ht="18" customHeight="1">
      <c r="A2" s="243" t="s">
        <v>2329</v>
      </c>
      <c r="B2" s="244">
        <f ca="1">ROUND(IF(D2="——",C52/10000,C52/10000-E2),0)</f>
        <v>84197</v>
      </c>
      <c r="C2" s="241" t="s">
        <v>2330</v>
      </c>
      <c r="D2" s="2541" t="s">
        <v>70</v>
      </c>
      <c r="E2" s="1435" t="e">
        <f ca="1">SUMIF(INDIRECT("'"&amp;G2&amp;"'"&amp;"!A:A"),"承租人权益价值",INDIRECT("'"&amp;G2&amp;"'"&amp;"!c:c"))</f>
        <v>#REF!</v>
      </c>
      <c r="F2" s="2542" t="s">
        <v>2330</v>
      </c>
      <c r="G2" s="2543"/>
    </row>
    <row r="3" spans="1:8" s="242" customFormat="1" ht="18" customHeight="1" thickBot="1">
      <c r="A3" s="245" t="s">
        <v>2331</v>
      </c>
      <c r="B3" s="246">
        <f ca="1">ROUND(B2*10000/(IF(B1="",'数据-汇总表'!E3,INDIRECT("'数据-取费表'!k"&amp;$G$1))),0)</f>
        <v>6172</v>
      </c>
      <c r="C3" s="241" t="s">
        <v>2332</v>
      </c>
      <c r="D3" s="241"/>
      <c r="E3" s="241"/>
      <c r="F3" s="241"/>
      <c r="G3" s="241"/>
    </row>
    <row r="4" spans="1:8" s="250" customFormat="1" ht="15.75">
      <c r="A4" s="247" t="s">
        <v>2333</v>
      </c>
      <c r="B4" s="248"/>
      <c r="C4" s="248"/>
      <c r="D4" s="248"/>
      <c r="E4" s="248"/>
      <c r="F4" s="248"/>
      <c r="G4" s="249"/>
    </row>
    <row r="5" spans="1:8" s="256" customFormat="1" ht="13.5" customHeight="1">
      <c r="A5" s="297" t="s">
        <v>2334</v>
      </c>
      <c r="B5" s="252" t="s">
        <v>2335</v>
      </c>
      <c r="C5" s="253">
        <f ca="1">C6+C7+C8</f>
        <v>23139547</v>
      </c>
      <c r="D5" s="253" t="s">
        <v>2336</v>
      </c>
      <c r="E5" s="254" t="s">
        <v>2337</v>
      </c>
      <c r="F5" s="254" t="s">
        <v>2338</v>
      </c>
      <c r="G5" s="255"/>
    </row>
    <row r="6" spans="1:8" s="256" customFormat="1" ht="13.5" customHeight="1">
      <c r="A6" s="944" t="s">
        <v>2339</v>
      </c>
      <c r="B6" s="257" t="s">
        <v>2340</v>
      </c>
      <c r="C6" s="258"/>
      <c r="D6" s="259"/>
      <c r="E6" s="260"/>
      <c r="F6" s="260"/>
      <c r="G6" s="261"/>
    </row>
    <row r="7" spans="1:8" s="256" customFormat="1" ht="13.5" customHeight="1">
      <c r="A7" s="944" t="s">
        <v>2341</v>
      </c>
      <c r="B7" s="257" t="s">
        <v>2342</v>
      </c>
      <c r="C7" s="262">
        <f>ROUND(C6*F7,0)</f>
        <v>0</v>
      </c>
      <c r="D7" s="262"/>
      <c r="E7" s="260"/>
      <c r="F7" s="263">
        <f>'数据-取费表'!B48+'数据-取费表'!B49</f>
        <v>3.0499999999999999E-2</v>
      </c>
      <c r="G7" s="261"/>
    </row>
    <row r="8" spans="1:8" s="265" customFormat="1">
      <c r="A8" s="944" t="s">
        <v>2343</v>
      </c>
      <c r="B8" s="257" t="s">
        <v>2344</v>
      </c>
      <c r="C8" s="262">
        <f ca="1">IF(G8="已包含在土地购买价格中",0,C9+C10)</f>
        <v>23139547</v>
      </c>
      <c r="D8" s="264"/>
      <c r="E8" s="262"/>
      <c r="F8" s="263"/>
      <c r="G8" s="2544"/>
    </row>
    <row r="9" spans="1:8" s="256" customFormat="1" ht="13.5" customHeight="1">
      <c r="A9" s="945" t="s">
        <v>800</v>
      </c>
      <c r="B9" s="266" t="s">
        <v>2345</v>
      </c>
      <c r="C9" s="267">
        <f ca="1">ROUND(D9*E9,0)</f>
        <v>16568867</v>
      </c>
      <c r="D9" s="1027">
        <f ca="1">IF(B1="",'数据-汇总表'!E5,IF(INDIRECT("'数据-取费表'!c"&amp;$G$1)="住宅",INDIRECT("'数据-取费表'!k"&amp;$G$1),0))</f>
        <v>103555.41999999998</v>
      </c>
      <c r="E9" s="267">
        <f>'数据-取费表'!B27</f>
        <v>160</v>
      </c>
      <c r="F9" s="263"/>
      <c r="G9" s="268"/>
    </row>
    <row r="10" spans="1:8" s="256" customFormat="1" ht="13.5" customHeight="1">
      <c r="A10" s="945" t="s">
        <v>801</v>
      </c>
      <c r="B10" s="266" t="s">
        <v>2347</v>
      </c>
      <c r="C10" s="267">
        <f ca="1">ROUND(D10*E10,0)</f>
        <v>6570680</v>
      </c>
      <c r="D10" s="1027">
        <f ca="1">IF(B1="",'数据-汇总表'!E6,IF(INDIRECT("'数据-取费表'!c"&amp;$G$1)="住宅",INDIRECT("'数据-取费表'!s"&amp;$G$1),INDIRECT("'数据-取费表'!k"&amp;$G$1)+INDIRECT("'数据-取费表'!s"&amp;$G$1)))</f>
        <v>32853.400000000023</v>
      </c>
      <c r="E10" s="267">
        <f>'数据-取费表'!B28</f>
        <v>200</v>
      </c>
      <c r="F10" s="263"/>
      <c r="G10" s="268"/>
    </row>
    <row r="11" spans="1:8" s="256" customFormat="1" ht="13.5" hidden="1" customHeight="1">
      <c r="A11" s="269" t="s">
        <v>7</v>
      </c>
      <c r="B11" s="257" t="s">
        <v>2348</v>
      </c>
      <c r="C11" s="253"/>
      <c r="D11" s="1029"/>
      <c r="E11" s="260"/>
      <c r="F11" s="260"/>
      <c r="G11" s="261"/>
    </row>
    <row r="12" spans="1:8" s="256" customFormat="1" ht="13.5" hidden="1" customHeight="1">
      <c r="A12" s="269" t="s">
        <v>8</v>
      </c>
      <c r="B12" s="257" t="s">
        <v>2431</v>
      </c>
      <c r="C12" s="253">
        <v>0</v>
      </c>
      <c r="D12" s="1029"/>
      <c r="E12" s="270"/>
      <c r="F12" s="263">
        <v>3.0499999999999999E-2</v>
      </c>
      <c r="G12" s="261"/>
    </row>
    <row r="13" spans="1:8" s="256" customFormat="1" ht="13.5" hidden="1" customHeight="1">
      <c r="A13" s="269" t="s">
        <v>9</v>
      </c>
      <c r="B13" s="257" t="s">
        <v>2432</v>
      </c>
      <c r="C13" s="253"/>
      <c r="D13" s="1029"/>
      <c r="E13" s="260"/>
      <c r="F13" s="260"/>
      <c r="G13" s="261"/>
    </row>
    <row r="14" spans="1:8" s="256" customFormat="1" ht="13.5" hidden="1" customHeight="1">
      <c r="A14" s="269" t="s">
        <v>10</v>
      </c>
      <c r="B14" s="257" t="s">
        <v>2344</v>
      </c>
      <c r="C14" s="253"/>
      <c r="D14" s="1029"/>
      <c r="E14" s="260"/>
      <c r="F14" s="260"/>
      <c r="G14" s="261" t="s">
        <v>2433</v>
      </c>
    </row>
    <row r="15" spans="1:8" s="256" customFormat="1" ht="13.5" hidden="1" customHeight="1">
      <c r="A15" s="269" t="s">
        <v>11</v>
      </c>
      <c r="B15" s="257" t="s">
        <v>2434</v>
      </c>
      <c r="C15" s="262"/>
      <c r="D15" s="1029"/>
      <c r="E15" s="260"/>
      <c r="F15" s="260"/>
      <c r="G15" s="261" t="s">
        <v>2435</v>
      </c>
    </row>
    <row r="16" spans="1:8" s="256" customFormat="1" ht="13.5" hidden="1" customHeight="1">
      <c r="A16" s="269" t="s">
        <v>12</v>
      </c>
      <c r="B16" s="257" t="s">
        <v>2344</v>
      </c>
      <c r="C16" s="262"/>
      <c r="D16" s="1029"/>
      <c r="E16" s="260"/>
      <c r="F16" s="260"/>
      <c r="G16" s="261"/>
    </row>
    <row r="17" spans="1:7" s="256" customFormat="1" ht="13.5" hidden="1" customHeight="1">
      <c r="A17" s="269" t="s">
        <v>13</v>
      </c>
      <c r="B17" s="257" t="s">
        <v>2436</v>
      </c>
      <c r="C17" s="271"/>
      <c r="D17" s="1030"/>
      <c r="E17" s="271"/>
      <c r="F17" s="271"/>
      <c r="G17" s="261" t="s">
        <v>2435</v>
      </c>
    </row>
    <row r="18" spans="1:7" s="256" customFormat="1" ht="13.5" hidden="1" customHeight="1">
      <c r="A18" s="269" t="s">
        <v>14</v>
      </c>
      <c r="B18" s="257" t="s">
        <v>2437</v>
      </c>
      <c r="C18" s="262">
        <v>0</v>
      </c>
      <c r="D18" s="1029"/>
      <c r="E18" s="260"/>
      <c r="F18" s="263">
        <v>3.0499999999999999E-2</v>
      </c>
      <c r="G18" s="261" t="s">
        <v>2438</v>
      </c>
    </row>
    <row r="19" spans="1:7" s="265" customFormat="1" ht="13.5" customHeight="1">
      <c r="A19" s="297" t="s">
        <v>2439</v>
      </c>
      <c r="B19" s="252" t="s">
        <v>2440</v>
      </c>
      <c r="C19" s="253">
        <f ca="1">IF(G19="已包含在土地取得成本中","0",ROUND(D19*E19,0))</f>
        <v>27281764</v>
      </c>
      <c r="D19" s="1031">
        <f ca="1">D9+D10</f>
        <v>136408.82</v>
      </c>
      <c r="E19" s="253">
        <f>'数据-取费表'!B31</f>
        <v>200</v>
      </c>
      <c r="F19" s="273"/>
      <c r="G19" s="2544"/>
    </row>
    <row r="20" spans="1:7" s="256" customFormat="1" ht="13.5" customHeight="1">
      <c r="A20" s="297" t="s">
        <v>2441</v>
      </c>
      <c r="B20" s="252" t="s">
        <v>2442</v>
      </c>
      <c r="C20" s="274">
        <f ca="1">ROUND((C5+C19)*F20,0)</f>
        <v>1008426</v>
      </c>
      <c r="D20" s="274"/>
      <c r="E20" s="274"/>
      <c r="F20" s="275">
        <f>'数据-取费表'!B37</f>
        <v>0.02</v>
      </c>
      <c r="G20" s="276" t="s">
        <v>2443</v>
      </c>
    </row>
    <row r="21" spans="1:7" s="256" customFormat="1" ht="13.5" customHeight="1">
      <c r="A21" s="297" t="s">
        <v>2444</v>
      </c>
      <c r="B21" s="252" t="s">
        <v>2445</v>
      </c>
      <c r="C21" s="277">
        <f>F21</f>
        <v>0.02</v>
      </c>
      <c r="D21" s="278" t="s">
        <v>2446</v>
      </c>
      <c r="E21" s="274"/>
      <c r="F21" s="275">
        <f>'数据-取费表'!B38</f>
        <v>0.02</v>
      </c>
      <c r="G21" s="276" t="s">
        <v>2447</v>
      </c>
    </row>
    <row r="22" spans="1:7" s="256" customFormat="1" ht="13.5" customHeight="1">
      <c r="A22" s="297" t="s">
        <v>2448</v>
      </c>
      <c r="B22" s="252" t="s">
        <v>2449</v>
      </c>
      <c r="C22" s="1375">
        <f ca="1">ROUND(SUM(C23:C25),0)</f>
        <v>4951688</v>
      </c>
      <c r="D22" s="277">
        <f ca="1">C26</f>
        <v>1E-3</v>
      </c>
      <c r="E22" s="278" t="s">
        <v>2446</v>
      </c>
      <c r="F22" s="279">
        <f ca="1">'数据-取费表'!B40</f>
        <v>4.7500000000000001E-2</v>
      </c>
      <c r="G22" s="276" t="str">
        <f>IF('数据-取费表'!B22&lt;=1,"单利计息","复利计息")</f>
        <v>复利计息</v>
      </c>
    </row>
    <row r="23" spans="1:7" s="256" customFormat="1" ht="13.5" customHeight="1">
      <c r="A23" s="946" t="s">
        <v>2339</v>
      </c>
      <c r="B23" s="257" t="s">
        <v>2450</v>
      </c>
      <c r="C23" s="1376">
        <f ca="1">ROUND(IF('数据-取费表'!B22&lt;=1,C5*F22*'数据-取费表'!B22,C5*(POWER((1+F22),'数据-取费表'!B22)-1)),0)</f>
        <v>2250466</v>
      </c>
      <c r="D23" s="280"/>
      <c r="E23" s="280"/>
      <c r="F23" s="281"/>
      <c r="G23" s="282" t="s">
        <v>2451</v>
      </c>
    </row>
    <row r="24" spans="1:7" s="256" customFormat="1" ht="13.5" customHeight="1">
      <c r="A24" s="946" t="s">
        <v>2341</v>
      </c>
      <c r="B24" s="257" t="s">
        <v>2452</v>
      </c>
      <c r="C24" s="1376">
        <f ca="1">ROUND(IF('数据-取费表'!B22&lt;=1,C19*F22*('数据-取费表'!B19/2+'数据-取费表'!B20),C19*(POWER((1+F22),('数据-取费表'!B19/2+'数据-取费表'!B20))-1)),0)</f>
        <v>2653322</v>
      </c>
      <c r="D24" s="280"/>
      <c r="E24" s="280"/>
      <c r="F24" s="281"/>
      <c r="G24" s="282" t="s">
        <v>2453</v>
      </c>
    </row>
    <row r="25" spans="1:7" s="256" customFormat="1" ht="24">
      <c r="A25" s="946" t="s">
        <v>2343</v>
      </c>
      <c r="B25" s="257" t="s">
        <v>2454</v>
      </c>
      <c r="C25" s="1376">
        <f ca="1">ROUND(IF('数据-取费表'!B22&lt;=1,C20*F22*'数据-取费表'!B22/2,C20*(POWER((1+F22),'数据-取费表'!B22/2)-1)),0)</f>
        <v>47900</v>
      </c>
      <c r="D25" s="280"/>
      <c r="E25" s="283"/>
      <c r="F25" s="281"/>
      <c r="G25" s="284" t="s">
        <v>2455</v>
      </c>
    </row>
    <row r="26" spans="1:7" s="256" customFormat="1">
      <c r="A26" s="946" t="s">
        <v>795</v>
      </c>
      <c r="B26" s="257" t="s">
        <v>2378</v>
      </c>
      <c r="C26" s="280">
        <f ca="1">ROUND(IF('数据-取费表'!B22&lt;=1,F21*F22*'数据-取费表'!B22/2,F21*(POWER((1+F22),'数据-取费表'!B22/2)-1)),4)</f>
        <v>1E-3</v>
      </c>
      <c r="D26" s="280"/>
      <c r="E26" s="283"/>
      <c r="F26" s="281"/>
      <c r="G26" s="285"/>
    </row>
    <row r="27" spans="1:7" s="256" customFormat="1" ht="24.75">
      <c r="A27" s="297" t="s">
        <v>2379</v>
      </c>
      <c r="B27" s="286" t="s">
        <v>2380</v>
      </c>
      <c r="C27" s="287">
        <f ca="1">C28</f>
        <v>4628676</v>
      </c>
      <c r="D27" s="277">
        <f ca="1">C29</f>
        <v>1.8E-3</v>
      </c>
      <c r="E27" s="278" t="s">
        <v>2381</v>
      </c>
      <c r="F27" s="288">
        <f ca="1">IF(B1="",'数据-取费表'!Q16,INDIRECT("'数据-取费表'!q"&amp;$G$1))</f>
        <v>0.09</v>
      </c>
      <c r="G27" s="289" t="s">
        <v>2382</v>
      </c>
    </row>
    <row r="28" spans="1:7" s="256" customFormat="1" ht="13.5" customHeight="1">
      <c r="A28" s="946" t="s">
        <v>791</v>
      </c>
      <c r="B28" s="290" t="s">
        <v>2383</v>
      </c>
      <c r="C28" s="291">
        <f ca="1">ROUND((C5+C19+C20)*F27,0)</f>
        <v>4628676</v>
      </c>
      <c r="D28" s="277"/>
      <c r="E28" s="278"/>
      <c r="F28" s="288"/>
      <c r="G28" s="289"/>
    </row>
    <row r="29" spans="1:7" s="256" customFormat="1" ht="13.5" customHeight="1">
      <c r="A29" s="946" t="s">
        <v>792</v>
      </c>
      <c r="B29" s="290" t="s">
        <v>2384</v>
      </c>
      <c r="C29" s="280">
        <f ca="1">ROUND(C21*F27,4)</f>
        <v>1.8E-3</v>
      </c>
      <c r="D29" s="277"/>
      <c r="E29" s="278"/>
      <c r="F29" s="288"/>
      <c r="G29" s="289"/>
    </row>
    <row r="30" spans="1:7" s="256" customFormat="1" ht="13.5" customHeight="1">
      <c r="A30" s="297" t="s">
        <v>2385</v>
      </c>
      <c r="B30" s="252" t="s">
        <v>2386</v>
      </c>
      <c r="C30" s="277">
        <f>ROUND(F30/(1+'数据-取费表'!C42),4)</f>
        <v>5.33E-2</v>
      </c>
      <c r="D30" s="278" t="s">
        <v>2381</v>
      </c>
      <c r="E30" s="283"/>
      <c r="F30" s="279">
        <f>'数据-取费表'!B41</f>
        <v>5.6000000000000001E-2</v>
      </c>
      <c r="G30" s="276" t="s">
        <v>2387</v>
      </c>
    </row>
    <row r="31" spans="1:7" ht="16.5" customHeight="1">
      <c r="A31" s="251">
        <v>1</v>
      </c>
      <c r="B31" s="252" t="s">
        <v>2388</v>
      </c>
      <c r="C31" s="253">
        <f ca="1">ROUND((C5+C19+C20+C22+C27)/(1-C21-D22-D27-C30),0)</f>
        <v>66035395</v>
      </c>
      <c r="D31" s="272"/>
      <c r="E31" s="253"/>
      <c r="F31" s="292"/>
      <c r="G31" s="276" t="s">
        <v>2389</v>
      </c>
    </row>
    <row r="32" spans="1:7" s="250" customFormat="1" ht="15.75">
      <c r="A32" s="294" t="s">
        <v>2456</v>
      </c>
      <c r="B32" s="295"/>
      <c r="C32" s="295"/>
      <c r="D32" s="295"/>
      <c r="E32" s="295"/>
      <c r="F32" s="295"/>
      <c r="G32" s="296"/>
    </row>
    <row r="33" spans="1:7" s="256" customFormat="1" ht="13.5" customHeight="1">
      <c r="A33" s="297" t="s">
        <v>782</v>
      </c>
      <c r="B33" s="252" t="s">
        <v>2457</v>
      </c>
      <c r="C33" s="298">
        <f ca="1">SUM(C34:C38)</f>
        <v>617871047</v>
      </c>
      <c r="D33" s="274"/>
      <c r="E33" s="254"/>
      <c r="F33" s="283"/>
      <c r="G33" s="276"/>
    </row>
    <row r="34" spans="1:7" s="300" customFormat="1" ht="13.5" customHeight="1">
      <c r="A34" s="946" t="s">
        <v>791</v>
      </c>
      <c r="B34" s="257" t="s">
        <v>2392</v>
      </c>
      <c r="C34" s="262">
        <f ca="1">ROUND(IF(B1="",SUMPRODUCT('数据-取费表'!K6:K14,'数据-取费表'!L6:L14),INDIRECT("'数据-取费表'!l"&amp;$G$1)*INDIRECT("'数据-取费表'!k"&amp;$G$1)+'数据-取费表'!L14*INDIRECT("'数据-取费表'!S"&amp;$G$1)),0)</f>
        <v>542860586</v>
      </c>
      <c r="D34" s="259"/>
      <c r="E34" s="262"/>
      <c r="F34" s="299"/>
      <c r="G34" s="261"/>
    </row>
    <row r="35" spans="1:7" ht="13.5" customHeight="1">
      <c r="A35" s="946" t="s">
        <v>796</v>
      </c>
      <c r="B35" s="257" t="s">
        <v>2394</v>
      </c>
      <c r="C35" s="262">
        <f ca="1">ROUND(C34*F35,0)</f>
        <v>16285818</v>
      </c>
      <c r="D35" s="262"/>
      <c r="E35" s="262"/>
      <c r="F35" s="301">
        <f>'数据-取费表'!B33</f>
        <v>0.03</v>
      </c>
      <c r="G35" s="261" t="s">
        <v>2395</v>
      </c>
    </row>
    <row r="36" spans="1:7" ht="24">
      <c r="A36" s="946" t="s">
        <v>797</v>
      </c>
      <c r="B36" s="257" t="s">
        <v>2396</v>
      </c>
      <c r="C36" s="262">
        <f ca="1">ROUND(IF(B1="",SUM('数据-取费表'!AP6:AP13)*F36,IF(INDIRECT("'数据-取费表'!c"&amp;$G$1)="住宅",INDIRECT("'数据-取费表'!k"&amp;$G$1)*INDIRECT("'数据-取费表'!l"&amp;$G$1)*F36,0)),0)</f>
        <v>23299970</v>
      </c>
      <c r="D36" s="262"/>
      <c r="E36" s="262"/>
      <c r="F36" s="301">
        <f>'数据-取费表'!B34</f>
        <v>0.05</v>
      </c>
      <c r="G36" s="302" t="s">
        <v>2397</v>
      </c>
    </row>
    <row r="37" spans="1:7" s="300" customFormat="1" ht="13.5" customHeight="1">
      <c r="A37" s="946" t="s">
        <v>798</v>
      </c>
      <c r="B37" s="257" t="s">
        <v>2398</v>
      </c>
      <c r="C37" s="291">
        <f ca="1">ROUND(E37*D37,0)</f>
        <v>27281764</v>
      </c>
      <c r="D37" s="259">
        <f ca="1">D19</f>
        <v>136408.82</v>
      </c>
      <c r="E37" s="291">
        <f>'数据-取费表'!B35</f>
        <v>200</v>
      </c>
      <c r="F37" s="301"/>
      <c r="G37" s="303"/>
    </row>
    <row r="38" spans="1:7" ht="13.5" customHeight="1">
      <c r="A38" s="946" t="s">
        <v>799</v>
      </c>
      <c r="B38" s="257" t="s">
        <v>2400</v>
      </c>
      <c r="C38" s="262">
        <f ca="1">ROUND(C34*F38,0)</f>
        <v>8142909</v>
      </c>
      <c r="D38" s="262"/>
      <c r="E38" s="262"/>
      <c r="F38" s="301">
        <f>'数据-取费表'!B36</f>
        <v>1.4999999999999999E-2</v>
      </c>
      <c r="G38" s="261" t="s">
        <v>2395</v>
      </c>
    </row>
    <row r="39" spans="1:7" s="256" customFormat="1" ht="13.5" customHeight="1">
      <c r="A39" s="297" t="s">
        <v>2401</v>
      </c>
      <c r="B39" s="252" t="s">
        <v>2402</v>
      </c>
      <c r="C39" s="274">
        <f ca="1">ROUND(C33*F20,0)</f>
        <v>12357421</v>
      </c>
      <c r="D39" s="274"/>
      <c r="E39" s="274"/>
      <c r="F39" s="275"/>
      <c r="G39" s="276" t="s">
        <v>2403</v>
      </c>
    </row>
    <row r="40" spans="1:7" s="256" customFormat="1" ht="13.5" customHeight="1">
      <c r="A40" s="297" t="s">
        <v>2404</v>
      </c>
      <c r="B40" s="252" t="s">
        <v>2405</v>
      </c>
      <c r="C40" s="1724">
        <f>F21</f>
        <v>0.02</v>
      </c>
      <c r="D40" s="278" t="s">
        <v>2406</v>
      </c>
      <c r="E40" s="274"/>
      <c r="F40" s="275"/>
      <c r="G40" s="276" t="s">
        <v>2407</v>
      </c>
    </row>
    <row r="41" spans="1:7" s="256" customFormat="1" ht="13.5" customHeight="1">
      <c r="A41" s="297" t="s">
        <v>2408</v>
      </c>
      <c r="B41" s="252" t="s">
        <v>2409</v>
      </c>
      <c r="C41" s="274">
        <f ca="1">ROUND(SUM(C42:C43),0)</f>
        <v>29935852</v>
      </c>
      <c r="D41" s="277">
        <f ca="1">C44</f>
        <v>1E-3</v>
      </c>
      <c r="E41" s="278" t="s">
        <v>2406</v>
      </c>
      <c r="F41" s="279"/>
      <c r="G41" s="276" t="str">
        <f>IF('数据-取费表'!B22&lt;=1,"单利计息","复利计息")</f>
        <v>复利计息</v>
      </c>
    </row>
    <row r="42" spans="1:7" ht="13.5" customHeight="1">
      <c r="A42" s="946" t="s">
        <v>791</v>
      </c>
      <c r="B42" s="257" t="s">
        <v>2410</v>
      </c>
      <c r="C42" s="280">
        <f ca="1">ROUND(IF('数据-取费表'!B22&lt;=1,C33*F22*'数据-取费表'!B20/2,C33*(POWER((1+F22),'数据-取费表'!B20/2)-1)),0)</f>
        <v>29348875</v>
      </c>
      <c r="D42" s="280"/>
      <c r="E42" s="280"/>
      <c r="F42" s="281"/>
      <c r="G42" s="3203" t="s">
        <v>2458</v>
      </c>
    </row>
    <row r="43" spans="1:7" ht="13.5" customHeight="1">
      <c r="A43" s="946" t="s">
        <v>792</v>
      </c>
      <c r="B43" s="257" t="s">
        <v>2412</v>
      </c>
      <c r="C43" s="280">
        <f ca="1">ROUND(IF('数据-取费表'!B22&lt;=1,C39*F22*'数据-取费表'!B20/2,C39*(POWER((1+F22),'数据-取费表'!B20/2)-1)),0)</f>
        <v>586977</v>
      </c>
      <c r="D43" s="280"/>
      <c r="E43" s="280"/>
      <c r="F43" s="281"/>
      <c r="G43" s="3204"/>
    </row>
    <row r="44" spans="1:7" ht="13.5" customHeight="1">
      <c r="A44" s="946" t="s">
        <v>793</v>
      </c>
      <c r="B44" s="257" t="s">
        <v>2413</v>
      </c>
      <c r="C44" s="280">
        <f ca="1">ROUND(IF('数据-取费表'!B22&lt;=1,C40*F22*'数据-取费表'!B20/2,C40*(POWER((1+F22),'数据-取费表'!B20/2)-1)),4)</f>
        <v>1E-3</v>
      </c>
      <c r="D44" s="280"/>
      <c r="E44" s="280"/>
      <c r="F44" s="281"/>
      <c r="G44" s="3205"/>
    </row>
    <row r="45" spans="1:7" s="256" customFormat="1" ht="13.5" customHeight="1">
      <c r="A45" s="297" t="s">
        <v>2414</v>
      </c>
      <c r="B45" s="286" t="s">
        <v>2380</v>
      </c>
      <c r="C45" s="287">
        <f ca="1">C46</f>
        <v>56720562</v>
      </c>
      <c r="D45" s="277">
        <f ca="1">C47</f>
        <v>1.8E-3</v>
      </c>
      <c r="E45" s="278" t="s">
        <v>2406</v>
      </c>
      <c r="F45" s="288"/>
      <c r="G45" s="289" t="s">
        <v>2415</v>
      </c>
    </row>
    <row r="46" spans="1:7" s="256" customFormat="1" ht="13.5" customHeight="1">
      <c r="A46" s="946" t="s">
        <v>791</v>
      </c>
      <c r="B46" s="290" t="s">
        <v>2416</v>
      </c>
      <c r="C46" s="291">
        <f ca="1">ROUND((C33+C39)*F27,0)</f>
        <v>56720562</v>
      </c>
      <c r="D46" s="305"/>
      <c r="E46" s="278"/>
      <c r="F46" s="288"/>
      <c r="G46" s="289"/>
    </row>
    <row r="47" spans="1:7" s="256" customFormat="1" ht="13.5" customHeight="1">
      <c r="A47" s="946" t="s">
        <v>792</v>
      </c>
      <c r="B47" s="290" t="s">
        <v>2417</v>
      </c>
      <c r="C47" s="280">
        <f ca="1">ROUND(C40*F27,4)</f>
        <v>1.8E-3</v>
      </c>
      <c r="D47" s="305"/>
      <c r="E47" s="278"/>
      <c r="F47" s="288"/>
      <c r="G47" s="289"/>
    </row>
    <row r="48" spans="1:7" s="256" customFormat="1" ht="13.5" customHeight="1">
      <c r="A48" s="297" t="s">
        <v>2379</v>
      </c>
      <c r="B48" s="252" t="s">
        <v>2418</v>
      </c>
      <c r="C48" s="304">
        <f>ROUND(F30/(1+'数据-取费表'!C42),4)</f>
        <v>5.33E-2</v>
      </c>
      <c r="D48" s="278" t="s">
        <v>2406</v>
      </c>
      <c r="E48" s="274"/>
      <c r="F48" s="279"/>
      <c r="G48" s="276" t="s">
        <v>2419</v>
      </c>
    </row>
    <row r="49" spans="1:7" ht="16.5" customHeight="1">
      <c r="A49" s="297" t="s">
        <v>2385</v>
      </c>
      <c r="B49" s="252" t="s">
        <v>2459</v>
      </c>
      <c r="C49" s="274">
        <f ca="1">ROUND((C33+C39+C41+C45)/(1-C40-D41-D45-C48),0)</f>
        <v>775933415</v>
      </c>
      <c r="D49" s="274"/>
      <c r="E49" s="274"/>
      <c r="F49" s="306"/>
      <c r="G49" s="276" t="s">
        <v>2421</v>
      </c>
    </row>
    <row r="50" spans="1:7" s="300" customFormat="1">
      <c r="A50" s="297" t="s">
        <v>2422</v>
      </c>
      <c r="B50" s="252" t="s">
        <v>2423</v>
      </c>
      <c r="C50" s="274"/>
      <c r="D50" s="274"/>
      <c r="E50" s="274"/>
      <c r="F50" s="306">
        <f>IF('数据-取费表'!B24=0,'数据-取费表'!N16,1)</f>
        <v>1</v>
      </c>
      <c r="G50" s="289"/>
    </row>
    <row r="51" spans="1:7" ht="16.5" customHeight="1">
      <c r="A51" s="297" t="s">
        <v>2425</v>
      </c>
      <c r="B51" s="252" t="s">
        <v>2460</v>
      </c>
      <c r="C51" s="274">
        <f ca="1">ROUND(C49*F50,0)</f>
        <v>775933415</v>
      </c>
      <c r="D51" s="274"/>
      <c r="E51" s="274"/>
      <c r="F51" s="306"/>
      <c r="G51" s="276" t="s">
        <v>2427</v>
      </c>
    </row>
    <row r="52" spans="1:7" s="250" customFormat="1" ht="16.5" thickBot="1">
      <c r="A52" s="307" t="s">
        <v>2428</v>
      </c>
      <c r="B52" s="308"/>
      <c r="C52" s="309">
        <f ca="1">C31+C51</f>
        <v>841968810</v>
      </c>
      <c r="D52" s="308"/>
      <c r="E52" s="308"/>
      <c r="F52" s="308"/>
      <c r="G52" s="310"/>
    </row>
    <row r="55" spans="1:7" ht="15">
      <c r="B55" s="312" t="s">
        <v>2429</v>
      </c>
      <c r="C55" s="313"/>
    </row>
    <row r="56" spans="1:7">
      <c r="B56" s="315" t="s">
        <v>1515</v>
      </c>
      <c r="C56" s="317">
        <f ca="1">1-C57</f>
        <v>7.7999999999999958E-2</v>
      </c>
    </row>
    <row r="57" spans="1:7">
      <c r="B57" s="315" t="s">
        <v>1516</v>
      </c>
      <c r="C57" s="316">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4" sqref="B34"/>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2461</v>
      </c>
      <c r="B1" s="1577"/>
      <c r="C1" s="1578"/>
      <c r="D1" s="1576"/>
      <c r="E1" s="318"/>
      <c r="F1" s="318"/>
      <c r="G1" s="1577"/>
      <c r="H1" s="318"/>
      <c r="I1" s="318"/>
      <c r="J1" s="318"/>
      <c r="K1" s="318">
        <f>MATCH(C1,'数据-取费表'!A6:A16,0)+5</f>
        <v>10</v>
      </c>
    </row>
    <row r="2" spans="1:33" ht="18" customHeight="1">
      <c r="A2" s="243" t="s">
        <v>2329</v>
      </c>
      <c r="B2" s="246">
        <f ca="1">C32</f>
        <v>501038</v>
      </c>
      <c r="C2" s="318" t="s">
        <v>2462</v>
      </c>
      <c r="D2" s="318"/>
      <c r="E2" s="318"/>
      <c r="F2" s="318"/>
      <c r="G2" s="318"/>
      <c r="H2" s="318"/>
      <c r="I2" s="318"/>
      <c r="J2" s="318"/>
      <c r="K2" s="318"/>
    </row>
    <row r="3" spans="1:33" ht="18" customHeight="1" thickBot="1">
      <c r="A3" s="245" t="s">
        <v>2331</v>
      </c>
      <c r="B3" s="246">
        <f ca="1">ROUND(B2*10000/IF(C1="",'数据-汇总表'!E3,INDIRECT("'数据-取费表'!K"&amp;$K$1)),0)</f>
        <v>36731</v>
      </c>
      <c r="C3" s="318" t="s">
        <v>2463</v>
      </c>
      <c r="D3" s="318"/>
      <c r="E3" s="318"/>
      <c r="F3" s="318"/>
      <c r="G3" s="318"/>
      <c r="H3" s="318"/>
      <c r="I3" s="318"/>
      <c r="J3" s="318"/>
      <c r="K3" s="318"/>
    </row>
    <row r="4" spans="1:33" s="951" customFormat="1" ht="16.5" customHeight="1">
      <c r="A4" s="948" t="s">
        <v>2464</v>
      </c>
      <c r="B4" s="949"/>
      <c r="C4" s="991">
        <f ca="1">SUM(C8:K8)</f>
        <v>642298</v>
      </c>
      <c r="D4" s="949"/>
      <c r="E4" s="949"/>
      <c r="F4" s="949"/>
      <c r="G4" s="949"/>
      <c r="H4" s="949"/>
      <c r="I4" s="949"/>
      <c r="J4" s="949"/>
      <c r="K4" s="950"/>
    </row>
    <row r="5" spans="1:33" s="955" customFormat="1" ht="15">
      <c r="A5" s="952" t="s">
        <v>2465</v>
      </c>
      <c r="B5" s="953" t="s">
        <v>2466</v>
      </c>
      <c r="C5" s="2548" t="s">
        <v>3069</v>
      </c>
      <c r="D5" s="2548" t="s">
        <v>1378</v>
      </c>
      <c r="E5" s="2548" t="s">
        <v>3222</v>
      </c>
      <c r="F5" s="2548" t="s">
        <v>3226</v>
      </c>
      <c r="G5" s="2548"/>
      <c r="H5" s="2548"/>
      <c r="I5" s="2548"/>
      <c r="J5" s="2548"/>
      <c r="K5" s="254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2467</v>
      </c>
      <c r="C6" s="957">
        <f>'比较法-住宅'!B3</f>
        <v>59545</v>
      </c>
      <c r="D6" s="957">
        <f ca="1">'收益法-商业'!B3</f>
        <v>23194</v>
      </c>
      <c r="E6" s="957">
        <f ca="1">'收益法-仓储'!B3</f>
        <v>8757</v>
      </c>
      <c r="F6" s="957">
        <f>'比较法-车位'!B3</f>
        <v>8848</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2468</v>
      </c>
      <c r="B7" s="138" t="s">
        <v>2469</v>
      </c>
      <c r="C7" s="319">
        <f>SUMIF('数据-汇总表'!$C19:$C33,假设开发法!C5,'数据-汇总表'!$E19:$E33)</f>
        <v>103555.41999999998</v>
      </c>
      <c r="D7" s="319">
        <f>SUMIF('数据-汇总表'!$C19:$C33,假设开发法!D5,'数据-汇总表'!$E19:$E33)</f>
        <v>2000.56</v>
      </c>
      <c r="E7" s="319">
        <f>SUMIF('数据-汇总表'!$C19:$C33,假设开发法!E5,'数据-汇总表'!$E19:$E33)</f>
        <v>3812.8599999999997</v>
      </c>
      <c r="F7" s="319">
        <f>SUMIF('数据-汇总表'!$C19:$C33,假设开发法!F5,'数据-汇总表'!$E19:$E33)</f>
        <v>20003</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9" t="s">
        <v>2470</v>
      </c>
      <c r="B8" s="175" t="s">
        <v>2471</v>
      </c>
      <c r="C8" s="992">
        <f>'比较法-住宅'!B2</f>
        <v>616621</v>
      </c>
      <c r="D8" s="992">
        <f ca="1">'收益法-商业'!B2</f>
        <v>4640</v>
      </c>
      <c r="E8" s="992">
        <f ca="1">'收益法-仓储'!B2</f>
        <v>3339</v>
      </c>
      <c r="F8" s="993">
        <f>'比较法-车位'!B2</f>
        <v>17698</v>
      </c>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2472</v>
      </c>
      <c r="B9" s="949"/>
      <c r="C9" s="949"/>
      <c r="D9" s="949"/>
      <c r="E9" s="949"/>
      <c r="F9" s="949"/>
      <c r="G9" s="949"/>
      <c r="H9" s="949"/>
      <c r="I9" s="949"/>
      <c r="J9" s="949"/>
      <c r="K9" s="950"/>
    </row>
    <row r="10" spans="1:33" s="965" customFormat="1" ht="13.5" customHeight="1">
      <c r="A10" s="952" t="s">
        <v>2473</v>
      </c>
      <c r="B10" s="8" t="s">
        <v>2474</v>
      </c>
      <c r="C10" s="961" t="s">
        <v>2475</v>
      </c>
      <c r="D10" s="962" t="s">
        <v>2476</v>
      </c>
      <c r="E10" s="962" t="s">
        <v>2477</v>
      </c>
      <c r="F10" s="962" t="s">
        <v>2478</v>
      </c>
      <c r="G10" s="8"/>
      <c r="H10" s="963"/>
      <c r="I10" s="963"/>
      <c r="J10" s="963"/>
      <c r="K10" s="964"/>
    </row>
    <row r="11" spans="1:33" s="970" customFormat="1" ht="13.5" customHeight="1">
      <c r="A11" s="966" t="s">
        <v>1335</v>
      </c>
      <c r="B11" s="967" t="s">
        <v>2479</v>
      </c>
      <c r="C11" s="321">
        <f ca="1">IF(C1="",'数据-取费表'!P16,INDIRECT("'数据-取费表'!p"&amp;$K$1)+INDIRECT("'数据-取费表'!ar"&amp;$K$1))</f>
        <v>28773</v>
      </c>
      <c r="D11" s="968"/>
      <c r="E11" s="373"/>
      <c r="F11" s="969">
        <f ca="1">1-IF('数据-取费表'!B24=0,1,IF(C1="",'数据-取费表'!N16,INDIRECT("'数据-取费表'!n"&amp;$K$1)))</f>
        <v>0.53</v>
      </c>
      <c r="G11" s="8"/>
      <c r="H11" s="963"/>
      <c r="I11" s="963"/>
      <c r="J11" s="963"/>
      <c r="K11" s="964"/>
    </row>
    <row r="12" spans="1:33" s="970" customFormat="1" ht="13.5" customHeight="1">
      <c r="A12" s="966" t="s">
        <v>1336</v>
      </c>
      <c r="B12" s="967" t="s">
        <v>2480</v>
      </c>
      <c r="C12" s="23">
        <f ca="1">ROUND(C11*F12,0)</f>
        <v>863</v>
      </c>
      <c r="D12" s="968"/>
      <c r="E12" s="373"/>
      <c r="F12" s="971">
        <f>'数据-取费表'!B33</f>
        <v>0.03</v>
      </c>
      <c r="G12" s="8" t="s">
        <v>2481</v>
      </c>
      <c r="H12" s="963"/>
      <c r="I12" s="963"/>
      <c r="J12" s="963"/>
      <c r="K12" s="964"/>
    </row>
    <row r="13" spans="1:33" s="970" customFormat="1" ht="13.5" customHeight="1">
      <c r="A13" s="966" t="s">
        <v>1337</v>
      </c>
      <c r="B13" s="967" t="s">
        <v>2482</v>
      </c>
      <c r="C13" s="23">
        <f ca="1">ROUND(IF(C1="",SUMIF('数据-取费表'!C:C,"住宅",'数据-取费表'!P:P)*F13,IF(INDIRECT("'数据-取费表'!c"&amp;$K$1)="住宅",INDIRECT("'数据-取费表'!P"&amp;$K$1)*F13,0)),0)</f>
        <v>1235</v>
      </c>
      <c r="D13" s="1028"/>
      <c r="E13" s="373"/>
      <c r="F13" s="971">
        <f>'数据-取费表'!B34</f>
        <v>0.05</v>
      </c>
      <c r="G13" s="8" t="s">
        <v>2483</v>
      </c>
      <c r="H13" s="963"/>
      <c r="I13" s="963"/>
      <c r="J13" s="963"/>
      <c r="K13" s="964"/>
    </row>
    <row r="14" spans="1:33" s="972" customFormat="1" ht="13.5" customHeight="1">
      <c r="A14" s="966" t="s">
        <v>1338</v>
      </c>
      <c r="B14" s="967" t="s">
        <v>2484</v>
      </c>
      <c r="C14" s="23">
        <f ca="1">ROUND(D14*E14*F11/10000,0)</f>
        <v>1446</v>
      </c>
      <c r="D14" s="1028">
        <f ca="1">IF(C1="",'数据-汇总表'!E3,INDIRECT("'数据-取费表'!K"&amp;$K$1)+INDIRECT("'数据-取费表'!S"&amp;$K$1))</f>
        <v>136408.82</v>
      </c>
      <c r="E14" s="23">
        <f>'数据-取费表'!B35</f>
        <v>200</v>
      </c>
      <c r="F14" s="971"/>
      <c r="G14" s="8" t="s">
        <v>2485</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2486</v>
      </c>
      <c r="C15" s="978">
        <f ca="1">ROUND(C11*F15,0)</f>
        <v>432</v>
      </c>
      <c r="D15" s="973"/>
      <c r="E15" s="978"/>
      <c r="F15" s="979">
        <f>'数据-取费表'!B36</f>
        <v>1.4999999999999999E-2</v>
      </c>
      <c r="G15" s="138" t="s">
        <v>2487</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2488</v>
      </c>
      <c r="C16" s="978">
        <f ca="1">SUM(C11:C15)</f>
        <v>32749</v>
      </c>
      <c r="D16" s="973"/>
      <c r="E16" s="978"/>
      <c r="F16" s="979"/>
      <c r="G16" s="138"/>
      <c r="H16" s="1574"/>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2489</v>
      </c>
      <c r="C17" s="23">
        <f ca="1">ROUND(D17*E17/10000,0)</f>
        <v>0</v>
      </c>
      <c r="D17" s="1028">
        <f ca="1">D14</f>
        <v>136408.82</v>
      </c>
      <c r="E17" s="23">
        <f>'数据-取费表'!B32</f>
        <v>0</v>
      </c>
      <c r="F17" s="973"/>
      <c r="G17" s="138" t="s">
        <v>2490</v>
      </c>
      <c r="H17" s="1574"/>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2491</v>
      </c>
      <c r="C18" s="2975">
        <f ca="1">C19+C20-IF(C1="",'数据-取费表'!B29,IF(G18="已全部缴纳",C19+C20,H18))</f>
        <v>0</v>
      </c>
      <c r="D18" s="1028"/>
      <c r="E18" s="23"/>
      <c r="F18" s="971"/>
      <c r="G18" s="2550" t="s">
        <v>3212</v>
      </c>
      <c r="H18" s="1573"/>
      <c r="I18" s="2551" t="s">
        <v>2492</v>
      </c>
      <c r="J18" s="974"/>
      <c r="K18" s="975"/>
    </row>
    <row r="19" spans="1:33" s="970" customFormat="1" ht="13.5" customHeight="1">
      <c r="A19" s="966" t="s">
        <v>805</v>
      </c>
      <c r="B19" s="967" t="s">
        <v>2493</v>
      </c>
      <c r="C19" s="23">
        <f ca="1">ROUND(D19*E19/10000,0)</f>
        <v>1657</v>
      </c>
      <c r="D19" s="1028">
        <f ca="1">IF(C1="",'数据-汇总表'!E5,IF(INDIRECT("'数据-取费表'!c"&amp;$K$1)="住宅",INDIRECT("'数据-取费表'!k"&amp;$K$1),0))</f>
        <v>103555.41999999998</v>
      </c>
      <c r="E19" s="23">
        <f>'数据-取费表'!B27</f>
        <v>160</v>
      </c>
      <c r="F19" s="971"/>
      <c r="G19" s="14"/>
      <c r="H19" s="1575"/>
      <c r="I19" s="976"/>
      <c r="J19" s="976"/>
      <c r="K19" s="977"/>
    </row>
    <row r="20" spans="1:33" s="970" customFormat="1" ht="13.5" customHeight="1">
      <c r="A20" s="966" t="s">
        <v>806</v>
      </c>
      <c r="B20" s="967" t="s">
        <v>2494</v>
      </c>
      <c r="C20" s="23">
        <f ca="1">ROUND(D20*E20/10000,0)</f>
        <v>657</v>
      </c>
      <c r="D20" s="1028">
        <f ca="1">IF(C1="",'数据-汇总表'!E6,IF(INDIRECT("'数据-取费表'!c"&amp;$K$1)="住宅",INDIRECT("'数据-取费表'!s"&amp;$K$1),INDIRECT("'数据-取费表'!k"&amp;$K$1)+INDIRECT("'数据-取费表'!s"&amp;$K$1)))</f>
        <v>32853.400000000023</v>
      </c>
      <c r="E20" s="23">
        <f>'数据-取费表'!B28</f>
        <v>200</v>
      </c>
      <c r="F20" s="971"/>
      <c r="G20" s="14"/>
      <c r="H20" s="976"/>
      <c r="I20" s="976"/>
      <c r="J20" s="976"/>
      <c r="K20" s="977"/>
    </row>
    <row r="21" spans="1:33" s="970" customFormat="1" ht="13.5" customHeight="1">
      <c r="A21" s="956" t="s">
        <v>802</v>
      </c>
      <c r="B21" s="980" t="s">
        <v>2495</v>
      </c>
      <c r="C21" s="981">
        <f ca="1">C16+C17+C18</f>
        <v>32749</v>
      </c>
      <c r="D21" s="982"/>
      <c r="E21" s="323"/>
      <c r="F21" s="323"/>
      <c r="G21" s="138" t="s">
        <v>2496</v>
      </c>
      <c r="H21" s="974"/>
      <c r="I21" s="974"/>
      <c r="J21" s="974"/>
      <c r="K21" s="975"/>
    </row>
    <row r="22" spans="1:33" s="970" customFormat="1" ht="13.5" customHeight="1">
      <c r="A22" s="956" t="s">
        <v>2468</v>
      </c>
      <c r="B22" s="980" t="s">
        <v>2497</v>
      </c>
      <c r="C22" s="981">
        <f ca="1">ROUND(C21*F22,0)</f>
        <v>655</v>
      </c>
      <c r="D22" s="323"/>
      <c r="E22" s="323"/>
      <c r="F22" s="983">
        <f>'数据-取费表'!B37</f>
        <v>0.02</v>
      </c>
      <c r="G22" s="8" t="s">
        <v>2498</v>
      </c>
      <c r="H22" s="963"/>
      <c r="I22" s="963"/>
      <c r="J22" s="963"/>
      <c r="K22" s="964"/>
    </row>
    <row r="23" spans="1:33" s="970" customFormat="1" ht="13.5" customHeight="1">
      <c r="A23" s="956" t="s">
        <v>2470</v>
      </c>
      <c r="B23" s="980" t="s">
        <v>2499</v>
      </c>
      <c r="C23" s="981">
        <f ca="1">ROUND(C4*F23*F11,0)</f>
        <v>6808</v>
      </c>
      <c r="D23" s="323"/>
      <c r="E23" s="323"/>
      <c r="F23" s="983">
        <f>'数据-取费表'!B38</f>
        <v>0.02</v>
      </c>
      <c r="G23" s="8" t="s">
        <v>2500</v>
      </c>
      <c r="H23" s="963"/>
      <c r="I23" s="963"/>
      <c r="J23" s="963"/>
      <c r="K23" s="964"/>
    </row>
    <row r="24" spans="1:33" s="970" customFormat="1" ht="13.5" customHeight="1">
      <c r="A24" s="956" t="s">
        <v>2501</v>
      </c>
      <c r="B24" s="980" t="s">
        <v>2502</v>
      </c>
      <c r="C24" s="322">
        <f>ROUND(F24/(1+'数据-取费表'!C42),4)</f>
        <v>2.9000000000000001E-2</v>
      </c>
      <c r="D24" s="323" t="s">
        <v>15</v>
      </c>
      <c r="E24" s="323"/>
      <c r="F24" s="983">
        <f>'数据-取费表'!B48+'数据-取费表'!B49</f>
        <v>3.0499999999999999E-2</v>
      </c>
      <c r="G24" s="8" t="s">
        <v>2503</v>
      </c>
      <c r="H24" s="985"/>
      <c r="I24" s="985"/>
      <c r="J24" s="985"/>
      <c r="K24" s="986"/>
    </row>
    <row r="25" spans="1:33" s="970" customFormat="1" ht="13.5" customHeight="1">
      <c r="A25" s="956" t="s">
        <v>2504</v>
      </c>
      <c r="B25" s="982" t="s">
        <v>2505</v>
      </c>
      <c r="C25" s="1351">
        <f ca="1">C27</f>
        <v>944</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2506</v>
      </c>
      <c r="C26" s="1352">
        <f ca="1">ROUND(IF('数据-取费表'!B22&lt;=1,(1+C24)*F25*'数据-取费表'!B24,(1+C24)*(POWER((1+F25),'数据-取费表'!B24)-1)),4)</f>
        <v>4.8899999999999999E-2</v>
      </c>
      <c r="D26" s="326"/>
      <c r="E26" s="327"/>
      <c r="F26" s="328"/>
      <c r="G26" s="255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2507</v>
      </c>
      <c r="C27" s="1353">
        <f ca="1">ROUND(IF('数据-取费表'!B22&lt;=1,(C21+C22+C23)*F25*'数据-取费表'!B24/2,(C21+C22+C23)*(POWER((1+F25),'数据-取费表'!B24/2)-1)),0)</f>
        <v>944</v>
      </c>
      <c r="D27" s="326"/>
      <c r="E27" s="327"/>
      <c r="F27" s="328"/>
      <c r="G27" s="2552" t="str">
        <f>IF('数据-取费表'!B22&lt;=1,"（1）-（3）项×年利率×建设期÷2","（1）-（3）项×((1+年利率)^(建设期÷2)-1)")</f>
        <v>（1）-（3）项×((1+年利率)^(建设期÷2)-1)</v>
      </c>
      <c r="H27" s="974"/>
      <c r="I27" s="974"/>
      <c r="J27" s="974"/>
      <c r="K27" s="975"/>
    </row>
    <row r="28" spans="1:33" s="331" customFormat="1" ht="13.5" customHeight="1">
      <c r="A28" s="956" t="s">
        <v>2508</v>
      </c>
      <c r="B28" s="2553" t="s">
        <v>2509</v>
      </c>
      <c r="C28" s="329">
        <f ca="1">C30</f>
        <v>3619</v>
      </c>
      <c r="D28" s="322">
        <f ca="1">C29</f>
        <v>4.6300000000000001E-2</v>
      </c>
      <c r="E28" s="324" t="s">
        <v>15</v>
      </c>
      <c r="F28" s="330">
        <f ca="1">IF(C1="",'数据-取费表'!Q16,INDIRECT("'数据-取费表'!q"&amp;$K$1))</f>
        <v>0.09</v>
      </c>
      <c r="G28" s="984"/>
      <c r="H28" s="985"/>
      <c r="I28" s="985"/>
      <c r="J28" s="985"/>
      <c r="K28" s="986"/>
    </row>
    <row r="29" spans="1:33" s="333" customFormat="1" ht="13.5" customHeight="1">
      <c r="A29" s="966" t="s">
        <v>803</v>
      </c>
      <c r="B29" s="989" t="s">
        <v>2510</v>
      </c>
      <c r="C29" s="326">
        <f ca="1">ROUND((1+C24)*F28*'数据-取费表'!B24/'数据-取费表'!B20,4)</f>
        <v>4.6300000000000001E-2</v>
      </c>
      <c r="D29" s="326"/>
      <c r="E29" s="327"/>
      <c r="F29" s="332"/>
      <c r="G29" s="138" t="s">
        <v>2511</v>
      </c>
      <c r="H29" s="974"/>
      <c r="I29" s="974"/>
      <c r="J29" s="974"/>
      <c r="K29" s="975"/>
    </row>
    <row r="30" spans="1:33" s="333" customFormat="1" ht="13.5" customHeight="1">
      <c r="A30" s="966" t="s">
        <v>804</v>
      </c>
      <c r="B30" s="989" t="s">
        <v>2512</v>
      </c>
      <c r="C30" s="334">
        <f ca="1">ROUND((C21+C22+C23)*F28,0)</f>
        <v>3619</v>
      </c>
      <c r="D30" s="326"/>
      <c r="E30" s="327"/>
      <c r="F30" s="332"/>
      <c r="G30" s="138"/>
      <c r="H30" s="974"/>
      <c r="I30" s="974"/>
      <c r="J30" s="974"/>
      <c r="K30" s="975"/>
    </row>
    <row r="31" spans="1:33" s="970" customFormat="1" ht="13.5" customHeight="1" thickBot="1">
      <c r="A31" s="2554" t="s">
        <v>2513</v>
      </c>
      <c r="B31" s="1000" t="s">
        <v>2514</v>
      </c>
      <c r="C31" s="1001">
        <f ca="1">ROUND(C4*F31/(1+'数据-取费表'!C42),0)</f>
        <v>34256</v>
      </c>
      <c r="D31" s="1002"/>
      <c r="E31" s="1003"/>
      <c r="F31" s="1004">
        <f>'数据-取费表'!B41</f>
        <v>5.6000000000000001E-2</v>
      </c>
      <c r="G31" s="1005" t="s">
        <v>2515</v>
      </c>
      <c r="H31" s="1006"/>
      <c r="I31" s="1006"/>
      <c r="J31" s="1006"/>
      <c r="K31" s="1007"/>
    </row>
    <row r="32" spans="1:33" s="965" customFormat="1" ht="13.5" customHeight="1" thickBot="1">
      <c r="A32" s="995" t="s">
        <v>2516</v>
      </c>
      <c r="B32" s="996"/>
      <c r="C32" s="997">
        <f ca="1">ROUND((C4-C21-C22-C23-C25-C28-C31)/(1+C24+D25+D28),0)</f>
        <v>501038</v>
      </c>
      <c r="D32" s="996"/>
      <c r="E32" s="996"/>
      <c r="F32" s="996"/>
      <c r="G32" s="998" t="s">
        <v>2517</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F10" sqref="F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1378</v>
      </c>
      <c r="D1" s="1816" t="s">
        <v>3129</v>
      </c>
      <c r="E1" s="1817" t="s">
        <v>1388</v>
      </c>
      <c r="F1" s="1278">
        <f ca="1">J53</f>
        <v>36.94</v>
      </c>
      <c r="G1" s="183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4640</v>
      </c>
      <c r="C2" s="1841" t="s">
        <v>1518</v>
      </c>
      <c r="D2" s="1841"/>
      <c r="E2" s="1842"/>
      <c r="F2" s="1843"/>
      <c r="G2" s="1844"/>
      <c r="H2" s="1836"/>
      <c r="I2" s="1836"/>
      <c r="J2" s="1836"/>
      <c r="K2" s="1837"/>
      <c r="L2" s="1836"/>
      <c r="M2" s="1836"/>
    </row>
    <row r="3" spans="1:37" ht="18" customHeight="1" thickBot="1">
      <c r="A3" s="1845" t="s">
        <v>1519</v>
      </c>
      <c r="B3" s="1846">
        <f ca="1">IF(ISERROR(B2*10000/F43),0,ROUND(B2*10000/F43,0))</f>
        <v>23194</v>
      </c>
      <c r="C3" s="1841" t="s">
        <v>1520</v>
      </c>
      <c r="D3" s="1841"/>
      <c r="E3" s="1842"/>
      <c r="F3" s="1843"/>
      <c r="G3" s="1844"/>
      <c r="H3" s="741" t="s">
        <v>1590</v>
      </c>
      <c r="I3" s="1836"/>
      <c r="J3" s="1836"/>
      <c r="K3" s="1837"/>
      <c r="L3" s="1836"/>
      <c r="M3" s="1836"/>
    </row>
    <row r="4" spans="1:37" ht="18" customHeight="1">
      <c r="A4" s="338" t="s">
        <v>1397</v>
      </c>
      <c r="B4" s="339" t="s">
        <v>1398</v>
      </c>
      <c r="C4" s="339" t="s">
        <v>1399</v>
      </c>
      <c r="D4" s="339" t="s">
        <v>1400</v>
      </c>
      <c r="E4" s="340" t="s">
        <v>1401</v>
      </c>
      <c r="F4" s="341"/>
      <c r="G4" s="1847"/>
      <c r="H4" s="338" t="s">
        <v>1397</v>
      </c>
      <c r="I4" s="339" t="s">
        <v>1398</v>
      </c>
      <c r="J4" s="339" t="s">
        <v>1399</v>
      </c>
      <c r="K4" s="339" t="s">
        <v>1400</v>
      </c>
      <c r="L4" s="340" t="s">
        <v>1401</v>
      </c>
      <c r="M4" s="341"/>
    </row>
    <row r="5" spans="1:37" ht="18" customHeight="1">
      <c r="A5" s="342">
        <v>1</v>
      </c>
      <c r="B5" s="343" t="s">
        <v>1402</v>
      </c>
      <c r="C5" s="1287">
        <f ca="1">C6+C10+C12</f>
        <v>230</v>
      </c>
      <c r="D5" s="1818" t="s">
        <v>1403</v>
      </c>
      <c r="E5" s="1288"/>
      <c r="F5" s="1289"/>
      <c r="G5" s="1847"/>
      <c r="H5" s="342">
        <v>1</v>
      </c>
      <c r="I5" s="343" t="s">
        <v>1402</v>
      </c>
      <c r="J5" s="1287">
        <f ca="1">J6+J10+J12</f>
        <v>0</v>
      </c>
      <c r="K5" s="1818" t="s">
        <v>1403</v>
      </c>
      <c r="L5" s="1288"/>
      <c r="M5" s="1289"/>
    </row>
    <row r="6" spans="1:37" ht="18" customHeight="1">
      <c r="A6" s="1286" t="s">
        <v>1035</v>
      </c>
      <c r="B6" s="3206" t="s">
        <v>1404</v>
      </c>
      <c r="C6" s="1291">
        <f ca="1">ROUND(F6*F8*F7*(1-F9)/10000,0)</f>
        <v>230</v>
      </c>
      <c r="D6" s="162" t="s">
        <v>3035</v>
      </c>
      <c r="E6" s="345" t="s">
        <v>1406</v>
      </c>
      <c r="F6" s="346">
        <f ca="1">INDIRECT("'数据-取费表'!u"&amp;$G$1)</f>
        <v>3.5</v>
      </c>
      <c r="G6" s="1847"/>
      <c r="H6" s="1286" t="s">
        <v>1035</v>
      </c>
      <c r="I6" s="3206" t="s">
        <v>1404</v>
      </c>
      <c r="J6" s="344">
        <f ca="1">ROUND(M6*M8*M7*(1-M9)/10000,0)</f>
        <v>0</v>
      </c>
      <c r="K6" s="162" t="s">
        <v>3034</v>
      </c>
      <c r="L6" s="345" t="s">
        <v>1406</v>
      </c>
      <c r="M6" s="346">
        <f ca="1">INDIRECT("'数据-取费表'!z"&amp;$G$1)</f>
        <v>0</v>
      </c>
    </row>
    <row r="7" spans="1:37" ht="18" customHeight="1">
      <c r="A7" s="1290"/>
      <c r="B7" s="3207"/>
      <c r="C7" s="1292"/>
      <c r="D7" s="350"/>
      <c r="E7" s="2955" t="s">
        <v>1407</v>
      </c>
      <c r="F7" s="346">
        <f ca="1">IF(INDIRECT("'数据-取费表'!ah"&amp;$G$1)="",INDIRECT("'数据-取费表'!k"&amp;$G$1),INDIRECT("'数据-取费表'!ah"&amp;$G$1))</f>
        <v>2000.56</v>
      </c>
      <c r="G7" s="1847"/>
      <c r="H7" s="347"/>
      <c r="I7" s="3207"/>
      <c r="J7" s="349"/>
      <c r="K7" s="350"/>
      <c r="L7" s="345" t="s">
        <v>1407</v>
      </c>
      <c r="M7" s="346">
        <f ca="1">F7</f>
        <v>2000.56</v>
      </c>
    </row>
    <row r="8" spans="1:37" ht="18" customHeight="1">
      <c r="A8" s="347"/>
      <c r="B8" s="3207"/>
      <c r="C8" s="349"/>
      <c r="D8" s="350"/>
      <c r="E8" s="345" t="s">
        <v>1408</v>
      </c>
      <c r="F8" s="346">
        <f ca="1">INDIRECT("'数据-取费表'!ai"&amp;$G$1)</f>
        <v>365</v>
      </c>
      <c r="G8" s="184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0.1</v>
      </c>
      <c r="G9" s="1847"/>
      <c r="H9" s="347"/>
      <c r="I9" s="3208"/>
      <c r="J9" s="349"/>
      <c r="K9" s="350"/>
      <c r="L9" s="356" t="s">
        <v>1409</v>
      </c>
      <c r="M9" s="357">
        <f ca="1">INDIRECT("'数据-取费表'!ab"&amp;$G$1)</f>
        <v>0</v>
      </c>
    </row>
    <row r="10" spans="1:37" ht="18" customHeight="1">
      <c r="A10" s="1286" t="s">
        <v>1039</v>
      </c>
      <c r="B10" s="1819" t="s">
        <v>1410</v>
      </c>
      <c r="C10" s="359">
        <f ca="1">ROUND(IF(F10="押一",F6*F8*F7/12*F11,IF(F10="押二",F6*F8*F7/12*2*F11,IF(F10="押三",F6*F8*F7/12*3*F11,C11*F11)))/10000,0)</f>
        <v>0</v>
      </c>
      <c r="D10" s="1820" t="s">
        <v>3031</v>
      </c>
      <c r="E10" s="356" t="s">
        <v>1412</v>
      </c>
      <c r="F10" s="1361" t="s">
        <v>3258</v>
      </c>
      <c r="G10" s="1847"/>
      <c r="H10" s="1286" t="s">
        <v>1039</v>
      </c>
      <c r="I10" s="1819" t="s">
        <v>1410</v>
      </c>
      <c r="J10" s="344">
        <f ca="1">ROUND(IF(M10="押一",M6*M8*M7/12*M11,IF(M10="押二",M6*M8*M7/12*2*M11,IF(M10="押三",M6*M8*M7/12*3*M11,J11*M11)))/10000,0)</f>
        <v>0</v>
      </c>
      <c r="K10" s="1820" t="s">
        <v>3031</v>
      </c>
      <c r="L10" s="356" t="s">
        <v>1412</v>
      </c>
      <c r="M10" s="1361" t="s">
        <v>1413</v>
      </c>
    </row>
    <row r="11" spans="1:37" ht="18" customHeight="1">
      <c r="A11" s="351"/>
      <c r="B11" s="1821" t="s">
        <v>1389</v>
      </c>
      <c r="C11" s="1173"/>
      <c r="D11" s="1822"/>
      <c r="E11" s="356" t="s">
        <v>1414</v>
      </c>
      <c r="F11" s="357">
        <f ca="1">'数据-取费表'!B39</f>
        <v>1.4999999999999999E-2</v>
      </c>
      <c r="G11" s="1847"/>
      <c r="H11" s="1294"/>
      <c r="I11" s="1821" t="s">
        <v>1389</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f ca="1">ROUND(C29*F13,0)</f>
        <v>891</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5" t="s">
        <v>1419</v>
      </c>
      <c r="C14" s="361">
        <f ca="1">INDIRECT("'数据-取费表'!m"&amp;$G$1)+INDIRECT("'数据-取费表'!t"&amp;$G$1)</f>
        <v>606</v>
      </c>
      <c r="D14" s="2958" t="s">
        <v>1420</v>
      </c>
      <c r="E14" s="2957"/>
      <c r="F14" s="362"/>
      <c r="G14" s="1847"/>
      <c r="H14" s="1196" t="s">
        <v>1035</v>
      </c>
      <c r="I14" s="345" t="s">
        <v>1421</v>
      </c>
      <c r="J14" s="23">
        <f ca="1">C29</f>
        <v>891</v>
      </c>
      <c r="K14" s="2954"/>
      <c r="L14" s="974"/>
      <c r="M14" s="975"/>
    </row>
    <row r="15" spans="1:37" s="1854" customFormat="1" ht="18" customHeight="1" thickBot="1">
      <c r="A15" s="1196" t="s">
        <v>1036</v>
      </c>
      <c r="B15" s="345" t="s">
        <v>1422</v>
      </c>
      <c r="C15" s="23">
        <f ca="1">ROUND(C14*F15,0)</f>
        <v>18</v>
      </c>
      <c r="D15" s="363" t="s">
        <v>1423</v>
      </c>
      <c r="E15" s="363" t="s">
        <v>1424</v>
      </c>
      <c r="F15" s="364">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f ca="1">ROUND(INDIRECT("'数据-取费表'!m"&amp;$G$1)*F16,0)</f>
        <v>0</v>
      </c>
      <c r="D16" s="345" t="s">
        <v>1423</v>
      </c>
      <c r="E16" s="345" t="s">
        <v>1424</v>
      </c>
      <c r="F16" s="365">
        <f ca="1">IF(INDIRECT("'数据-取费表'!c"&amp;$G$1)="住宅",'数据-取费表'!B34,0)</f>
        <v>0</v>
      </c>
      <c r="G16" s="1847"/>
      <c r="H16" s="1324" t="s">
        <v>1030</v>
      </c>
      <c r="I16" s="1325" t="s">
        <v>1426</v>
      </c>
      <c r="J16" s="353">
        <f ca="1">ROUND(J17+J22+J23+J24,0)</f>
        <v>17</v>
      </c>
      <c r="K16" s="1332" t="s">
        <v>1427</v>
      </c>
      <c r="L16" s="2961"/>
      <c r="M16" s="1289"/>
    </row>
    <row r="17" spans="1:37" s="1854" customFormat="1" ht="18" customHeight="1">
      <c r="A17" s="1196" t="s">
        <v>1391</v>
      </c>
      <c r="B17" s="345" t="s">
        <v>1428</v>
      </c>
      <c r="C17" s="23">
        <f ca="1">ROUND(F17*(F43+INDIRECT("'数据-取费表'!S"&amp;$G$1))/10000,0)</f>
        <v>40</v>
      </c>
      <c r="D17" s="345" t="s">
        <v>1429</v>
      </c>
      <c r="E17" s="345" t="s">
        <v>1430</v>
      </c>
      <c r="F17" s="25">
        <f>'数据-取费表'!B35</f>
        <v>200</v>
      </c>
      <c r="G17" s="1850"/>
      <c r="H17" s="1196" t="s">
        <v>1035</v>
      </c>
      <c r="I17" s="345" t="s">
        <v>1431</v>
      </c>
      <c r="J17" s="23">
        <f ca="1">ROUND(IF(项目基本情况!B11="自然人",J5*M17,J18+J19+J20),1)</f>
        <v>7.6</v>
      </c>
      <c r="K17" s="2958" t="s">
        <v>1432</v>
      </c>
      <c r="L17" s="2960"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f ca="1">ROUND(C14*F18,0)</f>
        <v>9</v>
      </c>
      <c r="D18" s="345" t="s">
        <v>1423</v>
      </c>
      <c r="E18" s="345" t="s">
        <v>1424</v>
      </c>
      <c r="F18" s="365">
        <f>'数据-取费表'!B36</f>
        <v>1.4999999999999999E-2</v>
      </c>
      <c r="G18" s="1850"/>
      <c r="H18" s="1196" t="s">
        <v>1034</v>
      </c>
      <c r="I18" s="345" t="s">
        <v>1435</v>
      </c>
      <c r="J18" s="23">
        <f ca="1">ROUND(J5*M18/(1+'数据-取费表'!C42),2)</f>
        <v>0</v>
      </c>
      <c r="K18" s="2960"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f ca="1">SUM(C14:C18)</f>
        <v>673</v>
      </c>
      <c r="D19" s="138" t="s">
        <v>1438</v>
      </c>
      <c r="E19" s="2953"/>
      <c r="F19" s="25"/>
      <c r="G19" s="1847"/>
      <c r="H19" s="1196" t="s">
        <v>1036</v>
      </c>
      <c r="I19" s="345" t="s">
        <v>1439</v>
      </c>
      <c r="J19" s="23">
        <f ca="1">IF(K19="按租金收入计税",ROUND(J5*M19,2),ROUND(C29*M19*0.7,2))</f>
        <v>7.48</v>
      </c>
      <c r="K19" s="1824" t="s">
        <v>1440</v>
      </c>
      <c r="L19" s="345" t="s">
        <v>1424</v>
      </c>
      <c r="M19" s="365">
        <f>IF(K19="按租金收入计税",'数据-取费表'!B51,'数据-取费表'!B50)</f>
        <v>1.2E-2</v>
      </c>
    </row>
    <row r="20" spans="1:37" s="1854" customFormat="1" ht="18" customHeight="1">
      <c r="A20" s="1196" t="s">
        <v>1039</v>
      </c>
      <c r="B20" s="345" t="s">
        <v>1441</v>
      </c>
      <c r="C20" s="23">
        <f ca="1">ROUND(C19*F20,0)</f>
        <v>13</v>
      </c>
      <c r="D20" s="367" t="s">
        <v>1442</v>
      </c>
      <c r="E20" s="345" t="s">
        <v>1424</v>
      </c>
      <c r="F20" s="365">
        <f>'数据-取费表'!B37</f>
        <v>0.02</v>
      </c>
      <c r="G20" s="1850"/>
      <c r="H20" s="1196" t="s">
        <v>1390</v>
      </c>
      <c r="I20" s="162" t="s">
        <v>1443</v>
      </c>
      <c r="J20" s="24">
        <f ca="1">ROUND(M20*M21/10000,2)</f>
        <v>0.08</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18</v>
      </c>
      <c r="D21" s="367" t="s">
        <v>1447</v>
      </c>
      <c r="E21" s="345" t="s">
        <v>1448</v>
      </c>
      <c r="F21" s="365">
        <f>'数据-取费表'!B38</f>
        <v>0.02</v>
      </c>
      <c r="G21" s="1850"/>
      <c r="H21" s="370"/>
      <c r="I21" s="354"/>
      <c r="J21" s="28"/>
      <c r="K21" s="371"/>
      <c r="L21" s="345" t="s">
        <v>1449</v>
      </c>
      <c r="M21" s="346">
        <f ca="1">INDIRECT("'数据-取费表'!r"&amp;$G$1)</f>
        <v>532.28000000000009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2953"/>
      <c r="F22" s="25"/>
      <c r="G22" s="1847"/>
      <c r="H22" s="1196" t="s">
        <v>1039</v>
      </c>
      <c r="I22" s="345" t="s">
        <v>1451</v>
      </c>
      <c r="J22" s="23">
        <f ca="1">ROUND(J14*M22,1)</f>
        <v>8.9</v>
      </c>
      <c r="K22" s="2960" t="s">
        <v>1452</v>
      </c>
      <c r="L22" s="345" t="s">
        <v>1424</v>
      </c>
      <c r="M22" s="372">
        <f ca="1">INDIRECT("'数据-取费表'!Ak"&amp;$G$1)</f>
        <v>0.01</v>
      </c>
    </row>
    <row r="23" spans="1:37" s="1854" customFormat="1" ht="18" customHeight="1">
      <c r="A23" s="1196" t="s">
        <v>1034</v>
      </c>
      <c r="B23" s="345" t="s">
        <v>1453</v>
      </c>
      <c r="C23" s="23">
        <f ca="1">IF('数据-取费表'!B22&lt;=1,ROUND(C19*F24*F23/2,0)+ROUND(C20*F24*F23/2,0),ROUND(C19*(POWER((1+F24),F23/2)-1),0)+ROUND(C20*(POWER((1+F24),F23/2)-1),0))</f>
        <v>33</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f ca="1">ROUND(J13*M23,1)</f>
        <v>0</v>
      </c>
      <c r="K23" s="2960" t="s">
        <v>1456</v>
      </c>
      <c r="L23" s="345" t="s">
        <v>1424</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1393</v>
      </c>
      <c r="I24" s="1335" t="s">
        <v>1441</v>
      </c>
      <c r="J24" s="1336">
        <f ca="1">ROUND(J5*M24,1)</f>
        <v>0</v>
      </c>
      <c r="K24" s="1337" t="s">
        <v>1461</v>
      </c>
      <c r="L24" s="1335" t="s">
        <v>1424</v>
      </c>
      <c r="M24" s="1331">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5" t="s">
        <v>1463</v>
      </c>
      <c r="C25" s="23"/>
      <c r="D25" s="138" t="s">
        <v>1464</v>
      </c>
      <c r="E25" s="2953"/>
      <c r="F25" s="25"/>
      <c r="G25" s="1847"/>
      <c r="H25" s="1324" t="s">
        <v>1031</v>
      </c>
      <c r="I25" s="1339" t="s">
        <v>1465</v>
      </c>
      <c r="J25" s="353">
        <f ca="1">J5-J16</f>
        <v>-17</v>
      </c>
      <c r="K25" s="1340" t="s">
        <v>1466</v>
      </c>
      <c r="L25" s="1341"/>
      <c r="M25" s="1342"/>
    </row>
    <row r="26" spans="1:37">
      <c r="A26" s="1196" t="s">
        <v>1034</v>
      </c>
      <c r="B26" s="345" t="s">
        <v>1467</v>
      </c>
      <c r="C26" s="23">
        <f ca="1">ROUND((C19+C20)*F26,0)</f>
        <v>103</v>
      </c>
      <c r="D26" s="367" t="s">
        <v>1468</v>
      </c>
      <c r="E26" s="356" t="s">
        <v>1469</v>
      </c>
      <c r="F26" s="355">
        <f ca="1">INDIRECT("'数据-取费表'!q"&amp;$G$1)</f>
        <v>0.15</v>
      </c>
      <c r="G26" s="1847"/>
      <c r="H26" s="342" t="s">
        <v>1032</v>
      </c>
      <c r="I26" s="343" t="s">
        <v>1470</v>
      </c>
      <c r="J26" s="344">
        <f ca="1">IF(J5&lt;&gt;0,ROUND(J25*(1-((1+M28)/(1+M26))^M27)/(M26-M28),0),0)</f>
        <v>0</v>
      </c>
      <c r="K26" s="368" t="s">
        <v>1471</v>
      </c>
      <c r="L26" s="345" t="s">
        <v>1472</v>
      </c>
      <c r="M26" s="355">
        <f ca="1">INDIRECT("'数据-取费表'!I"&amp;$G$1)</f>
        <v>0.06</v>
      </c>
    </row>
    <row r="27" spans="1:37" ht="18" customHeight="1">
      <c r="A27" s="1196" t="s">
        <v>1036</v>
      </c>
      <c r="B27" s="345" t="s">
        <v>1473</v>
      </c>
      <c r="C27" s="23">
        <f ca="1">ROUND(F21*F26,4)</f>
        <v>3.0000000000000001E-3</v>
      </c>
      <c r="D27" s="367" t="s">
        <v>1474</v>
      </c>
      <c r="E27" s="363"/>
      <c r="F27" s="364"/>
      <c r="G27" s="1847"/>
      <c r="H27" s="347"/>
      <c r="I27" s="348"/>
      <c r="J27" s="349"/>
      <c r="K27" s="376" t="s">
        <v>1475</v>
      </c>
      <c r="L27" s="345" t="s">
        <v>1476</v>
      </c>
      <c r="M27" s="377">
        <f ca="1">INDIRECT("'数据-取费表'!ag"&amp;$G$1)</f>
        <v>0</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891</v>
      </c>
      <c r="D29" s="1337"/>
      <c r="E29" s="1335"/>
      <c r="F29" s="1338"/>
      <c r="G29" s="1850"/>
      <c r="H29" s="378" t="s">
        <v>1033</v>
      </c>
      <c r="I29" s="379" t="s">
        <v>1481</v>
      </c>
      <c r="J29" s="380">
        <f ca="1">ROUND(J26/(1+F40)^F41,0)</f>
        <v>0</v>
      </c>
      <c r="K29" s="381" t="s">
        <v>1482</v>
      </c>
      <c r="L29" s="382"/>
      <c r="M29" s="383">
        <f ca="1">INDIRECT("'数据-取费表'!k"&amp;$G$1)</f>
        <v>2000.56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f ca="1">ROUND(C31+C36+C37+C38,0)</f>
        <v>32</v>
      </c>
      <c r="D30" s="1332" t="s">
        <v>1427</v>
      </c>
      <c r="E30" s="2961"/>
      <c r="F30" s="1289"/>
      <c r="G30" s="1847"/>
      <c r="H30" s="742"/>
      <c r="I30" s="743"/>
      <c r="J30" s="744"/>
      <c r="K30" s="745"/>
      <c r="L30" s="746"/>
      <c r="M30" s="747"/>
    </row>
    <row r="31" spans="1:37" ht="18" customHeight="1">
      <c r="A31" s="1196" t="s">
        <v>1035</v>
      </c>
      <c r="B31" s="345" t="s">
        <v>1431</v>
      </c>
      <c r="C31" s="23">
        <f ca="1">ROUND(IF(项目基本情况!B11="自然人",C5*F31,C32+C33+C34),1)</f>
        <v>19.8</v>
      </c>
      <c r="D31" s="2958" t="s">
        <v>1432</v>
      </c>
      <c r="E31" s="2960"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f ca="1">IF(项目基本情况!B11="自然人","——",ROUND(C5*F32/(1+'数据-取费表'!C42),2))</f>
        <v>12.27</v>
      </c>
      <c r="D32" s="2960" t="s">
        <v>1436</v>
      </c>
      <c r="E32" s="345" t="s">
        <v>1424</v>
      </c>
      <c r="F32" s="375">
        <f>'数据-取费表'!B41</f>
        <v>5.6000000000000001E-2</v>
      </c>
      <c r="G32" s="1847"/>
      <c r="H32" s="742"/>
      <c r="I32" s="743"/>
      <c r="J32" s="744"/>
      <c r="K32" s="745"/>
      <c r="L32" s="746"/>
      <c r="M32" s="747"/>
    </row>
    <row r="33" spans="1:18" ht="18" customHeight="1">
      <c r="A33" s="1196" t="s">
        <v>1036</v>
      </c>
      <c r="B33" s="345" t="s">
        <v>1439</v>
      </c>
      <c r="C33" s="23">
        <f ca="1">IF(项目基本情况!B11="自然人","——",IF(D33="按租金收入计税",ROUND(C5*F33,2),IF(D33="按房产原值计税",ROUND(C29*F33*0.7,2),INDIRECT("'数据-取费表'!Aj"&amp;$G$1))))</f>
        <v>7.48</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f ca="1">IF(项目基本情况!B11="自然人","——",ROUND(F34*F35/10000,2))</f>
        <v>0.08</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f ca="1">INDIRECT("'数据-取费表'!r"&amp;$G$1)</f>
        <v>532.28000000000009</v>
      </c>
      <c r="G35" s="1847"/>
      <c r="H35" s="742"/>
      <c r="I35" s="1856"/>
      <c r="J35" s="1857"/>
      <c r="K35" s="1858"/>
      <c r="L35" s="1855"/>
      <c r="M35" s="1855"/>
    </row>
    <row r="36" spans="1:18" ht="18" customHeight="1">
      <c r="A36" s="1347" t="s">
        <v>1039</v>
      </c>
      <c r="B36" s="345" t="s">
        <v>1451</v>
      </c>
      <c r="C36" s="23">
        <f ca="1">ROUND(C29*F36,1)</f>
        <v>8.9</v>
      </c>
      <c r="D36" s="2960" t="s">
        <v>1484</v>
      </c>
      <c r="E36" s="345" t="s">
        <v>1424</v>
      </c>
      <c r="F36" s="372">
        <f ca="1">INDIRECT("'数据-取费表'!Ak"&amp;$G$1)</f>
        <v>0.01</v>
      </c>
      <c r="G36" s="1847"/>
      <c r="H36" s="1855"/>
      <c r="I36" s="1856"/>
      <c r="J36" s="1857"/>
      <c r="K36" s="748"/>
      <c r="L36" s="1855"/>
      <c r="M36" s="1855"/>
    </row>
    <row r="37" spans="1:18" ht="18" customHeight="1">
      <c r="A37" s="1196" t="s">
        <v>1075</v>
      </c>
      <c r="B37" s="345" t="s">
        <v>1455</v>
      </c>
      <c r="C37" s="23">
        <f ca="1">ROUND(C13*F37,1)</f>
        <v>1.3</v>
      </c>
      <c r="D37" s="2960" t="s">
        <v>1456</v>
      </c>
      <c r="E37" s="345" t="s">
        <v>1424</v>
      </c>
      <c r="F37" s="374">
        <f ca="1">INDIRECT("'数据-取费表'!Al"&amp;$G$1)</f>
        <v>1.5E-3</v>
      </c>
      <c r="G37" s="1847"/>
      <c r="H37" s="1855"/>
      <c r="I37" s="1856"/>
      <c r="J37" s="1857"/>
      <c r="K37" s="748"/>
      <c r="L37" s="1855"/>
      <c r="M37" s="1855"/>
    </row>
    <row r="38" spans="1:18" ht="18" customHeight="1" thickBot="1">
      <c r="A38" s="1334" t="s">
        <v>1393</v>
      </c>
      <c r="B38" s="1335" t="s">
        <v>1441</v>
      </c>
      <c r="C38" s="1336">
        <f ca="1">ROUND(C5*F38,1)</f>
        <v>2.2999999999999998</v>
      </c>
      <c r="D38" s="1337" t="s">
        <v>1461</v>
      </c>
      <c r="E38" s="1335" t="s">
        <v>1424</v>
      </c>
      <c r="F38" s="1331">
        <f ca="1">INDIRECT("'数据-取费表'!Am"&amp;$G$1)</f>
        <v>0.01</v>
      </c>
      <c r="G38" s="1847"/>
      <c r="H38" s="1855"/>
      <c r="I38" s="1856"/>
      <c r="J38" s="1857"/>
      <c r="K38" s="1861"/>
      <c r="L38" s="1855"/>
      <c r="M38" s="1855"/>
    </row>
    <row r="39" spans="1:18" ht="24.6" customHeight="1" thickTop="1">
      <c r="A39" s="1324" t="s">
        <v>1031</v>
      </c>
      <c r="B39" s="1339" t="s">
        <v>1485</v>
      </c>
      <c r="C39" s="353">
        <f ca="1">C5-C30</f>
        <v>198</v>
      </c>
      <c r="D39" s="1340" t="s">
        <v>1466</v>
      </c>
      <c r="E39" s="1341"/>
      <c r="F39" s="1342"/>
      <c r="G39" s="1847"/>
      <c r="H39" s="1855"/>
      <c r="I39" s="1856"/>
      <c r="J39" s="1857"/>
      <c r="K39" s="1861"/>
      <c r="L39" s="1855"/>
      <c r="M39" s="1855"/>
    </row>
    <row r="40" spans="1:18" ht="18" customHeight="1">
      <c r="A40" s="342" t="s">
        <v>1032</v>
      </c>
      <c r="B40" s="343" t="s">
        <v>1487</v>
      </c>
      <c r="C40" s="344">
        <f ca="1">ROUND(C39*(1-((1+F42)/(1+F40))^F41)/(F40-F42),0)</f>
        <v>4640</v>
      </c>
      <c r="D40" s="368" t="s">
        <v>1471</v>
      </c>
      <c r="E40" s="345" t="s">
        <v>1472</v>
      </c>
      <c r="F40" s="355">
        <f ca="1">INDIRECT("'数据-取费表'!I"&amp;$G$1)</f>
        <v>0.06</v>
      </c>
      <c r="G40" s="1847"/>
      <c r="H40" s="1835"/>
      <c r="I40" s="1856"/>
      <c r="J40" s="1857"/>
      <c r="K40" s="1861"/>
      <c r="L40" s="1835"/>
      <c r="M40" s="1835"/>
    </row>
    <row r="41" spans="1:18" ht="18" customHeight="1">
      <c r="A41" s="347"/>
      <c r="B41" s="348"/>
      <c r="C41" s="349"/>
      <c r="D41" s="376" t="s">
        <v>1488</v>
      </c>
      <c r="E41" s="345" t="s">
        <v>1476</v>
      </c>
      <c r="F41" s="377">
        <f ca="1">IF(INDIRECT("'数据-取费表'!af"&amp;$G$1)=0,INDIRECT("'数据-取费表'!ae"&amp;$G$1),INDIRECT("'数据-取费表'!af"&amp;$G$1))</f>
        <v>36.94</v>
      </c>
      <c r="G41" s="1847"/>
      <c r="H41" s="729"/>
      <c r="I41" s="1856"/>
      <c r="J41" s="1857"/>
      <c r="K41" s="748"/>
      <c r="L41" s="729"/>
      <c r="M41" s="729"/>
    </row>
    <row r="42" spans="1:18" ht="18" customHeight="1">
      <c r="A42" s="351"/>
      <c r="B42" s="352"/>
      <c r="C42" s="353"/>
      <c r="D42" s="371"/>
      <c r="E42" s="345" t="s">
        <v>1479</v>
      </c>
      <c r="F42" s="355">
        <f ca="1">INDIRECT("'数据-取费表'!v"&amp;$G$1)</f>
        <v>3.5000000000000003E-2</v>
      </c>
      <c r="G42" s="1847"/>
      <c r="H42" s="729"/>
      <c r="I42" s="1856"/>
      <c r="J42" s="1857"/>
      <c r="K42" s="748"/>
      <c r="L42" s="729"/>
      <c r="M42" s="729"/>
    </row>
    <row r="43" spans="1:18" ht="18" customHeight="1" thickBot="1">
      <c r="A43" s="378" t="s">
        <v>1033</v>
      </c>
      <c r="B43" s="379" t="s">
        <v>1489</v>
      </c>
      <c r="C43" s="380">
        <f ca="1">ROUND(C40*10000/F43,0)</f>
        <v>23194</v>
      </c>
      <c r="D43" s="381" t="s">
        <v>1490</v>
      </c>
      <c r="E43" s="382" t="s">
        <v>1491</v>
      </c>
      <c r="F43" s="383">
        <f ca="1">INDIRECT("'数据-取费表'!k"&amp;$G$1)</f>
        <v>2000.56</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-4905</v>
      </c>
      <c r="D46" s="1868" t="str">
        <f>C2</f>
        <v>万元</v>
      </c>
      <c r="E46" s="1862"/>
      <c r="F46" s="1862"/>
      <c r="I46" s="1869" t="s">
        <v>1523</v>
      </c>
      <c r="J46" s="1870"/>
      <c r="K46" s="1871"/>
      <c r="L46" s="1872" t="str">
        <f ca="1">IF(M47="住宅",0,IF(L48&gt;J51,L60,J60))</f>
        <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3126</v>
      </c>
      <c r="K47" s="1878" t="s">
        <v>1529</v>
      </c>
      <c r="L47" s="1879">
        <f ca="1">INDIRECT("'数据-取费表'!d"&amp;$G$1)</f>
        <v>40</v>
      </c>
      <c r="M47" s="1834" t="str">
        <f>IF(ISNUMBER(FIND("住宅",C1)),"住宅","非住宅")</f>
        <v>非住宅</v>
      </c>
      <c r="O47" s="1880" t="s">
        <v>1040</v>
      </c>
      <c r="P47" s="1881" t="s">
        <v>1530</v>
      </c>
      <c r="Q47" s="1882">
        <f ca="1">C40+J29</f>
        <v>4640</v>
      </c>
      <c r="R47" s="1882" t="s">
        <v>1531</v>
      </c>
    </row>
    <row r="48" spans="1:18" s="1838" customFormat="1" ht="28.5" thickBot="1">
      <c r="A48" s="1355" t="s">
        <v>1135</v>
      </c>
      <c r="B48" s="343" t="s">
        <v>1402</v>
      </c>
      <c r="C48" s="2952">
        <f ca="1">C49+C53+C55</f>
        <v>0</v>
      </c>
      <c r="D48" s="1357"/>
      <c r="E48" s="1358"/>
      <c r="F48" s="1176"/>
      <c r="G48" s="789"/>
      <c r="H48" s="790"/>
      <c r="I48" s="1883" t="s">
        <v>1532</v>
      </c>
      <c r="J48" s="1884" t="s">
        <v>3127</v>
      </c>
      <c r="K48" s="1885" t="s">
        <v>1533</v>
      </c>
      <c r="L48" s="1886">
        <f ca="1">INDIRECT("'数据-取费表'!f"&amp;$G$1)</f>
        <v>37.94</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3034</v>
      </c>
      <c r="E49" s="1826" t="s">
        <v>1493</v>
      </c>
      <c r="F49" s="1276"/>
      <c r="G49" s="1887"/>
      <c r="H49" s="790"/>
      <c r="I49" s="1883" t="s">
        <v>1536</v>
      </c>
      <c r="J49" s="1888">
        <v>2019</v>
      </c>
      <c r="K49" s="1885" t="s">
        <v>1537</v>
      </c>
      <c r="L49" s="1889"/>
      <c r="O49" s="1890" t="s">
        <v>1042</v>
      </c>
      <c r="P49" s="1881" t="s">
        <v>1538</v>
      </c>
      <c r="Q49" s="1882">
        <f ca="1">C29</f>
        <v>891</v>
      </c>
      <c r="R49" s="1882" t="s">
        <v>1531</v>
      </c>
    </row>
    <row r="50" spans="1:18" s="1838" customFormat="1" ht="13.5" thickBot="1">
      <c r="A50" s="1190"/>
      <c r="B50" s="1193"/>
      <c r="C50" s="1363"/>
      <c r="D50" s="1167"/>
      <c r="E50" s="1272" t="s">
        <v>1407</v>
      </c>
      <c r="F50" s="1273">
        <f ca="1">F7</f>
        <v>2000.56</v>
      </c>
      <c r="H50" s="790"/>
      <c r="I50" s="1883" t="s">
        <v>1539</v>
      </c>
      <c r="J50" s="1891">
        <f>SUMPRODUCT((I63:I65=J47)*(J62:L62=J48)*(J63:L65))</f>
        <v>60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6">
        <f ca="1">F8</f>
        <v>365</v>
      </c>
      <c r="I51" s="1894" t="s">
        <v>1542</v>
      </c>
      <c r="J51" s="1895">
        <f>IF(J49="",J50,J49+J50-YEAR('数据-取费表'!B2))</f>
        <v>61</v>
      </c>
      <c r="K51" s="1896" t="s">
        <v>1543</v>
      </c>
      <c r="L51" s="1897">
        <f ca="1">ROUND(-PV(INDIRECT("'数据-取费表'!h"&amp;$G$1),L48,(C39-C13*C76),0),0)</f>
        <v>1931</v>
      </c>
      <c r="M51" s="1898"/>
      <c r="O51" s="1890" t="s">
        <v>1044</v>
      </c>
      <c r="P51" s="1881" t="s">
        <v>1544</v>
      </c>
      <c r="Q51" s="1893">
        <f>J52</f>
        <v>0.09</v>
      </c>
      <c r="R51" s="1882"/>
    </row>
    <row r="52" spans="1:18" s="1838" customFormat="1" ht="13.5" thickBot="1">
      <c r="A52" s="1191"/>
      <c r="B52" s="1193"/>
      <c r="C52" s="1194"/>
      <c r="D52" s="1167"/>
      <c r="E52" s="1195" t="s">
        <v>1409</v>
      </c>
      <c r="F52" s="1270"/>
      <c r="I52" s="1899" t="s">
        <v>1545</v>
      </c>
      <c r="J52" s="1900">
        <v>0.09</v>
      </c>
      <c r="K52" s="1899" t="s">
        <v>1546</v>
      </c>
      <c r="L52" s="1900"/>
      <c r="O52" s="1890" t="s">
        <v>1045</v>
      </c>
      <c r="P52" s="1881" t="s">
        <v>1547</v>
      </c>
      <c r="Q52" s="1882">
        <f ca="1">J53</f>
        <v>36.94</v>
      </c>
      <c r="R52" s="1882" t="s">
        <v>1548</v>
      </c>
    </row>
    <row r="53" spans="1:18" s="1838" customFormat="1" ht="24.75" thickBot="1">
      <c r="A53" s="1400" t="s">
        <v>1137</v>
      </c>
      <c r="B53" s="1827" t="s">
        <v>1410</v>
      </c>
      <c r="C53" s="359">
        <f ca="1">ROUND(IF(F53="押一",F49*F51*F50/12*F11,IF(F53="押二",F49*F51*F50/12*2*F11,IF(F53="押三",F49*F51*F50/12*3*F11,C54*F11)))/10000,0)</f>
        <v>0</v>
      </c>
      <c r="D53" s="1820" t="s">
        <v>3031</v>
      </c>
      <c r="E53" s="356" t="s">
        <v>1412</v>
      </c>
      <c r="F53" s="1361"/>
      <c r="I53" s="1901" t="s">
        <v>1549</v>
      </c>
      <c r="J53" s="1902">
        <f ca="1">IF(M47="住宅",J51,IF(D1="——",MIN(J51,L48),IF(D1="在建（套用方法）",MIN(J51,L48-'数据-取费表'!B24),IF(D1="土地（套用方法）",MIN(J51,L48-'数据-取费表'!B20)))))</f>
        <v>36.94</v>
      </c>
      <c r="K53" s="3209" t="s">
        <v>1550</v>
      </c>
      <c r="L53" s="3210"/>
      <c r="O53" s="1880" t="s">
        <v>1046</v>
      </c>
      <c r="P53" s="1881" t="s">
        <v>1551</v>
      </c>
      <c r="Q53" s="1882">
        <f ca="1">Q47+Q48</f>
        <v>4640</v>
      </c>
      <c r="R53" s="1882" t="s">
        <v>1047</v>
      </c>
    </row>
    <row r="54" spans="1:18" s="1838" customFormat="1" ht="13.5" thickBot="1">
      <c r="A54" s="1401"/>
      <c r="B54" s="1821" t="s">
        <v>1389</v>
      </c>
      <c r="C54" s="1173"/>
      <c r="D54" s="1820"/>
      <c r="E54" s="295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2956"/>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4">
        <f ca="1">C13</f>
        <v>891</v>
      </c>
      <c r="D56" s="1910"/>
      <c r="E56" s="1911"/>
      <c r="F56" s="1903"/>
      <c r="I56" s="1912" t="s">
        <v>1556</v>
      </c>
      <c r="J56" s="1913" t="s">
        <v>3062</v>
      </c>
      <c r="K56" s="1883" t="s">
        <v>1557</v>
      </c>
      <c r="L56" s="1886" t="str">
        <f ca="1">IF(L48&lt;J51,"——",L48-J53)</f>
        <v>——</v>
      </c>
      <c r="O56" s="1880" t="s">
        <v>1040</v>
      </c>
      <c r="P56" s="1881" t="s">
        <v>1530</v>
      </c>
      <c r="Q56" s="1882">
        <f ca="1">C40+J29</f>
        <v>4640</v>
      </c>
      <c r="R56" s="1882" t="s">
        <v>1531</v>
      </c>
    </row>
    <row r="57" spans="1:18" s="1838" customFormat="1" ht="24.75" thickBot="1">
      <c r="A57" s="1914"/>
      <c r="B57" s="1164" t="s">
        <v>1480</v>
      </c>
      <c r="C57" s="280">
        <f ca="1">C29</f>
        <v>891</v>
      </c>
      <c r="D57" s="1915"/>
      <c r="E57" s="1916"/>
      <c r="F57" s="1917"/>
      <c r="I57" s="1918" t="s">
        <v>1558</v>
      </c>
      <c r="J57" s="1919" t="str">
        <f ca="1">IF(OR(M47="住宅",J51&lt;L48,J56="是"),"——",J51-L48)</f>
        <v>——</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8" t="s">
        <v>1030</v>
      </c>
      <c r="B58" s="1172" t="s">
        <v>1426</v>
      </c>
      <c r="C58" s="359">
        <f ca="1">ROUND(C59+C64+C65+C66,0)</f>
        <v>18</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3">
        <f ca="1">ROUND(IF(项目基本情况!B11="自然人",C48*F59,C60+C61+C62),1)</f>
        <v>7.6</v>
      </c>
      <c r="D59" s="1177" t="s">
        <v>1432</v>
      </c>
      <c r="E59" s="1178" t="s">
        <v>1433</v>
      </c>
      <c r="F59" s="366"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3">
        <f ca="1">IF(项目基本情况!B11="自然人","——",ROUND(C48*F60/(1+'数据-取费表'!C42),2))</f>
        <v>0</v>
      </c>
      <c r="D60" s="1178" t="s">
        <v>1436</v>
      </c>
      <c r="E60" s="1164" t="s">
        <v>1424</v>
      </c>
      <c r="F60" s="375">
        <f t="shared" ref="F60:F66" si="0">F32</f>
        <v>5.6000000000000001E-2</v>
      </c>
      <c r="I60" s="1921" t="s">
        <v>1567</v>
      </c>
      <c r="J60" s="1922" t="str">
        <f ca="1">IF(OR(M47="住宅",J51&lt;L48,J56="是"),"0",ROUND(J59/(1+J52)^J53,0))</f>
        <v>0</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1439</v>
      </c>
      <c r="C61" s="23">
        <f ca="1">IF(项目基本情况!B11="自然人","——",IF(D61="按租金收入计税",ROUND(C48*F61,2),IF(D61="按房产原值计税",ROUND(C57*F61*0.7,2),INDIRECT("'数据-取费表'!Aj"&amp;$G$1))))</f>
        <v>7.48</v>
      </c>
      <c r="D61" s="1824" t="s">
        <v>1440</v>
      </c>
      <c r="E61" s="1164" t="s">
        <v>1424</v>
      </c>
      <c r="F61" s="365">
        <f t="shared" si="0"/>
        <v>1.2E-2</v>
      </c>
      <c r="I61" s="1924"/>
      <c r="J61" s="1924"/>
      <c r="K61" s="1924"/>
      <c r="L61" s="1924"/>
      <c r="O61" s="1890" t="s">
        <v>1045</v>
      </c>
      <c r="P61" s="1881" t="str">
        <f>K59</f>
        <v>续建工期及建筑物耐用年限下的土地年期修正系数Kn</v>
      </c>
      <c r="Q61" s="1882" t="e">
        <f ca="1">L59</f>
        <v>#DIV/0!</v>
      </c>
      <c r="R61" s="1882" t="s">
        <v>1571</v>
      </c>
    </row>
    <row r="62" spans="1:18" s="1838" customFormat="1" ht="13.5" thickBot="1">
      <c r="A62" s="1196" t="s">
        <v>1497</v>
      </c>
      <c r="B62" s="1163" t="s">
        <v>1443</v>
      </c>
      <c r="C62" s="24">
        <f ca="1">IF(项目基本情况!B11="自然人","——",ROUND(F62*F63/10000,2))</f>
        <v>0.08</v>
      </c>
      <c r="D62" s="1179" t="s">
        <v>1499</v>
      </c>
      <c r="E62" s="1164" t="s">
        <v>1500</v>
      </c>
      <c r="F62" s="369">
        <f t="shared" si="0"/>
        <v>1.5</v>
      </c>
      <c r="I62" s="1925" t="s">
        <v>1572</v>
      </c>
      <c r="J62" s="1926" t="s">
        <v>1573</v>
      </c>
      <c r="K62" s="1926" t="s">
        <v>1574</v>
      </c>
      <c r="L62" s="1926" t="s">
        <v>1575</v>
      </c>
      <c r="M62" s="1927" t="s">
        <v>1576</v>
      </c>
      <c r="O62" s="1880" t="s">
        <v>1046</v>
      </c>
      <c r="P62" s="1881" t="s">
        <v>1577</v>
      </c>
      <c r="Q62" s="1882">
        <f ca="1">Q56+Q57</f>
        <v>4640</v>
      </c>
      <c r="R62" s="1882" t="s">
        <v>1047</v>
      </c>
    </row>
    <row r="63" spans="1:18" s="1838" customFormat="1" ht="13.5" thickBot="1">
      <c r="A63" s="370"/>
      <c r="B63" s="1170"/>
      <c r="C63" s="28"/>
      <c r="D63" s="1180"/>
      <c r="E63" s="1164" t="s">
        <v>1501</v>
      </c>
      <c r="F63" s="346">
        <f t="shared" ca="1" si="0"/>
        <v>532.28000000000009</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f ca="1">ROUND(C57*F64,1)</f>
        <v>8.9</v>
      </c>
      <c r="D64" s="1178" t="s">
        <v>1484</v>
      </c>
      <c r="E64" s="1164" t="s">
        <v>1424</v>
      </c>
      <c r="F64" s="372">
        <f t="shared" ca="1" si="0"/>
        <v>0.01</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f ca="1">ROUND(C56*F65,1)</f>
        <v>1.3</v>
      </c>
      <c r="D65" s="1178" t="s">
        <v>1456</v>
      </c>
      <c r="E65" s="1164" t="s">
        <v>1424</v>
      </c>
      <c r="F65" s="374">
        <f t="shared" ca="1" si="0"/>
        <v>1.5E-3</v>
      </c>
      <c r="I65" s="1925" t="s">
        <v>1581</v>
      </c>
      <c r="J65" s="1926">
        <v>40</v>
      </c>
      <c r="K65" s="1926">
        <v>30</v>
      </c>
      <c r="L65" s="1926">
        <v>50</v>
      </c>
      <c r="M65" s="1928">
        <v>0.02</v>
      </c>
      <c r="O65" s="1880" t="s">
        <v>1040</v>
      </c>
      <c r="P65" s="1881" t="s">
        <v>1582</v>
      </c>
      <c r="Q65" s="1882">
        <f ca="1">C40+J29</f>
        <v>4640</v>
      </c>
      <c r="R65" s="1882" t="s">
        <v>1531</v>
      </c>
    </row>
    <row r="66" spans="1:18" s="1838" customFormat="1" ht="16.5" thickBot="1">
      <c r="A66" s="1196" t="s">
        <v>1506</v>
      </c>
      <c r="B66" s="1164" t="s">
        <v>1441</v>
      </c>
      <c r="C66" s="23">
        <f ca="1">ROUND(C48*F66,1)</f>
        <v>0</v>
      </c>
      <c r="D66" s="1178" t="s">
        <v>1461</v>
      </c>
      <c r="E66" s="1164" t="s">
        <v>1424</v>
      </c>
      <c r="F66" s="355">
        <f t="shared" ca="1" si="0"/>
        <v>0.01</v>
      </c>
      <c r="O66" s="1880" t="s">
        <v>1041</v>
      </c>
      <c r="P66" s="1881" t="s">
        <v>1560</v>
      </c>
      <c r="Q66" s="1882">
        <f ca="1">L60</f>
        <v>0</v>
      </c>
      <c r="R66" s="1882" t="s">
        <v>1583</v>
      </c>
    </row>
    <row r="67" spans="1:18" s="1838" customFormat="1" ht="16.5" thickBot="1">
      <c r="A67" s="1171" t="s">
        <v>1031</v>
      </c>
      <c r="B67" s="1181" t="s">
        <v>1465</v>
      </c>
      <c r="C67" s="359">
        <f ca="1">C48-C58</f>
        <v>-18</v>
      </c>
      <c r="D67" s="1177" t="s">
        <v>1466</v>
      </c>
      <c r="E67" s="1182"/>
      <c r="F67" s="1183"/>
      <c r="O67" s="1890" t="s">
        <v>1042</v>
      </c>
      <c r="P67" s="1881" t="s">
        <v>1564</v>
      </c>
      <c r="Q67" s="1929">
        <f ca="1">L51</f>
        <v>1931</v>
      </c>
      <c r="R67" s="1882" t="s">
        <v>1584</v>
      </c>
    </row>
    <row r="68" spans="1:18" s="1838" customFormat="1" ht="16.5" thickBot="1">
      <c r="A68" s="1161" t="s">
        <v>1032</v>
      </c>
      <c r="B68" s="1162" t="s">
        <v>1487</v>
      </c>
      <c r="C68" s="344">
        <f ca="1">ROUND(C67*(1-((1+F70)/(1+F68))^F69)/(F68-F70),0)</f>
        <v>-265</v>
      </c>
      <c r="D68" s="1179" t="s">
        <v>1471</v>
      </c>
      <c r="E68" s="1164" t="s">
        <v>1472</v>
      </c>
      <c r="F68" s="355">
        <f ca="1">F40</f>
        <v>0.06</v>
      </c>
      <c r="O68" s="1890" t="s">
        <v>1043</v>
      </c>
      <c r="P68" s="1930" t="s">
        <v>1585</v>
      </c>
      <c r="Q68" s="1882">
        <f ca="1">ROUND(Q69-Q70*Q71,0)</f>
        <v>122</v>
      </c>
      <c r="R68" s="1882" t="s">
        <v>1051</v>
      </c>
    </row>
    <row r="69" spans="1:18" s="1838" customFormat="1" ht="13.5" thickBot="1">
      <c r="A69" s="1165"/>
      <c r="B69" s="1166"/>
      <c r="C69" s="349"/>
      <c r="D69" s="1184" t="s">
        <v>1475</v>
      </c>
      <c r="E69" s="1164" t="s">
        <v>1476</v>
      </c>
      <c r="F69" s="377">
        <f ca="1">F41</f>
        <v>36.94</v>
      </c>
      <c r="O69" s="1890" t="s">
        <v>1048</v>
      </c>
      <c r="P69" s="1930" t="s">
        <v>1586</v>
      </c>
      <c r="Q69" s="1882">
        <f ca="1">C39</f>
        <v>198</v>
      </c>
      <c r="R69" s="1882" t="s">
        <v>1531</v>
      </c>
    </row>
    <row r="70" spans="1:18" s="1838" customFormat="1" ht="13.5" thickBot="1">
      <c r="A70" s="1168"/>
      <c r="B70" s="1169"/>
      <c r="C70" s="353"/>
      <c r="D70" s="1180"/>
      <c r="E70" s="1164" t="s">
        <v>1479</v>
      </c>
      <c r="F70" s="1270"/>
      <c r="O70" s="1890" t="s">
        <v>1049</v>
      </c>
      <c r="P70" s="1930" t="s">
        <v>1587</v>
      </c>
      <c r="Q70" s="1882">
        <f ca="1">C13</f>
        <v>891</v>
      </c>
      <c r="R70" s="1882" t="s">
        <v>1531</v>
      </c>
    </row>
    <row r="71" spans="1:18" s="1838" customFormat="1" ht="13.5" thickBot="1">
      <c r="A71" s="1185" t="s">
        <v>1033</v>
      </c>
      <c r="B71" s="1186" t="s">
        <v>1489</v>
      </c>
      <c r="C71" s="380">
        <f ca="1">ROUND(C68*10000/F71,0)</f>
        <v>-1325</v>
      </c>
      <c r="D71" s="1187" t="s">
        <v>1490</v>
      </c>
      <c r="E71" s="1188" t="s">
        <v>1491</v>
      </c>
      <c r="F71" s="383">
        <f ca="1">F43</f>
        <v>2000.56</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5" t="s">
        <v>1589</v>
      </c>
      <c r="C74" s="1932"/>
      <c r="D74" s="1838"/>
      <c r="E74" s="1838"/>
      <c r="F74" s="1838"/>
      <c r="O74" s="1890" t="s">
        <v>1052</v>
      </c>
      <c r="P74" s="1881" t="str">
        <f>K59</f>
        <v>续建工期及建筑物耐用年限下的土地年期修正系数Kn</v>
      </c>
      <c r="Q74" s="1882" t="e">
        <f ca="1">L59</f>
        <v>#DIV/0!</v>
      </c>
      <c r="R74" s="1882" t="s">
        <v>1571</v>
      </c>
    </row>
    <row r="75" spans="1:18" ht="13.5" thickBot="1">
      <c r="A75" s="1838"/>
      <c r="B75" s="384" t="s">
        <v>1508</v>
      </c>
      <c r="C75" s="385">
        <f ca="1">ROUND(C13*C76,0)</f>
        <v>76</v>
      </c>
      <c r="D75" s="1838"/>
      <c r="E75" s="1838"/>
      <c r="F75" s="1838"/>
      <c r="K75" s="1864"/>
      <c r="L75" s="1838"/>
      <c r="O75" s="1880" t="s">
        <v>1046</v>
      </c>
      <c r="P75" s="1881" t="s">
        <v>1551</v>
      </c>
      <c r="Q75" s="1882">
        <f ca="1">Q65+Q66</f>
        <v>4640</v>
      </c>
      <c r="R75" s="1882" t="s">
        <v>1047</v>
      </c>
    </row>
    <row r="76" spans="1:18">
      <c r="B76" s="386" t="s">
        <v>1509</v>
      </c>
      <c r="C76" s="387">
        <f ca="1">INDIRECT("'数据-取费表'!j"&amp;$G$1)</f>
        <v>8.5000000000000006E-2</v>
      </c>
      <c r="I76" s="1838"/>
      <c r="J76" s="1838"/>
      <c r="K76" s="1864"/>
      <c r="L76" s="1838"/>
    </row>
    <row r="77" spans="1:18">
      <c r="B77" s="388" t="s">
        <v>1510</v>
      </c>
      <c r="C77" s="389"/>
      <c r="I77" s="1838"/>
      <c r="J77" s="1838"/>
      <c r="K77" s="1864"/>
      <c r="L77" s="1838"/>
    </row>
    <row r="78" spans="1:18">
      <c r="B78" s="312" t="s">
        <v>1511</v>
      </c>
      <c r="C78" s="390"/>
    </row>
    <row r="79" spans="1:18">
      <c r="B79" s="384" t="s">
        <v>1512</v>
      </c>
      <c r="C79" s="316">
        <f ca="1">1-C80</f>
        <v>0.61599999999999999</v>
      </c>
    </row>
    <row r="80" spans="1:18">
      <c r="B80" s="384" t="s">
        <v>1513</v>
      </c>
      <c r="C80" s="316">
        <f ca="1">ROUND(C75/C39,3)</f>
        <v>0.38400000000000001</v>
      </c>
    </row>
    <row r="81" spans="2:3">
      <c r="B81" s="312" t="s">
        <v>1514</v>
      </c>
      <c r="C81" s="280"/>
    </row>
    <row r="82" spans="2:3">
      <c r="B82" s="315" t="s">
        <v>1515</v>
      </c>
      <c r="C82" s="317">
        <f ca="1">1-C83</f>
        <v>0.80800000000000005</v>
      </c>
    </row>
    <row r="83" spans="2:3">
      <c r="B83" s="315" t="s">
        <v>1516</v>
      </c>
      <c r="C83" s="316">
        <f ca="1">ROUND(C13/C40,3)</f>
        <v>0.192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F7" sqref="F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3222</v>
      </c>
      <c r="D1" s="1816" t="s">
        <v>3129</v>
      </c>
      <c r="E1" s="1817" t="s">
        <v>1388</v>
      </c>
      <c r="F1" s="1278">
        <f ca="1">J53</f>
        <v>46.95</v>
      </c>
      <c r="G1" s="1832">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3339</v>
      </c>
      <c r="C2" s="1841" t="s">
        <v>1518</v>
      </c>
      <c r="D2" s="1841"/>
      <c r="E2" s="1842"/>
      <c r="F2" s="1843"/>
      <c r="G2" s="1844"/>
      <c r="H2" s="1836"/>
      <c r="I2" s="1836"/>
      <c r="J2" s="1836"/>
      <c r="K2" s="1837"/>
      <c r="L2" s="1836"/>
      <c r="M2" s="1836"/>
    </row>
    <row r="3" spans="1:37" ht="18" customHeight="1" thickBot="1">
      <c r="A3" s="1845" t="s">
        <v>1519</v>
      </c>
      <c r="B3" s="1846">
        <f ca="1">IF(ISERROR(B2*10000/F43),0,ROUND(B2*10000/F43,0))</f>
        <v>8757</v>
      </c>
      <c r="C3" s="1841" t="s">
        <v>1520</v>
      </c>
      <c r="D3" s="1841"/>
      <c r="E3" s="1842"/>
      <c r="F3" s="1843"/>
      <c r="G3" s="1844"/>
      <c r="H3" s="741" t="s">
        <v>1590</v>
      </c>
      <c r="I3" s="1836"/>
      <c r="J3" s="1836"/>
      <c r="K3" s="1837"/>
      <c r="L3" s="1836"/>
      <c r="M3" s="1836"/>
    </row>
    <row r="4" spans="1:37" ht="18" customHeight="1">
      <c r="A4" s="338" t="s">
        <v>1397</v>
      </c>
      <c r="B4" s="339" t="s">
        <v>1398</v>
      </c>
      <c r="C4" s="339" t="s">
        <v>1399</v>
      </c>
      <c r="D4" s="339" t="s">
        <v>1400</v>
      </c>
      <c r="E4" s="340" t="s">
        <v>1401</v>
      </c>
      <c r="F4" s="341"/>
      <c r="G4" s="1847"/>
      <c r="H4" s="338" t="s">
        <v>1397</v>
      </c>
      <c r="I4" s="339" t="s">
        <v>1398</v>
      </c>
      <c r="J4" s="339" t="s">
        <v>1399</v>
      </c>
      <c r="K4" s="339" t="s">
        <v>1400</v>
      </c>
      <c r="L4" s="340" t="s">
        <v>1401</v>
      </c>
      <c r="M4" s="341"/>
    </row>
    <row r="5" spans="1:37" ht="18" customHeight="1">
      <c r="A5" s="342">
        <v>1</v>
      </c>
      <c r="B5" s="343" t="s">
        <v>1402</v>
      </c>
      <c r="C5" s="1287">
        <f ca="1">C6+C10+C12</f>
        <v>175</v>
      </c>
      <c r="D5" s="1818" t="s">
        <v>1403</v>
      </c>
      <c r="E5" s="1288"/>
      <c r="F5" s="1289"/>
      <c r="G5" s="1847"/>
      <c r="H5" s="342">
        <v>1</v>
      </c>
      <c r="I5" s="343" t="s">
        <v>1402</v>
      </c>
      <c r="J5" s="1287">
        <f ca="1">J6+J10+J12</f>
        <v>0</v>
      </c>
      <c r="K5" s="1818" t="s">
        <v>1403</v>
      </c>
      <c r="L5" s="1288"/>
      <c r="M5" s="1289"/>
    </row>
    <row r="6" spans="1:37" ht="18" customHeight="1">
      <c r="A6" s="1286" t="s">
        <v>1035</v>
      </c>
      <c r="B6" s="3206" t="s">
        <v>1404</v>
      </c>
      <c r="C6" s="1291">
        <f ca="1">ROUND(F6*F8*F7*(1-F9)/10000,0)</f>
        <v>175</v>
      </c>
      <c r="D6" s="162" t="s">
        <v>3035</v>
      </c>
      <c r="E6" s="345" t="s">
        <v>1406</v>
      </c>
      <c r="F6" s="346">
        <f ca="1">INDIRECT("'数据-取费表'!u"&amp;$G$1)</f>
        <v>1.4</v>
      </c>
      <c r="G6" s="1847"/>
      <c r="H6" s="1286" t="s">
        <v>1035</v>
      </c>
      <c r="I6" s="3206" t="s">
        <v>1404</v>
      </c>
      <c r="J6" s="344">
        <f ca="1">ROUND(M6*M8*M7*(1-M9)/10000,0)</f>
        <v>0</v>
      </c>
      <c r="K6" s="162" t="s">
        <v>3034</v>
      </c>
      <c r="L6" s="345" t="s">
        <v>1406</v>
      </c>
      <c r="M6" s="346">
        <f ca="1">INDIRECT("'数据-取费表'!z"&amp;$G$1)</f>
        <v>0</v>
      </c>
    </row>
    <row r="7" spans="1:37" ht="18" customHeight="1">
      <c r="A7" s="1290"/>
      <c r="B7" s="3207"/>
      <c r="C7" s="1292"/>
      <c r="D7" s="350"/>
      <c r="E7" s="1293" t="s">
        <v>1407</v>
      </c>
      <c r="F7" s="346">
        <f ca="1">IF(INDIRECT("'数据-取费表'!ah"&amp;$G$1)="",INDIRECT("'数据-取费表'!k"&amp;$G$1),INDIRECT("'数据-取费表'!ah"&amp;$G$1))</f>
        <v>3812.8599999999997</v>
      </c>
      <c r="G7" s="1847"/>
      <c r="H7" s="347"/>
      <c r="I7" s="3207"/>
      <c r="J7" s="349"/>
      <c r="K7" s="350"/>
      <c r="L7" s="345" t="s">
        <v>1407</v>
      </c>
      <c r="M7" s="346">
        <f ca="1">F7</f>
        <v>3812.8599999999997</v>
      </c>
    </row>
    <row r="8" spans="1:37" ht="18" customHeight="1">
      <c r="A8" s="347"/>
      <c r="B8" s="3207"/>
      <c r="C8" s="349"/>
      <c r="D8" s="350"/>
      <c r="E8" s="345" t="s">
        <v>1408</v>
      </c>
      <c r="F8" s="346">
        <f ca="1">INDIRECT("'数据-取费表'!ai"&amp;$G$1)</f>
        <v>365</v>
      </c>
      <c r="G8" s="184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0.1</v>
      </c>
      <c r="G9" s="1847"/>
      <c r="H9" s="347"/>
      <c r="I9" s="3208"/>
      <c r="J9" s="349"/>
      <c r="K9" s="350"/>
      <c r="L9" s="356" t="s">
        <v>1409</v>
      </c>
      <c r="M9" s="357">
        <f ca="1">INDIRECT("'数据-取费表'!ab"&amp;$G$1)</f>
        <v>0</v>
      </c>
    </row>
    <row r="10" spans="1:37" ht="18" customHeight="1">
      <c r="A10" s="1286" t="s">
        <v>1039</v>
      </c>
      <c r="B10" s="1819" t="s">
        <v>1410</v>
      </c>
      <c r="C10" s="359">
        <f ca="1">ROUND(IF(F10="押一",F6*F8*F7/12*F11,IF(F10="押二",F6*F8*F7/12*2*F11,IF(F10="押三",F6*F8*F7/12*3*F11,C11*F11)))/10000,0)</f>
        <v>0</v>
      </c>
      <c r="D10" s="1820" t="s">
        <v>3036</v>
      </c>
      <c r="E10" s="356" t="s">
        <v>1412</v>
      </c>
      <c r="F10" s="1361" t="s">
        <v>3258</v>
      </c>
      <c r="G10" s="1847"/>
      <c r="H10" s="1286" t="s">
        <v>1039</v>
      </c>
      <c r="I10" s="1819" t="s">
        <v>1410</v>
      </c>
      <c r="J10" s="344">
        <f ca="1">ROUND(IF(M10="押一",M6*M8*M7/12*M11,IF(M10="押二",M6*M8*M7/12*2*M11,IF(M10="押三",M6*M8*M7/12*3*M11,J11*M11)))/10000,0)</f>
        <v>0</v>
      </c>
      <c r="K10" s="1820" t="s">
        <v>3037</v>
      </c>
      <c r="L10" s="356" t="s">
        <v>1412</v>
      </c>
      <c r="M10" s="1361" t="s">
        <v>1413</v>
      </c>
    </row>
    <row r="11" spans="1:37" ht="18" customHeight="1">
      <c r="A11" s="351"/>
      <c r="B11" s="1821" t="s">
        <v>1389</v>
      </c>
      <c r="C11" s="1173"/>
      <c r="D11" s="1822"/>
      <c r="E11" s="356" t="s">
        <v>1414</v>
      </c>
      <c r="F11" s="357">
        <f ca="1">'数据-取费表'!B39</f>
        <v>1.4999999999999999E-2</v>
      </c>
      <c r="G11" s="1847"/>
      <c r="H11" s="1294"/>
      <c r="I11" s="1821" t="s">
        <v>1389</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f ca="1">ROUND(C29*F13,0)</f>
        <v>1458</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5" t="s">
        <v>1419</v>
      </c>
      <c r="C14" s="361">
        <f ca="1">INDIRECT("'数据-取费表'!m"&amp;$G$1)+INDIRECT("'数据-取费表'!t"&amp;$G$1)</f>
        <v>1080</v>
      </c>
      <c r="D14" s="1796" t="s">
        <v>1420</v>
      </c>
      <c r="E14" s="1790"/>
      <c r="F14" s="362"/>
      <c r="G14" s="1847"/>
      <c r="H14" s="1196" t="s">
        <v>1035</v>
      </c>
      <c r="I14" s="345" t="s">
        <v>1421</v>
      </c>
      <c r="J14" s="23">
        <f ca="1">C29</f>
        <v>1458</v>
      </c>
      <c r="K14" s="14"/>
      <c r="L14" s="974"/>
      <c r="M14" s="975"/>
    </row>
    <row r="15" spans="1:37" s="1854" customFormat="1" ht="18" customHeight="1" thickBot="1">
      <c r="A15" s="1196" t="s">
        <v>1036</v>
      </c>
      <c r="B15" s="345" t="s">
        <v>1422</v>
      </c>
      <c r="C15" s="23">
        <f ca="1">ROUND(C14*F15,0)</f>
        <v>32</v>
      </c>
      <c r="D15" s="363" t="s">
        <v>1423</v>
      </c>
      <c r="E15" s="363" t="s">
        <v>1424</v>
      </c>
      <c r="F15" s="364">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f ca="1">ROUND(INDIRECT("'数据-取费表'!m"&amp;$G$1)*F16,0)</f>
        <v>0</v>
      </c>
      <c r="D16" s="345" t="s">
        <v>1423</v>
      </c>
      <c r="E16" s="345" t="s">
        <v>1424</v>
      </c>
      <c r="F16" s="365">
        <f ca="1">IF(INDIRECT("'数据-取费表'!c"&amp;$G$1)="住宅",'数据-取费表'!B34,0)</f>
        <v>0</v>
      </c>
      <c r="G16" s="1847"/>
      <c r="H16" s="1324" t="s">
        <v>1030</v>
      </c>
      <c r="I16" s="1325" t="s">
        <v>1426</v>
      </c>
      <c r="J16" s="353">
        <f ca="1">ROUND(J17+J22+J23+J24,0)</f>
        <v>27</v>
      </c>
      <c r="K16" s="1332" t="s">
        <v>1427</v>
      </c>
      <c r="L16" s="1333"/>
      <c r="M16" s="1289"/>
    </row>
    <row r="17" spans="1:37" s="1854" customFormat="1" ht="18" customHeight="1">
      <c r="A17" s="1196" t="s">
        <v>1391</v>
      </c>
      <c r="B17" s="345" t="s">
        <v>1428</v>
      </c>
      <c r="C17" s="23">
        <f ca="1">ROUND(F17*(F43+INDIRECT("'数据-取费表'!S"&amp;$G$1))/10000,0)</f>
        <v>77</v>
      </c>
      <c r="D17" s="345" t="s">
        <v>1429</v>
      </c>
      <c r="E17" s="345" t="s">
        <v>1430</v>
      </c>
      <c r="F17" s="25">
        <f>'数据-取费表'!B35</f>
        <v>200</v>
      </c>
      <c r="G17" s="1850"/>
      <c r="H17" s="1196" t="s">
        <v>1035</v>
      </c>
      <c r="I17" s="345" t="s">
        <v>1431</v>
      </c>
      <c r="J17" s="23">
        <f ca="1">ROUND(IF(项目基本情况!B11="自然人",J5*M17,J18+J19+J20),1)</f>
        <v>12.4</v>
      </c>
      <c r="K17" s="1796" t="s">
        <v>1432</v>
      </c>
      <c r="L17" s="1794"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f ca="1">ROUND(C14*F18,0)</f>
        <v>16</v>
      </c>
      <c r="D18" s="345" t="s">
        <v>1423</v>
      </c>
      <c r="E18" s="345" t="s">
        <v>1424</v>
      </c>
      <c r="F18" s="365">
        <f>'数据-取费表'!B36</f>
        <v>1.4999999999999999E-2</v>
      </c>
      <c r="G18" s="1850"/>
      <c r="H18" s="1196" t="s">
        <v>1034</v>
      </c>
      <c r="I18" s="345" t="s">
        <v>1435</v>
      </c>
      <c r="J18" s="23">
        <f ca="1">ROUND(J5*M18/(1+'数据-取费表'!C42),2)</f>
        <v>0</v>
      </c>
      <c r="K18" s="1794"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f ca="1">SUM(C14:C18)</f>
        <v>1205</v>
      </c>
      <c r="D19" s="138" t="s">
        <v>1438</v>
      </c>
      <c r="E19" s="1814"/>
      <c r="F19" s="25"/>
      <c r="G19" s="1847"/>
      <c r="H19" s="1196" t="s">
        <v>1036</v>
      </c>
      <c r="I19" s="345" t="s">
        <v>1439</v>
      </c>
      <c r="J19" s="23">
        <f ca="1">IF(K19="按租金收入计税",ROUND(J5*M19,2),ROUND(C29*M19*0.7,2))</f>
        <v>12.25</v>
      </c>
      <c r="K19" s="1824" t="s">
        <v>1440</v>
      </c>
      <c r="L19" s="345" t="s">
        <v>1424</v>
      </c>
      <c r="M19" s="365">
        <f>IF(K19="按租金收入计税",'数据-取费表'!B51,'数据-取费表'!B50)</f>
        <v>1.2E-2</v>
      </c>
    </row>
    <row r="20" spans="1:37" s="1854" customFormat="1" ht="18" customHeight="1">
      <c r="A20" s="1196" t="s">
        <v>1039</v>
      </c>
      <c r="B20" s="345" t="s">
        <v>1441</v>
      </c>
      <c r="C20" s="23">
        <f ca="1">ROUND(C19*F20,0)</f>
        <v>24</v>
      </c>
      <c r="D20" s="367" t="s">
        <v>1442</v>
      </c>
      <c r="E20" s="345" t="s">
        <v>1424</v>
      </c>
      <c r="F20" s="365">
        <f>'数据-取费表'!B37</f>
        <v>0.02</v>
      </c>
      <c r="G20" s="1850"/>
      <c r="H20" s="1196" t="s">
        <v>1390</v>
      </c>
      <c r="I20" s="162" t="s">
        <v>1443</v>
      </c>
      <c r="J20" s="24">
        <f ca="1">ROUND(M20*M21/10000,2)</f>
        <v>0.15</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18</v>
      </c>
      <c r="D21" s="367" t="s">
        <v>1447</v>
      </c>
      <c r="E21" s="345" t="s">
        <v>1448</v>
      </c>
      <c r="F21" s="365">
        <f>'数据-取费表'!B38</f>
        <v>0.02</v>
      </c>
      <c r="G21" s="1850"/>
      <c r="H21" s="370"/>
      <c r="I21" s="354"/>
      <c r="J21" s="28"/>
      <c r="K21" s="371"/>
      <c r="L21" s="345" t="s">
        <v>1449</v>
      </c>
      <c r="M21" s="346">
        <f ca="1">INDIRECT("'数据-取费表'!r"&amp;$G$1)</f>
        <v>1014.4699999999999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1814"/>
      <c r="F22" s="25"/>
      <c r="G22" s="1847"/>
      <c r="H22" s="1196" t="s">
        <v>1039</v>
      </c>
      <c r="I22" s="345" t="s">
        <v>1451</v>
      </c>
      <c r="J22" s="23">
        <f ca="1">ROUND(J14*M22,1)</f>
        <v>14.6</v>
      </c>
      <c r="K22" s="1794" t="s">
        <v>1452</v>
      </c>
      <c r="L22" s="345" t="s">
        <v>1424</v>
      </c>
      <c r="M22" s="372">
        <f ca="1">INDIRECT("'数据-取费表'!Ak"&amp;$G$1)</f>
        <v>0.01</v>
      </c>
    </row>
    <row r="23" spans="1:37" s="1854" customFormat="1" ht="18" customHeight="1">
      <c r="A23" s="1196" t="s">
        <v>1034</v>
      </c>
      <c r="B23" s="345" t="s">
        <v>1453</v>
      </c>
      <c r="C23" s="23">
        <f ca="1">IF('数据-取费表'!B22&lt;=1,ROUND(C19*F24*F23/2,0)+ROUND(C20*F24*F23/2,0),ROUND(C19*(POWER((1+F24),F23/2)-1),0)+ROUND(C20*(POWER((1+F24),F23/2)-1),0))</f>
        <v>58</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f ca="1">ROUND(J13*M23,1)</f>
        <v>0</v>
      </c>
      <c r="K23" s="1794" t="s">
        <v>1456</v>
      </c>
      <c r="L23" s="345" t="s">
        <v>1457</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1394</v>
      </c>
      <c r="I24" s="1335" t="s">
        <v>1441</v>
      </c>
      <c r="J24" s="1336">
        <f ca="1">ROUND(J5*M24,1)</f>
        <v>0</v>
      </c>
      <c r="K24" s="1337" t="s">
        <v>1461</v>
      </c>
      <c r="L24" s="1335" t="s">
        <v>1457</v>
      </c>
      <c r="M24" s="1331">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5" t="s">
        <v>1463</v>
      </c>
      <c r="C25" s="23"/>
      <c r="D25" s="138" t="s">
        <v>1464</v>
      </c>
      <c r="E25" s="1814"/>
      <c r="F25" s="25"/>
      <c r="G25" s="1847"/>
      <c r="H25" s="1324" t="s">
        <v>1031</v>
      </c>
      <c r="I25" s="1339" t="s">
        <v>1465</v>
      </c>
      <c r="J25" s="353">
        <f ca="1">J5-J16</f>
        <v>-27</v>
      </c>
      <c r="K25" s="1340" t="s">
        <v>1466</v>
      </c>
      <c r="L25" s="1341"/>
      <c r="M25" s="1342"/>
    </row>
    <row r="26" spans="1:37">
      <c r="A26" s="1196" t="s">
        <v>1034</v>
      </c>
      <c r="B26" s="345" t="s">
        <v>1467</v>
      </c>
      <c r="C26" s="23">
        <f ca="1">ROUND((C19+C20)*F26,0)</f>
        <v>61</v>
      </c>
      <c r="D26" s="367" t="s">
        <v>1468</v>
      </c>
      <c r="E26" s="356" t="s">
        <v>1469</v>
      </c>
      <c r="F26" s="355">
        <f ca="1">INDIRECT("'数据-取费表'!q"&amp;$G$1)</f>
        <v>0.05</v>
      </c>
      <c r="G26" s="1847"/>
      <c r="H26" s="342" t="s">
        <v>1032</v>
      </c>
      <c r="I26" s="343" t="s">
        <v>1470</v>
      </c>
      <c r="J26" s="344">
        <f ca="1">IF(J5&lt;&gt;0,ROUND(J25*(1-((1+M28)/(1+M26))^M27)/(M26-M28),0),0)</f>
        <v>0</v>
      </c>
      <c r="K26" s="368" t="s">
        <v>1471</v>
      </c>
      <c r="L26" s="345" t="s">
        <v>1472</v>
      </c>
      <c r="M26" s="355">
        <f ca="1">INDIRECT("'数据-取费表'!I"&amp;$G$1)</f>
        <v>5.5E-2</v>
      </c>
    </row>
    <row r="27" spans="1:37" ht="18" customHeight="1">
      <c r="A27" s="1196" t="s">
        <v>1036</v>
      </c>
      <c r="B27" s="345" t="s">
        <v>1473</v>
      </c>
      <c r="C27" s="23">
        <f ca="1">ROUND(F21*F26,4)</f>
        <v>1E-3</v>
      </c>
      <c r="D27" s="367" t="s">
        <v>1474</v>
      </c>
      <c r="E27" s="363"/>
      <c r="F27" s="364"/>
      <c r="G27" s="1847"/>
      <c r="H27" s="347"/>
      <c r="I27" s="348"/>
      <c r="J27" s="349"/>
      <c r="K27" s="376" t="s">
        <v>1475</v>
      </c>
      <c r="L27" s="345" t="s">
        <v>1476</v>
      </c>
      <c r="M27" s="377">
        <f ca="1">INDIRECT("'数据-取费表'!ag"&amp;$G$1)</f>
        <v>0</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1458</v>
      </c>
      <c r="D29" s="1337"/>
      <c r="E29" s="1335"/>
      <c r="F29" s="1338"/>
      <c r="G29" s="1850"/>
      <c r="H29" s="378" t="s">
        <v>1033</v>
      </c>
      <c r="I29" s="379" t="s">
        <v>1481</v>
      </c>
      <c r="J29" s="380">
        <f ca="1">ROUND(J26/(1+F40)^F41,0)</f>
        <v>0</v>
      </c>
      <c r="K29" s="381" t="s">
        <v>1482</v>
      </c>
      <c r="L29" s="382"/>
      <c r="M29" s="383">
        <f ca="1">INDIRECT("'数据-取费表'!k"&amp;$G$1)</f>
        <v>3812.8599999999997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f ca="1">ROUND(C31+C36+C37+C38,0)</f>
        <v>40</v>
      </c>
      <c r="D30" s="1332" t="s">
        <v>1427</v>
      </c>
      <c r="E30" s="1333"/>
      <c r="F30" s="1289"/>
      <c r="G30" s="1847"/>
      <c r="H30" s="742"/>
      <c r="I30" s="743"/>
      <c r="J30" s="744"/>
      <c r="K30" s="745"/>
      <c r="L30" s="746"/>
      <c r="M30" s="747"/>
    </row>
    <row r="31" spans="1:37" ht="18" customHeight="1">
      <c r="A31" s="1196" t="s">
        <v>1035</v>
      </c>
      <c r="B31" s="345" t="s">
        <v>1431</v>
      </c>
      <c r="C31" s="23">
        <f ca="1">ROUND(IF(项目基本情况!B11="自然人",C5*F31,C32+C33+C34),1)</f>
        <v>21.7</v>
      </c>
      <c r="D31" s="1796" t="s">
        <v>1432</v>
      </c>
      <c r="E31" s="1794"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f ca="1">IF(项目基本情况!B11="自然人","——",ROUND(C5*F32/(1+'数据-取费表'!C42),2))</f>
        <v>9.33</v>
      </c>
      <c r="D32" s="1794" t="s">
        <v>1436</v>
      </c>
      <c r="E32" s="345" t="s">
        <v>1424</v>
      </c>
      <c r="F32" s="375">
        <f>'数据-取费表'!B41</f>
        <v>5.6000000000000001E-2</v>
      </c>
      <c r="G32" s="1847"/>
      <c r="H32" s="742"/>
      <c r="I32" s="743"/>
      <c r="J32" s="744"/>
      <c r="K32" s="745"/>
      <c r="L32" s="746"/>
      <c r="M32" s="747"/>
    </row>
    <row r="33" spans="1:18" ht="18" customHeight="1">
      <c r="A33" s="1196" t="s">
        <v>1036</v>
      </c>
      <c r="B33" s="345" t="s">
        <v>1439</v>
      </c>
      <c r="C33" s="23">
        <f ca="1">IF(项目基本情况!B11="自然人","——",IF(D33="按租金收入计税",ROUND(C5*F33,2),IF(D33="按房产原值计税",ROUND(C29*F33*0.7,2),INDIRECT("'数据-取费表'!Aj"&amp;$G$1))))</f>
        <v>12.25</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f ca="1">IF(项目基本情况!B11="自然人","——",ROUND(F34*F35/10000,2))</f>
        <v>0.15</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f ca="1">INDIRECT("'数据-取费表'!r"&amp;$G$1)</f>
        <v>1014.4699999999999</v>
      </c>
      <c r="G35" s="1847"/>
      <c r="H35" s="742"/>
      <c r="I35" s="1856"/>
      <c r="J35" s="1857"/>
      <c r="K35" s="1858"/>
      <c r="L35" s="1855"/>
      <c r="M35" s="1855"/>
    </row>
    <row r="36" spans="1:18" ht="18" customHeight="1">
      <c r="A36" s="1347" t="s">
        <v>1039</v>
      </c>
      <c r="B36" s="345" t="s">
        <v>1451</v>
      </c>
      <c r="C36" s="23">
        <f ca="1">ROUND(C29*F36,1)</f>
        <v>14.6</v>
      </c>
      <c r="D36" s="1794" t="s">
        <v>1484</v>
      </c>
      <c r="E36" s="345" t="s">
        <v>1424</v>
      </c>
      <c r="F36" s="372">
        <f ca="1">INDIRECT("'数据-取费表'!Ak"&amp;$G$1)</f>
        <v>0.01</v>
      </c>
      <c r="G36" s="1847"/>
      <c r="H36" s="1855"/>
      <c r="I36" s="1856"/>
      <c r="J36" s="1857"/>
      <c r="K36" s="748"/>
      <c r="L36" s="1855"/>
      <c r="M36" s="1855"/>
    </row>
    <row r="37" spans="1:18" ht="18" customHeight="1">
      <c r="A37" s="1196" t="s">
        <v>1075</v>
      </c>
      <c r="B37" s="345" t="s">
        <v>1455</v>
      </c>
      <c r="C37" s="23">
        <f ca="1">ROUND(C13*F37,1)</f>
        <v>2.2000000000000002</v>
      </c>
      <c r="D37" s="1794" t="s">
        <v>1456</v>
      </c>
      <c r="E37" s="345" t="s">
        <v>1457</v>
      </c>
      <c r="F37" s="374">
        <f ca="1">INDIRECT("'数据-取费表'!Al"&amp;$G$1)</f>
        <v>1.5E-3</v>
      </c>
      <c r="G37" s="1847"/>
      <c r="H37" s="1855"/>
      <c r="I37" s="1856"/>
      <c r="J37" s="1857"/>
      <c r="K37" s="748"/>
      <c r="L37" s="1855"/>
      <c r="M37" s="1855"/>
    </row>
    <row r="38" spans="1:18" ht="18" customHeight="1" thickBot="1">
      <c r="A38" s="1334" t="s">
        <v>1394</v>
      </c>
      <c r="B38" s="1335" t="s">
        <v>1441</v>
      </c>
      <c r="C38" s="1336">
        <f ca="1">ROUND(C5*F38,1)</f>
        <v>1.8</v>
      </c>
      <c r="D38" s="1337" t="s">
        <v>1461</v>
      </c>
      <c r="E38" s="1335" t="s">
        <v>1457</v>
      </c>
      <c r="F38" s="1331">
        <f ca="1">INDIRECT("'数据-取费表'!Am"&amp;$G$1)</f>
        <v>0.01</v>
      </c>
      <c r="G38" s="1847"/>
      <c r="H38" s="1855"/>
      <c r="I38" s="1856"/>
      <c r="J38" s="1857"/>
      <c r="K38" s="1861"/>
      <c r="L38" s="1855"/>
      <c r="M38" s="1855"/>
    </row>
    <row r="39" spans="1:18" ht="24.6" customHeight="1" thickTop="1">
      <c r="A39" s="1324" t="s">
        <v>1031</v>
      </c>
      <c r="B39" s="1339" t="s">
        <v>1485</v>
      </c>
      <c r="C39" s="353">
        <f ca="1">C5-C30</f>
        <v>135</v>
      </c>
      <c r="D39" s="1340" t="s">
        <v>1486</v>
      </c>
      <c r="E39" s="1341"/>
      <c r="F39" s="1342"/>
      <c r="G39" s="1847"/>
      <c r="H39" s="1855"/>
      <c r="I39" s="1856"/>
      <c r="J39" s="1857"/>
      <c r="K39" s="1861"/>
      <c r="L39" s="1855"/>
      <c r="M39" s="1855"/>
    </row>
    <row r="40" spans="1:18" ht="18" customHeight="1">
      <c r="A40" s="342" t="s">
        <v>1032</v>
      </c>
      <c r="B40" s="343" t="s">
        <v>1487</v>
      </c>
      <c r="C40" s="344">
        <f ca="1">ROUND(C39*(1-((1+F42)/(1+F40))^F41)/(F40-F42),0)</f>
        <v>3339</v>
      </c>
      <c r="D40" s="368" t="s">
        <v>1471</v>
      </c>
      <c r="E40" s="345" t="s">
        <v>1472</v>
      </c>
      <c r="F40" s="355">
        <f ca="1">INDIRECT("'数据-取费表'!I"&amp;$G$1)</f>
        <v>5.5E-2</v>
      </c>
      <c r="G40" s="1847"/>
      <c r="H40" s="1835"/>
      <c r="I40" s="1856"/>
      <c r="J40" s="1857"/>
      <c r="K40" s="1861"/>
      <c r="L40" s="1835"/>
      <c r="M40" s="1835"/>
    </row>
    <row r="41" spans="1:18" ht="18" customHeight="1">
      <c r="A41" s="347"/>
      <c r="B41" s="348"/>
      <c r="C41" s="349"/>
      <c r="D41" s="376" t="s">
        <v>1488</v>
      </c>
      <c r="E41" s="345" t="s">
        <v>1476</v>
      </c>
      <c r="F41" s="377">
        <f ca="1">IF(INDIRECT("'数据-取费表'!af"&amp;$G$1)=0,INDIRECT("'数据-取费表'!ae"&amp;$G$1),INDIRECT("'数据-取费表'!af"&amp;$G$1))</f>
        <v>46.95</v>
      </c>
      <c r="G41" s="1847"/>
      <c r="H41" s="729"/>
      <c r="I41" s="1856"/>
      <c r="J41" s="1857"/>
      <c r="K41" s="748"/>
      <c r="L41" s="729"/>
      <c r="M41" s="729"/>
    </row>
    <row r="42" spans="1:18" ht="18" customHeight="1">
      <c r="A42" s="351"/>
      <c r="B42" s="352"/>
      <c r="C42" s="353"/>
      <c r="D42" s="371"/>
      <c r="E42" s="345" t="s">
        <v>1479</v>
      </c>
      <c r="F42" s="355">
        <f ca="1">INDIRECT("'数据-取费表'!v"&amp;$G$1)</f>
        <v>2.5000000000000001E-2</v>
      </c>
      <c r="G42" s="1847"/>
      <c r="H42" s="729"/>
      <c r="I42" s="1856"/>
      <c r="J42" s="1857"/>
      <c r="K42" s="748"/>
      <c r="L42" s="729"/>
      <c r="M42" s="729"/>
    </row>
    <row r="43" spans="1:18" ht="18" customHeight="1" thickBot="1">
      <c r="A43" s="378" t="s">
        <v>1033</v>
      </c>
      <c r="B43" s="379" t="s">
        <v>1489</v>
      </c>
      <c r="C43" s="380">
        <f ca="1">ROUND(C40*10000/F43,0)</f>
        <v>8757</v>
      </c>
      <c r="D43" s="381" t="s">
        <v>1490</v>
      </c>
      <c r="E43" s="382" t="s">
        <v>1491</v>
      </c>
      <c r="F43" s="383">
        <f ca="1">INDIRECT("'数据-取费表'!k"&amp;$G$1)</f>
        <v>3812.8599999999997</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-3824</v>
      </c>
      <c r="D46" s="1868" t="str">
        <f>C2</f>
        <v>万元</v>
      </c>
      <c r="E46" s="1862"/>
      <c r="F46" s="1862"/>
      <c r="I46" s="1869" t="s">
        <v>1523</v>
      </c>
      <c r="J46" s="1870"/>
      <c r="K46" s="1871"/>
      <c r="L46" s="1872" t="str">
        <f ca="1">IF(M47="住宅",0,IF(L48&gt;J51,L60,J60))</f>
        <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3126</v>
      </c>
      <c r="K47" s="1878" t="s">
        <v>1529</v>
      </c>
      <c r="L47" s="1879">
        <f ca="1">INDIRECT("'数据-取费表'!d"&amp;$G$1)</f>
        <v>50</v>
      </c>
      <c r="M47" s="1834" t="str">
        <f>IF(ISNUMBER(FIND("住宅",C1)),"住宅","非住宅")</f>
        <v>非住宅</v>
      </c>
      <c r="O47" s="1880" t="s">
        <v>1040</v>
      </c>
      <c r="P47" s="1881" t="s">
        <v>1530</v>
      </c>
      <c r="Q47" s="1882">
        <f ca="1">C40+J29</f>
        <v>3339</v>
      </c>
      <c r="R47" s="1882" t="s">
        <v>1531</v>
      </c>
    </row>
    <row r="48" spans="1:18" s="1838" customFormat="1" ht="28.5" thickBot="1">
      <c r="A48" s="1355" t="s">
        <v>1135</v>
      </c>
      <c r="B48" s="343" t="s">
        <v>1402</v>
      </c>
      <c r="C48" s="1813">
        <f ca="1">C49+C53+C55</f>
        <v>0</v>
      </c>
      <c r="D48" s="1357"/>
      <c r="E48" s="1358"/>
      <c r="F48" s="1176"/>
      <c r="G48" s="789"/>
      <c r="H48" s="790"/>
      <c r="I48" s="1883" t="s">
        <v>1532</v>
      </c>
      <c r="J48" s="1884" t="s">
        <v>3127</v>
      </c>
      <c r="K48" s="1885" t="s">
        <v>1533</v>
      </c>
      <c r="L48" s="1886">
        <f ca="1">INDIRECT("'数据-取费表'!f"&amp;$G$1)</f>
        <v>47.95</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3038</v>
      </c>
      <c r="E49" s="1826" t="s">
        <v>1493</v>
      </c>
      <c r="F49" s="1276"/>
      <c r="G49" s="1887"/>
      <c r="H49" s="790"/>
      <c r="I49" s="1883" t="s">
        <v>1536</v>
      </c>
      <c r="J49" s="1888">
        <v>2019</v>
      </c>
      <c r="K49" s="1885" t="s">
        <v>1537</v>
      </c>
      <c r="L49" s="1889"/>
      <c r="O49" s="1890" t="s">
        <v>1042</v>
      </c>
      <c r="P49" s="1881" t="s">
        <v>1538</v>
      </c>
      <c r="Q49" s="1882">
        <f ca="1">C29</f>
        <v>1458</v>
      </c>
      <c r="R49" s="1882" t="s">
        <v>1531</v>
      </c>
    </row>
    <row r="50" spans="1:18" s="1838" customFormat="1" ht="13.5" thickBot="1">
      <c r="A50" s="1190"/>
      <c r="B50" s="1193"/>
      <c r="C50" s="1363"/>
      <c r="D50" s="1167"/>
      <c r="E50" s="1272" t="s">
        <v>1407</v>
      </c>
      <c r="F50" s="1273">
        <f ca="1">F7</f>
        <v>3812.8599999999997</v>
      </c>
      <c r="H50" s="790"/>
      <c r="I50" s="1883" t="s">
        <v>1539</v>
      </c>
      <c r="J50" s="1891">
        <f>SUMPRODUCT((I63:I65=J47)*(J62:L62=J48)*(J63:L65))</f>
        <v>60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6">
        <f ca="1">F8</f>
        <v>365</v>
      </c>
      <c r="I51" s="1894" t="s">
        <v>1542</v>
      </c>
      <c r="J51" s="1895">
        <f>IF(J49="",J50,J49+J50-YEAR('数据-取费表'!B2))</f>
        <v>61</v>
      </c>
      <c r="K51" s="1896" t="s">
        <v>1543</v>
      </c>
      <c r="L51" s="1897">
        <f ca="1">ROUND(-PV(INDIRECT("'数据-取费表'!h"&amp;$G$1),L48,(C39-C13*C76),0),0)</f>
        <v>216</v>
      </c>
      <c r="M51" s="1898"/>
      <c r="O51" s="1890" t="s">
        <v>1044</v>
      </c>
      <c r="P51" s="1881" t="s">
        <v>1544</v>
      </c>
      <c r="Q51" s="1893">
        <f>J52</f>
        <v>0.09</v>
      </c>
      <c r="R51" s="1882"/>
    </row>
    <row r="52" spans="1:18" s="1838" customFormat="1" ht="13.5" thickBot="1">
      <c r="A52" s="1191"/>
      <c r="B52" s="1193"/>
      <c r="C52" s="1194"/>
      <c r="D52" s="1167"/>
      <c r="E52" s="1195" t="s">
        <v>1409</v>
      </c>
      <c r="F52" s="1270"/>
      <c r="I52" s="1899" t="s">
        <v>1545</v>
      </c>
      <c r="J52" s="1900">
        <v>0.09</v>
      </c>
      <c r="K52" s="1899" t="s">
        <v>1546</v>
      </c>
      <c r="L52" s="1900"/>
      <c r="O52" s="1890" t="s">
        <v>1045</v>
      </c>
      <c r="P52" s="1881" t="s">
        <v>1547</v>
      </c>
      <c r="Q52" s="1882">
        <f ca="1">J53</f>
        <v>46.95</v>
      </c>
      <c r="R52" s="1882" t="s">
        <v>1548</v>
      </c>
    </row>
    <row r="53" spans="1:18" s="1838" customFormat="1" ht="24.75" thickBot="1">
      <c r="A53" s="1400" t="s">
        <v>1137</v>
      </c>
      <c r="B53" s="1827" t="s">
        <v>1410</v>
      </c>
      <c r="C53" s="359">
        <f ca="1">ROUND(IF(F53="押一",F49*F51*F50/12*F11,IF(F53="押二",F49*F51*F50/12*2*F11,IF(F53="押三",F49*F51*F50/12*3*F11,C54*F11)))/10000,0)</f>
        <v>0</v>
      </c>
      <c r="D53" s="1820" t="s">
        <v>3036</v>
      </c>
      <c r="E53" s="356" t="s">
        <v>1412</v>
      </c>
      <c r="F53" s="1361"/>
      <c r="I53" s="1901" t="s">
        <v>1549</v>
      </c>
      <c r="J53" s="1902">
        <f ca="1">IF(M47="住宅",J51,IF(D1="——",MIN(J51,L48),IF(D1="在建（套用方法）",MIN(J51,L48-'数据-取费表'!B24),IF(D1="土地（套用方法）",MIN(J51,L48-'数据-取费表'!B20)))))</f>
        <v>46.95</v>
      </c>
      <c r="K53" s="3209" t="s">
        <v>1550</v>
      </c>
      <c r="L53" s="3210"/>
      <c r="O53" s="1880" t="s">
        <v>1046</v>
      </c>
      <c r="P53" s="1881" t="s">
        <v>1551</v>
      </c>
      <c r="Q53" s="1882">
        <f ca="1">Q47+Q48</f>
        <v>3339</v>
      </c>
      <c r="R53" s="1882" t="s">
        <v>1047</v>
      </c>
    </row>
    <row r="54" spans="1:18" s="1838" customFormat="1" ht="13.5" thickBot="1">
      <c r="A54" s="1401"/>
      <c r="B54" s="1821" t="s">
        <v>1389</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4">
        <f ca="1">C13</f>
        <v>1458</v>
      </c>
      <c r="D56" s="1910"/>
      <c r="E56" s="1911"/>
      <c r="F56" s="1903"/>
      <c r="I56" s="1912" t="s">
        <v>1556</v>
      </c>
      <c r="J56" s="1913" t="s">
        <v>3062</v>
      </c>
      <c r="K56" s="1883" t="s">
        <v>1557</v>
      </c>
      <c r="L56" s="1886" t="str">
        <f ca="1">IF(L48&lt;J51,"——",L48-J53)</f>
        <v>——</v>
      </c>
      <c r="O56" s="1880" t="s">
        <v>1040</v>
      </c>
      <c r="P56" s="1881" t="s">
        <v>1530</v>
      </c>
      <c r="Q56" s="1882">
        <f ca="1">C40+J29</f>
        <v>3339</v>
      </c>
      <c r="R56" s="1882" t="s">
        <v>1531</v>
      </c>
    </row>
    <row r="57" spans="1:18" s="1838" customFormat="1" ht="24.75" thickBot="1">
      <c r="A57" s="1914"/>
      <c r="B57" s="1164" t="s">
        <v>1480</v>
      </c>
      <c r="C57" s="280">
        <f ca="1">C29</f>
        <v>1458</v>
      </c>
      <c r="D57" s="1915"/>
      <c r="E57" s="1916"/>
      <c r="F57" s="1917"/>
      <c r="I57" s="1918" t="s">
        <v>1558</v>
      </c>
      <c r="J57" s="1919" t="str">
        <f ca="1">IF(OR(M47="住宅",J51&lt;L48,J56="是"),"——",J51-L48)</f>
        <v>——</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8" t="s">
        <v>1030</v>
      </c>
      <c r="B58" s="1172" t="s">
        <v>1426</v>
      </c>
      <c r="C58" s="359">
        <f ca="1">ROUND(C59+C64+C65+C66,0)</f>
        <v>29</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3">
        <f ca="1">ROUND(IF(项目基本情况!B11="自然人",C48*F59,C60+C61+C62),1)</f>
        <v>12.4</v>
      </c>
      <c r="D59" s="1177" t="s">
        <v>1432</v>
      </c>
      <c r="E59" s="1178" t="s">
        <v>1433</v>
      </c>
      <c r="F59" s="366"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3">
        <f ca="1">IF(项目基本情况!B11="自然人","——",ROUND(C48*F60/(1+'数据-取费表'!C42),2))</f>
        <v>0</v>
      </c>
      <c r="D60" s="1178" t="s">
        <v>1436</v>
      </c>
      <c r="E60" s="1164" t="s">
        <v>1424</v>
      </c>
      <c r="F60" s="375">
        <f t="shared" ref="F60:F66" si="0">F32</f>
        <v>5.6000000000000001E-2</v>
      </c>
      <c r="I60" s="1921" t="s">
        <v>1567</v>
      </c>
      <c r="J60" s="1922" t="str">
        <f ca="1">IF(OR(M47="住宅",J51&lt;L48,J56="是"),"0",ROUND(J59/(1+J52)^J53,0))</f>
        <v>0</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1495</v>
      </c>
      <c r="C61" s="23">
        <f ca="1">IF(项目基本情况!B11="自然人","——",IF(D61="按租金收入计税",ROUND(C48*F61,2),IF(D61="按房产原值计税",ROUND(C57*F61*0.7,2),INDIRECT("'数据-取费表'!Aj"&amp;$G$1))))</f>
        <v>12.25</v>
      </c>
      <c r="D61" s="1824" t="s">
        <v>1440</v>
      </c>
      <c r="E61" s="1164" t="s">
        <v>1496</v>
      </c>
      <c r="F61" s="365">
        <f t="shared" si="0"/>
        <v>1.2E-2</v>
      </c>
      <c r="I61" s="1924"/>
      <c r="J61" s="1924"/>
      <c r="K61" s="1924"/>
      <c r="L61" s="1924"/>
      <c r="O61" s="1890" t="s">
        <v>1045</v>
      </c>
      <c r="P61" s="1881" t="str">
        <f>K59</f>
        <v>续建工期及建筑物耐用年限下的土地年期修正系数Kn</v>
      </c>
      <c r="Q61" s="1882" t="e">
        <f ca="1">L59</f>
        <v>#DIV/0!</v>
      </c>
      <c r="R61" s="1882" t="s">
        <v>1571</v>
      </c>
    </row>
    <row r="62" spans="1:18" s="1838" customFormat="1" ht="13.5" thickBot="1">
      <c r="A62" s="1196" t="s">
        <v>1497</v>
      </c>
      <c r="B62" s="1163" t="s">
        <v>1498</v>
      </c>
      <c r="C62" s="24">
        <f ca="1">IF(项目基本情况!B11="自然人","——",ROUND(F62*F63/10000,2))</f>
        <v>0.15</v>
      </c>
      <c r="D62" s="1179" t="s">
        <v>1499</v>
      </c>
      <c r="E62" s="1164" t="s">
        <v>1500</v>
      </c>
      <c r="F62" s="369">
        <f t="shared" si="0"/>
        <v>1.5</v>
      </c>
      <c r="I62" s="1925" t="s">
        <v>1572</v>
      </c>
      <c r="J62" s="1926" t="s">
        <v>1573</v>
      </c>
      <c r="K62" s="1926" t="s">
        <v>1574</v>
      </c>
      <c r="L62" s="1926" t="s">
        <v>1575</v>
      </c>
      <c r="M62" s="1927" t="s">
        <v>1576</v>
      </c>
      <c r="O62" s="1880" t="s">
        <v>1046</v>
      </c>
      <c r="P62" s="1881" t="s">
        <v>1577</v>
      </c>
      <c r="Q62" s="1882">
        <f ca="1">Q56+Q57</f>
        <v>3339</v>
      </c>
      <c r="R62" s="1882" t="s">
        <v>1047</v>
      </c>
    </row>
    <row r="63" spans="1:18" s="1838" customFormat="1" ht="13.5" thickBot="1">
      <c r="A63" s="370"/>
      <c r="B63" s="1170"/>
      <c r="C63" s="28"/>
      <c r="D63" s="1180"/>
      <c r="E63" s="1164" t="s">
        <v>1501</v>
      </c>
      <c r="F63" s="346">
        <f t="shared" ca="1" si="0"/>
        <v>1014.4699999999999</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f ca="1">ROUND(C57*F64,1)</f>
        <v>14.6</v>
      </c>
      <c r="D64" s="1178" t="s">
        <v>1504</v>
      </c>
      <c r="E64" s="1164" t="s">
        <v>1496</v>
      </c>
      <c r="F64" s="372">
        <f t="shared" ca="1" si="0"/>
        <v>0.01</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f ca="1">ROUND(C56*F65,1)</f>
        <v>2.2000000000000002</v>
      </c>
      <c r="D65" s="1178" t="s">
        <v>1456</v>
      </c>
      <c r="E65" s="1164" t="s">
        <v>1457</v>
      </c>
      <c r="F65" s="374">
        <f t="shared" ca="1" si="0"/>
        <v>1.5E-3</v>
      </c>
      <c r="I65" s="1925" t="s">
        <v>1581</v>
      </c>
      <c r="J65" s="1926">
        <v>40</v>
      </c>
      <c r="K65" s="1926">
        <v>30</v>
      </c>
      <c r="L65" s="1926">
        <v>50</v>
      </c>
      <c r="M65" s="1928">
        <v>0.02</v>
      </c>
      <c r="O65" s="1880" t="s">
        <v>1040</v>
      </c>
      <c r="P65" s="1881" t="s">
        <v>1582</v>
      </c>
      <c r="Q65" s="1882">
        <f ca="1">C40+J29</f>
        <v>3339</v>
      </c>
      <c r="R65" s="1882" t="s">
        <v>1531</v>
      </c>
    </row>
    <row r="66" spans="1:18" s="1838" customFormat="1" ht="16.5" thickBot="1">
      <c r="A66" s="1196" t="s">
        <v>1506</v>
      </c>
      <c r="B66" s="1164" t="s">
        <v>1441</v>
      </c>
      <c r="C66" s="23">
        <f ca="1">ROUND(C48*F66,1)</f>
        <v>0</v>
      </c>
      <c r="D66" s="1178" t="s">
        <v>1507</v>
      </c>
      <c r="E66" s="1164" t="s">
        <v>1424</v>
      </c>
      <c r="F66" s="355">
        <f t="shared" ca="1" si="0"/>
        <v>0.01</v>
      </c>
      <c r="O66" s="1880" t="s">
        <v>1041</v>
      </c>
      <c r="P66" s="1881" t="s">
        <v>1560</v>
      </c>
      <c r="Q66" s="1882">
        <f ca="1">L60</f>
        <v>0</v>
      </c>
      <c r="R66" s="1882" t="s">
        <v>1583</v>
      </c>
    </row>
    <row r="67" spans="1:18" s="1838" customFormat="1" ht="16.5" thickBot="1">
      <c r="A67" s="1171" t="s">
        <v>1031</v>
      </c>
      <c r="B67" s="1181" t="s">
        <v>1465</v>
      </c>
      <c r="C67" s="359">
        <f ca="1">C48-C58</f>
        <v>-29</v>
      </c>
      <c r="D67" s="1177" t="s">
        <v>1466</v>
      </c>
      <c r="E67" s="1182"/>
      <c r="F67" s="1183"/>
      <c r="O67" s="1890" t="s">
        <v>1042</v>
      </c>
      <c r="P67" s="1881" t="s">
        <v>1564</v>
      </c>
      <c r="Q67" s="1929">
        <f ca="1">L51</f>
        <v>216</v>
      </c>
      <c r="R67" s="1882" t="s">
        <v>1584</v>
      </c>
    </row>
    <row r="68" spans="1:18" s="1838" customFormat="1" ht="16.5" thickBot="1">
      <c r="A68" s="1161" t="s">
        <v>1032</v>
      </c>
      <c r="B68" s="1162" t="s">
        <v>1487</v>
      </c>
      <c r="C68" s="344">
        <f ca="1">ROUND(C67*(1-((1+F70)/(1+F68))^F69)/(F68-F70),0)</f>
        <v>-485</v>
      </c>
      <c r="D68" s="1179" t="s">
        <v>1471</v>
      </c>
      <c r="E68" s="1164" t="s">
        <v>1472</v>
      </c>
      <c r="F68" s="355">
        <f ca="1">F40</f>
        <v>5.5E-2</v>
      </c>
      <c r="O68" s="1890" t="s">
        <v>1043</v>
      </c>
      <c r="P68" s="1930" t="s">
        <v>1585</v>
      </c>
      <c r="Q68" s="1882">
        <f ca="1">ROUND(Q69-Q70*Q71,0)</f>
        <v>11</v>
      </c>
      <c r="R68" s="1882" t="s">
        <v>1051</v>
      </c>
    </row>
    <row r="69" spans="1:18" s="1838" customFormat="1" ht="13.5" thickBot="1">
      <c r="A69" s="1165"/>
      <c r="B69" s="1166"/>
      <c r="C69" s="349"/>
      <c r="D69" s="1184" t="s">
        <v>1475</v>
      </c>
      <c r="E69" s="1164" t="s">
        <v>1476</v>
      </c>
      <c r="F69" s="377">
        <f ca="1">F41</f>
        <v>46.95</v>
      </c>
      <c r="O69" s="1890" t="s">
        <v>1048</v>
      </c>
      <c r="P69" s="1930" t="s">
        <v>1586</v>
      </c>
      <c r="Q69" s="1882">
        <f ca="1">C39</f>
        <v>135</v>
      </c>
      <c r="R69" s="1882" t="s">
        <v>1531</v>
      </c>
    </row>
    <row r="70" spans="1:18" s="1838" customFormat="1" ht="13.5" thickBot="1">
      <c r="A70" s="1168"/>
      <c r="B70" s="1169"/>
      <c r="C70" s="353"/>
      <c r="D70" s="1180"/>
      <c r="E70" s="1164" t="s">
        <v>1479</v>
      </c>
      <c r="F70" s="1270"/>
      <c r="O70" s="1890" t="s">
        <v>1049</v>
      </c>
      <c r="P70" s="1930" t="s">
        <v>1587</v>
      </c>
      <c r="Q70" s="1882">
        <f ca="1">C13</f>
        <v>1458</v>
      </c>
      <c r="R70" s="1882" t="s">
        <v>1531</v>
      </c>
    </row>
    <row r="71" spans="1:18" s="1838" customFormat="1" ht="13.5" thickBot="1">
      <c r="A71" s="1185" t="s">
        <v>1033</v>
      </c>
      <c r="B71" s="1186" t="s">
        <v>1489</v>
      </c>
      <c r="C71" s="380">
        <f ca="1">ROUND(C68*10000/F71,0)</f>
        <v>-1272</v>
      </c>
      <c r="D71" s="1187" t="s">
        <v>1490</v>
      </c>
      <c r="E71" s="1188" t="s">
        <v>1491</v>
      </c>
      <c r="F71" s="383">
        <f ca="1">F43</f>
        <v>3812.8599999999997</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5" t="s">
        <v>1589</v>
      </c>
      <c r="C74" s="1932"/>
      <c r="D74" s="1838"/>
      <c r="E74" s="1838"/>
      <c r="F74" s="1838"/>
      <c r="O74" s="1890" t="s">
        <v>1052</v>
      </c>
      <c r="P74" s="1881" t="str">
        <f>K59</f>
        <v>续建工期及建筑物耐用年限下的土地年期修正系数Kn</v>
      </c>
      <c r="Q74" s="1882" t="e">
        <f ca="1">L59</f>
        <v>#DIV/0!</v>
      </c>
      <c r="R74" s="1882" t="s">
        <v>1571</v>
      </c>
    </row>
    <row r="75" spans="1:18" ht="13.5" thickBot="1">
      <c r="A75" s="1838"/>
      <c r="B75" s="384" t="s">
        <v>1508</v>
      </c>
      <c r="C75" s="385">
        <f ca="1">ROUND(C13*C76,0)</f>
        <v>124</v>
      </c>
      <c r="D75" s="1838"/>
      <c r="E75" s="1838"/>
      <c r="F75" s="1838"/>
      <c r="K75" s="1864"/>
      <c r="L75" s="1838"/>
      <c r="O75" s="1880" t="s">
        <v>1046</v>
      </c>
      <c r="P75" s="1881" t="s">
        <v>1551</v>
      </c>
      <c r="Q75" s="1882">
        <f ca="1">Q65+Q66</f>
        <v>3339</v>
      </c>
      <c r="R75" s="1882" t="s">
        <v>1047</v>
      </c>
    </row>
    <row r="76" spans="1:18">
      <c r="B76" s="386" t="s">
        <v>1509</v>
      </c>
      <c r="C76" s="387">
        <f ca="1">INDIRECT("'数据-取费表'!j"&amp;$G$1)</f>
        <v>8.5000000000000006E-2</v>
      </c>
      <c r="I76" s="1838"/>
      <c r="J76" s="1838"/>
      <c r="K76" s="1864"/>
      <c r="L76" s="1838"/>
    </row>
    <row r="77" spans="1:18">
      <c r="B77" s="388" t="s">
        <v>1510</v>
      </c>
      <c r="C77" s="389"/>
      <c r="I77" s="1838"/>
      <c r="J77" s="1838"/>
      <c r="K77" s="1864"/>
      <c r="L77" s="1838"/>
    </row>
    <row r="78" spans="1:18">
      <c r="B78" s="312" t="s">
        <v>1511</v>
      </c>
      <c r="C78" s="390"/>
    </row>
    <row r="79" spans="1:18">
      <c r="B79" s="384" t="s">
        <v>1512</v>
      </c>
      <c r="C79" s="316">
        <f ca="1">1-C80</f>
        <v>8.0999999999999961E-2</v>
      </c>
    </row>
    <row r="80" spans="1:18">
      <c r="B80" s="384" t="s">
        <v>1513</v>
      </c>
      <c r="C80" s="316">
        <f ca="1">ROUND(C75/C39,3)</f>
        <v>0.91900000000000004</v>
      </c>
    </row>
    <row r="81" spans="2:3">
      <c r="B81" s="312" t="s">
        <v>1514</v>
      </c>
      <c r="C81" s="280"/>
    </row>
    <row r="82" spans="2:3">
      <c r="B82" s="315" t="s">
        <v>1515</v>
      </c>
      <c r="C82" s="317">
        <f ca="1">1-C83</f>
        <v>0.56299999999999994</v>
      </c>
    </row>
    <row r="83" spans="2:3">
      <c r="B83" s="315" t="s">
        <v>1516</v>
      </c>
      <c r="C83" s="316">
        <f ca="1">ROUND(C13/C40,3)</f>
        <v>0.437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2" sqref="J5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3072</v>
      </c>
      <c r="D1" s="1816"/>
      <c r="E1" s="1817" t="s">
        <v>1388</v>
      </c>
      <c r="F1" s="1278" t="b">
        <f>J53</f>
        <v>0</v>
      </c>
      <c r="G1" s="1832"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1592</v>
      </c>
      <c r="B2" s="1840" t="e">
        <f ca="1">ROUND(D2/10000,0)</f>
        <v>#N/A</v>
      </c>
      <c r="C2" s="1841" t="s">
        <v>1593</v>
      </c>
      <c r="D2" s="1934" t="e">
        <f ca="1">C40+J29+L46</f>
        <v>#N/A</v>
      </c>
      <c r="E2" s="1842" t="s">
        <v>1594</v>
      </c>
      <c r="F2" s="1843"/>
      <c r="G2" s="1844"/>
      <c r="H2" s="1836"/>
      <c r="I2" s="1836"/>
      <c r="J2" s="1836"/>
      <c r="K2" s="1837"/>
      <c r="L2" s="1836"/>
      <c r="M2" s="1836"/>
    </row>
    <row r="3" spans="1:37" ht="18" customHeight="1" thickBot="1">
      <c r="A3" s="1845" t="s">
        <v>1595</v>
      </c>
      <c r="B3" s="1846">
        <f ca="1">IF(ISERROR(D2/F43),0,ROUND(D2/F43,0))</f>
        <v>0</v>
      </c>
      <c r="C3" s="1841" t="s">
        <v>1596</v>
      </c>
      <c r="D3" s="1841"/>
      <c r="E3" s="1842"/>
      <c r="F3" s="1843"/>
      <c r="G3" s="1844"/>
      <c r="H3" s="741" t="s">
        <v>1590</v>
      </c>
      <c r="I3" s="1836"/>
      <c r="J3" s="1836"/>
      <c r="K3" s="1837"/>
      <c r="L3" s="1836"/>
      <c r="M3" s="1836"/>
    </row>
    <row r="4" spans="1:37" ht="18" customHeight="1">
      <c r="A4" s="338" t="s">
        <v>1597</v>
      </c>
      <c r="B4" s="339" t="s">
        <v>1598</v>
      </c>
      <c r="C4" s="339" t="s">
        <v>1599</v>
      </c>
      <c r="D4" s="339" t="s">
        <v>1600</v>
      </c>
      <c r="E4" s="340" t="s">
        <v>1601</v>
      </c>
      <c r="F4" s="341"/>
      <c r="G4" s="1847"/>
      <c r="H4" s="338" t="s">
        <v>1597</v>
      </c>
      <c r="I4" s="339" t="s">
        <v>1598</v>
      </c>
      <c r="J4" s="339" t="s">
        <v>1599</v>
      </c>
      <c r="K4" s="339" t="s">
        <v>1600</v>
      </c>
      <c r="L4" s="340" t="s">
        <v>1601</v>
      </c>
      <c r="M4" s="341"/>
    </row>
    <row r="5" spans="1:37" ht="18" customHeight="1">
      <c r="A5" s="342">
        <v>1</v>
      </c>
      <c r="B5" s="343" t="s">
        <v>1602</v>
      </c>
      <c r="C5" s="1287" t="e">
        <f ca="1">C6+C10+C12</f>
        <v>#N/A</v>
      </c>
      <c r="D5" s="1818" t="s">
        <v>1603</v>
      </c>
      <c r="E5" s="1288"/>
      <c r="F5" s="1289"/>
      <c r="G5" s="1847"/>
      <c r="H5" s="342">
        <v>1</v>
      </c>
      <c r="I5" s="343" t="s">
        <v>1602</v>
      </c>
      <c r="J5" s="1287" t="e">
        <f ca="1">J6+J10+J12</f>
        <v>#N/A</v>
      </c>
      <c r="K5" s="1818" t="s">
        <v>1603</v>
      </c>
      <c r="L5" s="1288"/>
      <c r="M5" s="1289"/>
    </row>
    <row r="6" spans="1:37" ht="18" customHeight="1">
      <c r="A6" s="1286" t="s">
        <v>1035</v>
      </c>
      <c r="B6" s="3206" t="s">
        <v>1404</v>
      </c>
      <c r="C6" s="1291" t="e">
        <f ca="1">ROUND(F6*F8*F7*(1-F9),0)</f>
        <v>#N/A</v>
      </c>
      <c r="D6" s="162" t="s">
        <v>3030</v>
      </c>
      <c r="E6" s="345" t="s">
        <v>1406</v>
      </c>
      <c r="F6" s="346" t="e">
        <f ca="1">INDIRECT("'数据-取费表'!u"&amp;$G$1)</f>
        <v>#N/A</v>
      </c>
      <c r="G6" s="1847"/>
      <c r="H6" s="1286" t="s">
        <v>1035</v>
      </c>
      <c r="I6" s="3206" t="s">
        <v>1404</v>
      </c>
      <c r="J6" s="344" t="e">
        <f ca="1">ROUND(M6*M8*M7*(1-M9),0)</f>
        <v>#N/A</v>
      </c>
      <c r="K6" s="1830" t="s">
        <v>3033</v>
      </c>
      <c r="L6" s="345" t="s">
        <v>1406</v>
      </c>
      <c r="M6" s="346" t="e">
        <f ca="1">INDIRECT("'数据-取费表'!z"&amp;$G$1)</f>
        <v>#N/A</v>
      </c>
    </row>
    <row r="7" spans="1:37" ht="18" customHeight="1">
      <c r="A7" s="1290"/>
      <c r="B7" s="3207"/>
      <c r="C7" s="1292"/>
      <c r="D7" s="350"/>
      <c r="E7" s="1293" t="s">
        <v>1407</v>
      </c>
      <c r="F7" s="346" t="e">
        <f ca="1">IF(INDIRECT("'数据-取费表'!ah"&amp;$G$1)="",INDIRECT("'数据-取费表'!k"&amp;$G$1),INDIRECT("'数据-取费表'!ah"&amp;$G$1))</f>
        <v>#N/A</v>
      </c>
      <c r="G7" s="1847"/>
      <c r="H7" s="347"/>
      <c r="I7" s="3207"/>
      <c r="J7" s="349"/>
      <c r="K7" s="350"/>
      <c r="L7" s="345" t="s">
        <v>1407</v>
      </c>
      <c r="M7" s="346" t="e">
        <f ca="1">F7</f>
        <v>#N/A</v>
      </c>
    </row>
    <row r="8" spans="1:37" ht="18" customHeight="1">
      <c r="A8" s="347"/>
      <c r="B8" s="3207"/>
      <c r="C8" s="349"/>
      <c r="D8" s="350"/>
      <c r="E8" s="345" t="s">
        <v>1408</v>
      </c>
      <c r="F8" s="346" t="e">
        <f ca="1">INDIRECT("'数据-取费表'!ai"&amp;$G$1)</f>
        <v>#N/A</v>
      </c>
      <c r="G8" s="1847"/>
      <c r="H8" s="347"/>
      <c r="I8" s="3207"/>
      <c r="J8" s="349"/>
      <c r="K8" s="350"/>
      <c r="L8" s="345" t="s">
        <v>1408</v>
      </c>
      <c r="M8" s="346" t="e">
        <f ca="1">INDIRECT("'数据-取费表'!ai"&amp;$G$1)</f>
        <v>#N/A</v>
      </c>
    </row>
    <row r="9" spans="1:37" ht="18" customHeight="1">
      <c r="A9" s="347"/>
      <c r="B9" s="3208"/>
      <c r="C9" s="349"/>
      <c r="D9" s="350"/>
      <c r="E9" s="345" t="s">
        <v>1409</v>
      </c>
      <c r="F9" s="355" t="e">
        <f ca="1">INDIRECT("'数据-取费表'!w"&amp;$G$1)</f>
        <v>#N/A</v>
      </c>
      <c r="G9" s="1847"/>
      <c r="H9" s="347"/>
      <c r="I9" s="3208"/>
      <c r="J9" s="349"/>
      <c r="K9" s="350"/>
      <c r="L9" s="356" t="s">
        <v>1409</v>
      </c>
      <c r="M9" s="357" t="e">
        <f ca="1">INDIRECT("'数据-取费表'!ab"&amp;$G$1)</f>
        <v>#N/A</v>
      </c>
    </row>
    <row r="10" spans="1:37" ht="18" customHeight="1">
      <c r="A10" s="1286" t="s">
        <v>1039</v>
      </c>
      <c r="B10" s="1819" t="s">
        <v>1410</v>
      </c>
      <c r="C10" s="359">
        <f ca="1">ROUND(IF(F10="押一",F6*F8*F7/12*F11,IF(F10="押二",F6*F8*F7/12*2*F11,IF(F10="押三",F6*F8*F7/12*3*F11,C11*F11))),0)</f>
        <v>0</v>
      </c>
      <c r="D10" s="1820" t="s">
        <v>3031</v>
      </c>
      <c r="E10" s="356" t="s">
        <v>1412</v>
      </c>
      <c r="F10" s="1361" t="s">
        <v>3125</v>
      </c>
      <c r="G10" s="1847"/>
      <c r="H10" s="1286" t="s">
        <v>1039</v>
      </c>
      <c r="I10" s="1819" t="s">
        <v>1410</v>
      </c>
      <c r="J10" s="344">
        <f ca="1">ROUND(IF(M10="押一",M6*M8*M7/12*M11,IF(M10="押二",M6*M8*M7/12*2*M11,IF(M10="押三",M6*M8*M7/12*3*M11,J11*M11))),0)</f>
        <v>0</v>
      </c>
      <c r="K10" s="1831" t="s">
        <v>3032</v>
      </c>
      <c r="L10" s="356" t="s">
        <v>1412</v>
      </c>
      <c r="M10" s="1361"/>
    </row>
    <row r="11" spans="1:37" ht="18" customHeight="1">
      <c r="A11" s="351"/>
      <c r="B11" s="1821" t="s">
        <v>1604</v>
      </c>
      <c r="C11" s="1173"/>
      <c r="D11" s="350"/>
      <c r="E11" s="356" t="s">
        <v>1414</v>
      </c>
      <c r="F11" s="357">
        <f ca="1">'数据-取费表'!B39</f>
        <v>1.4999999999999999E-2</v>
      </c>
      <c r="G11" s="1847"/>
      <c r="H11" s="1294"/>
      <c r="I11" s="1821" t="s">
        <v>1605</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t="e">
        <f ca="1">ROUND(C29*F13,0)</f>
        <v>#N/A</v>
      </c>
      <c r="D13" s="1326" t="s">
        <v>1417</v>
      </c>
      <c r="E13" s="1326" t="s">
        <v>1418</v>
      </c>
      <c r="F13" s="1327" t="e">
        <f ca="1">INDIRECT("'数据-取费表'!y"&amp;$G$1)</f>
        <v>#N/A</v>
      </c>
      <c r="G13" s="1847"/>
      <c r="H13" s="1324">
        <v>2</v>
      </c>
      <c r="I13" s="1325" t="s">
        <v>1416</v>
      </c>
      <c r="J13" s="1285" t="e">
        <f ca="1">ROUND(J14*J15,0)</f>
        <v>#N/A</v>
      </c>
      <c r="K13" s="1332" t="s">
        <v>1417</v>
      </c>
      <c r="L13" s="1848"/>
      <c r="M13" s="1849"/>
    </row>
    <row r="14" spans="1:37" ht="18" customHeight="1">
      <c r="A14" s="1196" t="s">
        <v>1034</v>
      </c>
      <c r="B14" s="345" t="s">
        <v>1419</v>
      </c>
      <c r="C14" s="361" t="e">
        <f ca="1">ROUND(INDIRECT("'数据-取费表'!l"&amp;$G$1)*F43+'数据-取费表'!L14*INDIRECT("'数据-取费表'!S"&amp;$G$1),0)</f>
        <v>#N/A</v>
      </c>
      <c r="D14" s="1796" t="s">
        <v>1420</v>
      </c>
      <c r="E14" s="1790"/>
      <c r="F14" s="362"/>
      <c r="G14" s="1847"/>
      <c r="H14" s="1196" t="s">
        <v>1035</v>
      </c>
      <c r="I14" s="345" t="s">
        <v>1421</v>
      </c>
      <c r="J14" s="23" t="e">
        <f ca="1">C29</f>
        <v>#N/A</v>
      </c>
      <c r="K14" s="14"/>
      <c r="L14" s="974"/>
      <c r="M14" s="975"/>
    </row>
    <row r="15" spans="1:37" s="1854" customFormat="1" ht="18" customHeight="1" thickBot="1">
      <c r="A15" s="1196" t="s">
        <v>1036</v>
      </c>
      <c r="B15" s="345" t="s">
        <v>1422</v>
      </c>
      <c r="C15" s="23" t="e">
        <f ca="1">ROUND(C14*F15,0)</f>
        <v>#N/A</v>
      </c>
      <c r="D15" s="363" t="s">
        <v>1423</v>
      </c>
      <c r="E15" s="363" t="s">
        <v>1424</v>
      </c>
      <c r="F15" s="364">
        <f>'数据-取费表'!B33</f>
        <v>0.03</v>
      </c>
      <c r="G15" s="1850"/>
      <c r="H15" s="1334" t="s">
        <v>1039</v>
      </c>
      <c r="I15" s="1335" t="s">
        <v>1418</v>
      </c>
      <c r="J15" s="1344" t="e">
        <f ca="1">INDIRECT("'数据-取费表'!ad"&amp;$G$1)</f>
        <v>#N/A</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t="e">
        <f ca="1">ROUND(INDIRECT("'数据-取费表'!l"&amp;$G$1)*F43*F16,0)</f>
        <v>#N/A</v>
      </c>
      <c r="D16" s="345" t="s">
        <v>1423</v>
      </c>
      <c r="E16" s="345" t="s">
        <v>1424</v>
      </c>
      <c r="F16" s="365" t="e">
        <f ca="1">IF(INDIRECT("'数据-取费表'!c"&amp;$G$1)="住宅",'数据-取费表'!B34,0)</f>
        <v>#N/A</v>
      </c>
      <c r="G16" s="1847"/>
      <c r="H16" s="1324" t="s">
        <v>1030</v>
      </c>
      <c r="I16" s="1325" t="s">
        <v>1426</v>
      </c>
      <c r="J16" s="353" t="e">
        <f ca="1">ROUND(J17+J22+J23+J24,0)</f>
        <v>#N/A</v>
      </c>
      <c r="K16" s="1332" t="s">
        <v>1427</v>
      </c>
      <c r="L16" s="1333"/>
      <c r="M16" s="1289"/>
    </row>
    <row r="17" spans="1:37" s="1854" customFormat="1" ht="18" customHeight="1">
      <c r="A17" s="1196" t="s">
        <v>1391</v>
      </c>
      <c r="B17" s="345" t="s">
        <v>1428</v>
      </c>
      <c r="C17" s="23" t="e">
        <f ca="1">ROUND(F17*(F43+INDIRECT("'数据-取费表'!S"&amp;$G$1)),0)</f>
        <v>#N/A</v>
      </c>
      <c r="D17" s="345" t="s">
        <v>1429</v>
      </c>
      <c r="E17" s="345" t="s">
        <v>1430</v>
      </c>
      <c r="F17" s="25">
        <f>'数据-取费表'!B35</f>
        <v>200</v>
      </c>
      <c r="G17" s="1850"/>
      <c r="H17" s="1196" t="s">
        <v>1035</v>
      </c>
      <c r="I17" s="345" t="s">
        <v>1431</v>
      </c>
      <c r="J17" s="23" t="e">
        <f ca="1">ROUND(IF(项目基本情况!B11="自然人",J5*M17,J18+J19+J20),0)</f>
        <v>#N/A</v>
      </c>
      <c r="K17" s="1796" t="s">
        <v>1432</v>
      </c>
      <c r="L17" s="1794"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t="e">
        <f ca="1">ROUND(C14*F18,0)</f>
        <v>#N/A</v>
      </c>
      <c r="D18" s="345" t="s">
        <v>1423</v>
      </c>
      <c r="E18" s="345" t="s">
        <v>1424</v>
      </c>
      <c r="F18" s="365">
        <f>'数据-取费表'!B36</f>
        <v>1.4999999999999999E-2</v>
      </c>
      <c r="G18" s="1850"/>
      <c r="H18" s="1196" t="s">
        <v>1034</v>
      </c>
      <c r="I18" s="345" t="s">
        <v>1435</v>
      </c>
      <c r="J18" s="23" t="e">
        <f ca="1">ROUND(J5*M18/(1+'数据-取费表'!C42),0)</f>
        <v>#N/A</v>
      </c>
      <c r="K18" s="1794"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t="e">
        <f ca="1">SUM(C14:C18)</f>
        <v>#N/A</v>
      </c>
      <c r="D19" s="138" t="s">
        <v>1438</v>
      </c>
      <c r="E19" s="1814"/>
      <c r="F19" s="25"/>
      <c r="G19" s="1847"/>
      <c r="H19" s="1196" t="s">
        <v>1036</v>
      </c>
      <c r="I19" s="345" t="s">
        <v>1439</v>
      </c>
      <c r="J19" s="23" t="e">
        <f ca="1">IF(K19="按租金收入计税",ROUND(J5*M19,0),ROUND(C29*M19*0.7,0))</f>
        <v>#N/A</v>
      </c>
      <c r="K19" s="1824" t="s">
        <v>1440</v>
      </c>
      <c r="L19" s="345" t="s">
        <v>1424</v>
      </c>
      <c r="M19" s="365">
        <f>IF(K19="按租金收入计税",'数据-取费表'!B51,'数据-取费表'!B50)</f>
        <v>1.2E-2</v>
      </c>
    </row>
    <row r="20" spans="1:37" s="1854" customFormat="1" ht="18" customHeight="1">
      <c r="A20" s="1196" t="s">
        <v>1039</v>
      </c>
      <c r="B20" s="345" t="s">
        <v>1441</v>
      </c>
      <c r="C20" s="23" t="e">
        <f ca="1">ROUND(C19*F20,0)</f>
        <v>#N/A</v>
      </c>
      <c r="D20" s="367" t="s">
        <v>1442</v>
      </c>
      <c r="E20" s="345" t="s">
        <v>1424</v>
      </c>
      <c r="F20" s="365">
        <f>'数据-取费表'!B37</f>
        <v>0.02</v>
      </c>
      <c r="G20" s="1850"/>
      <c r="H20" s="1196" t="s">
        <v>1390</v>
      </c>
      <c r="I20" s="162" t="s">
        <v>1443</v>
      </c>
      <c r="J20" s="24" t="e">
        <f ca="1">ROUND(M20*M21,0)</f>
        <v>#N/A</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v>
      </c>
      <c r="D21" s="367" t="s">
        <v>1447</v>
      </c>
      <c r="E21" s="345" t="s">
        <v>1448</v>
      </c>
      <c r="F21" s="365">
        <f>'数据-取费表'!B38</f>
        <v>0.02</v>
      </c>
      <c r="G21" s="1850"/>
      <c r="H21" s="370"/>
      <c r="I21" s="354"/>
      <c r="J21" s="28"/>
      <c r="K21" s="371"/>
      <c r="L21" s="345" t="s">
        <v>1449</v>
      </c>
      <c r="M21" s="346"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1814"/>
      <c r="F22" s="25"/>
      <c r="G22" s="1847"/>
      <c r="H22" s="1196" t="s">
        <v>1039</v>
      </c>
      <c r="I22" s="345" t="s">
        <v>1451</v>
      </c>
      <c r="J22" s="23" t="e">
        <f ca="1">ROUND(J14*M22,0)</f>
        <v>#N/A</v>
      </c>
      <c r="K22" s="1794" t="s">
        <v>1452</v>
      </c>
      <c r="L22" s="345" t="s">
        <v>1424</v>
      </c>
      <c r="M22" s="372" t="e">
        <f ca="1">INDIRECT("'数据-取费表'!Ak"&amp;$G$1)</f>
        <v>#N/A</v>
      </c>
    </row>
    <row r="23" spans="1:37" s="1854" customFormat="1" ht="18" customHeight="1">
      <c r="A23" s="1196" t="s">
        <v>1034</v>
      </c>
      <c r="B23" s="345" t="s">
        <v>1453</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t="e">
        <f ca="1">ROUND(J13*M23,0)</f>
        <v>#N/A</v>
      </c>
      <c r="K23" s="1794" t="s">
        <v>1456</v>
      </c>
      <c r="L23" s="345" t="s">
        <v>1457</v>
      </c>
      <c r="M23" s="374"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1394</v>
      </c>
      <c r="I24" s="1335" t="s">
        <v>1441</v>
      </c>
      <c r="J24" s="1336" t="e">
        <f ca="1">ROUND(J5*M24,0)</f>
        <v>#N/A</v>
      </c>
      <c r="K24" s="1337" t="s">
        <v>1461</v>
      </c>
      <c r="L24" s="1335" t="s">
        <v>1457</v>
      </c>
      <c r="M24" s="1331"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6" t="s">
        <v>1462</v>
      </c>
      <c r="B25" s="345" t="s">
        <v>1463</v>
      </c>
      <c r="C25" s="23"/>
      <c r="D25" s="138" t="s">
        <v>1464</v>
      </c>
      <c r="E25" s="1814"/>
      <c r="F25" s="25"/>
      <c r="G25" s="1847"/>
      <c r="H25" s="1324" t="s">
        <v>1031</v>
      </c>
      <c r="I25" s="1339" t="s">
        <v>1465</v>
      </c>
      <c r="J25" s="353" t="e">
        <f ca="1">J5-J16</f>
        <v>#N/A</v>
      </c>
      <c r="K25" s="1340" t="s">
        <v>1466</v>
      </c>
      <c r="L25" s="1341"/>
      <c r="M25" s="1342"/>
    </row>
    <row r="26" spans="1:37" ht="18" customHeight="1">
      <c r="A26" s="1196" t="s">
        <v>1034</v>
      </c>
      <c r="B26" s="345" t="s">
        <v>1467</v>
      </c>
      <c r="C26" s="23" t="e">
        <f ca="1">ROUND((C19+C20)*F26,0)</f>
        <v>#N/A</v>
      </c>
      <c r="D26" s="367" t="s">
        <v>1468</v>
      </c>
      <c r="E26" s="356" t="s">
        <v>1469</v>
      </c>
      <c r="F26" s="355" t="e">
        <f ca="1">INDIRECT("'数据-取费表'!q"&amp;$G$1)</f>
        <v>#N/A</v>
      </c>
      <c r="G26" s="1847"/>
      <c r="H26" s="342" t="s">
        <v>1032</v>
      </c>
      <c r="I26" s="343" t="s">
        <v>1470</v>
      </c>
      <c r="J26" s="344" t="e">
        <f ca="1">IF(J5&lt;&gt;0,ROUND(J25*(1-((1+M28)/(1+M26))^M27)/(M26-M28),0),0)</f>
        <v>#N/A</v>
      </c>
      <c r="K26" s="368" t="s">
        <v>1471</v>
      </c>
      <c r="L26" s="345" t="s">
        <v>1472</v>
      </c>
      <c r="M26" s="355" t="e">
        <f ca="1">INDIRECT("'数据-取费表'!I"&amp;$G$1)</f>
        <v>#N/A</v>
      </c>
    </row>
    <row r="27" spans="1:37" ht="18" customHeight="1">
      <c r="A27" s="1196" t="s">
        <v>1036</v>
      </c>
      <c r="B27" s="345" t="s">
        <v>1473</v>
      </c>
      <c r="C27" s="23" t="e">
        <f ca="1">ROUND(F21*F26,4)</f>
        <v>#N/A</v>
      </c>
      <c r="D27" s="367" t="s">
        <v>1474</v>
      </c>
      <c r="E27" s="363"/>
      <c r="F27" s="364"/>
      <c r="G27" s="1847"/>
      <c r="H27" s="347"/>
      <c r="I27" s="348"/>
      <c r="J27" s="349"/>
      <c r="K27" s="376" t="s">
        <v>1475</v>
      </c>
      <c r="L27" s="345" t="s">
        <v>1476</v>
      </c>
      <c r="M27" s="377" t="e">
        <f ca="1">INDIRECT("'数据-取费表'!ag"&amp;$G$1)</f>
        <v>#N/A</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t="e">
        <f ca="1">ROUND((C19+C20+C23+C26)/(1-F21-C24-C27-C28),0)</f>
        <v>#N/A</v>
      </c>
      <c r="D29" s="1337"/>
      <c r="E29" s="1335"/>
      <c r="F29" s="1338"/>
      <c r="G29" s="1850"/>
      <c r="H29" s="378" t="s">
        <v>1033</v>
      </c>
      <c r="I29" s="379" t="s">
        <v>1481</v>
      </c>
      <c r="J29" s="380" t="e">
        <f ca="1">ROUND(J26/(1+F40)^F41,0)</f>
        <v>#N/A</v>
      </c>
      <c r="K29" s="381" t="s">
        <v>1482</v>
      </c>
      <c r="L29" s="382"/>
      <c r="M29" s="383"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t="e">
        <f ca="1">ROUND(C31+C36+C37+C38,0)</f>
        <v>#N/A</v>
      </c>
      <c r="D30" s="1332" t="s">
        <v>1427</v>
      </c>
      <c r="E30" s="1333"/>
      <c r="F30" s="1289"/>
      <c r="G30" s="1847"/>
      <c r="H30" s="742"/>
      <c r="I30" s="743"/>
      <c r="J30" s="744"/>
      <c r="K30" s="745"/>
      <c r="L30" s="746"/>
      <c r="M30" s="747"/>
    </row>
    <row r="31" spans="1:37" ht="18" customHeight="1">
      <c r="A31" s="1196" t="s">
        <v>1035</v>
      </c>
      <c r="B31" s="345" t="s">
        <v>1431</v>
      </c>
      <c r="C31" s="23" t="e">
        <f ca="1">ROUND(IF(项目基本情况!B11="自然人",C5*F31,C32+C33+C34),0)</f>
        <v>#N/A</v>
      </c>
      <c r="D31" s="1796" t="s">
        <v>1432</v>
      </c>
      <c r="E31" s="1794"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t="e">
        <f ca="1">IF(项目基本情况!B11="自然人","——",ROUND(C5*F32/(1+'数据-取费表'!C42),0))</f>
        <v>#N/A</v>
      </c>
      <c r="D32" s="1794" t="s">
        <v>1436</v>
      </c>
      <c r="E32" s="345" t="s">
        <v>1424</v>
      </c>
      <c r="F32" s="375">
        <f>'数据-取费表'!B41</f>
        <v>5.6000000000000001E-2</v>
      </c>
      <c r="G32" s="1847"/>
      <c r="H32" s="742"/>
      <c r="I32" s="743"/>
      <c r="J32" s="744"/>
      <c r="K32" s="745"/>
      <c r="L32" s="746"/>
      <c r="M32" s="747"/>
    </row>
    <row r="33" spans="1:18" ht="18" customHeight="1">
      <c r="A33" s="1196" t="s">
        <v>1036</v>
      </c>
      <c r="B33" s="345" t="s">
        <v>1439</v>
      </c>
      <c r="C33" s="23" t="e">
        <f ca="1">IF(项目基本情况!B11="自然人","——",IF(D33="按租金收入计税",ROUND(C5*F33,0),IF(D33="按房产原值计税",ROUND(C29*F33*0.7,0),INDIRECT("'数据-取费表'!Aj"&amp;$G$1))))</f>
        <v>#N/A</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t="e">
        <f ca="1">IF(项目基本情况!B11="自然人","——",ROUND(F34*F35,))</f>
        <v>#N/A</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t="e">
        <f ca="1">INDIRECT("'数据-取费表'!r"&amp;$G$1)</f>
        <v>#N/A</v>
      </c>
      <c r="G35" s="1847"/>
      <c r="H35" s="742"/>
      <c r="I35" s="1856"/>
      <c r="J35" s="1857"/>
      <c r="K35" s="1858"/>
      <c r="L35" s="1855"/>
      <c r="M35" s="1855"/>
    </row>
    <row r="36" spans="1:18" ht="18" customHeight="1">
      <c r="A36" s="1347" t="s">
        <v>1039</v>
      </c>
      <c r="B36" s="345" t="s">
        <v>1451</v>
      </c>
      <c r="C36" s="23" t="e">
        <f ca="1">ROUND(C29*F36,0)</f>
        <v>#N/A</v>
      </c>
      <c r="D36" s="1794" t="s">
        <v>1484</v>
      </c>
      <c r="E36" s="345" t="s">
        <v>1424</v>
      </c>
      <c r="F36" s="372" t="e">
        <f ca="1">INDIRECT("'数据-取费表'!Ak"&amp;$G$1)</f>
        <v>#N/A</v>
      </c>
      <c r="G36" s="1847"/>
      <c r="H36" s="1855"/>
      <c r="I36" s="1856"/>
      <c r="J36" s="1857"/>
      <c r="K36" s="748"/>
      <c r="L36" s="1855"/>
      <c r="M36" s="1855"/>
    </row>
    <row r="37" spans="1:18" ht="18" customHeight="1">
      <c r="A37" s="1196" t="s">
        <v>1075</v>
      </c>
      <c r="B37" s="345" t="s">
        <v>1455</v>
      </c>
      <c r="C37" s="23" t="e">
        <f ca="1">ROUND(C13*F37,0)</f>
        <v>#N/A</v>
      </c>
      <c r="D37" s="1794" t="s">
        <v>1456</v>
      </c>
      <c r="E37" s="345" t="s">
        <v>1457</v>
      </c>
      <c r="F37" s="374" t="e">
        <f ca="1">INDIRECT("'数据-取费表'!Al"&amp;$G$1)</f>
        <v>#N/A</v>
      </c>
      <c r="G37" s="1847"/>
      <c r="H37" s="1855"/>
      <c r="I37" s="1856"/>
      <c r="J37" s="1857"/>
      <c r="K37" s="748"/>
      <c r="L37" s="1855"/>
      <c r="M37" s="1855"/>
    </row>
    <row r="38" spans="1:18" ht="18" customHeight="1" thickBot="1">
      <c r="A38" s="1334" t="s">
        <v>1394</v>
      </c>
      <c r="B38" s="1335" t="s">
        <v>1441</v>
      </c>
      <c r="C38" s="1336" t="e">
        <f ca="1">ROUND(C5*F38,1)</f>
        <v>#N/A</v>
      </c>
      <c r="D38" s="1337" t="s">
        <v>1461</v>
      </c>
      <c r="E38" s="1335" t="s">
        <v>1457</v>
      </c>
      <c r="F38" s="1331" t="e">
        <f ca="1">INDIRECT("'数据-取费表'!Am"&amp;$G$1)</f>
        <v>#N/A</v>
      </c>
      <c r="G38" s="1847"/>
      <c r="H38" s="1855"/>
      <c r="I38" s="1856"/>
      <c r="J38" s="1857"/>
      <c r="K38" s="1861"/>
      <c r="L38" s="1855"/>
      <c r="M38" s="1855"/>
    </row>
    <row r="39" spans="1:18" ht="24.6" customHeight="1" thickTop="1">
      <c r="A39" s="1324" t="s">
        <v>1031</v>
      </c>
      <c r="B39" s="1339" t="s">
        <v>1485</v>
      </c>
      <c r="C39" s="353" t="e">
        <f ca="1">C5-C30</f>
        <v>#N/A</v>
      </c>
      <c r="D39" s="1340" t="s">
        <v>1486</v>
      </c>
      <c r="E39" s="1341"/>
      <c r="F39" s="1342"/>
      <c r="G39" s="1847"/>
      <c r="H39" s="1855"/>
      <c r="I39" s="1856"/>
      <c r="J39" s="1857"/>
      <c r="K39" s="1861"/>
      <c r="L39" s="1855"/>
      <c r="M39" s="1855"/>
    </row>
    <row r="40" spans="1:18" ht="18" customHeight="1">
      <c r="A40" s="342" t="s">
        <v>1032</v>
      </c>
      <c r="B40" s="343" t="s">
        <v>1487</v>
      </c>
      <c r="C40" s="344" t="e">
        <f ca="1">ROUND(C39*(1-((1+F42)/(1+F40))^F41)/(F40-F42),0)</f>
        <v>#N/A</v>
      </c>
      <c r="D40" s="368" t="s">
        <v>1471</v>
      </c>
      <c r="E40" s="345" t="s">
        <v>1472</v>
      </c>
      <c r="F40" s="355" t="e">
        <f ca="1">INDIRECT("'数据-取费表'!I"&amp;$G$1)</f>
        <v>#N/A</v>
      </c>
      <c r="G40" s="1847"/>
      <c r="H40" s="1835"/>
      <c r="I40" s="1856"/>
      <c r="J40" s="1857"/>
      <c r="K40" s="1861"/>
      <c r="L40" s="1835"/>
      <c r="M40" s="1835"/>
    </row>
    <row r="41" spans="1:18" ht="18" customHeight="1">
      <c r="A41" s="347"/>
      <c r="B41" s="348"/>
      <c r="C41" s="349"/>
      <c r="D41" s="376" t="s">
        <v>1488</v>
      </c>
      <c r="E41" s="345" t="s">
        <v>1476</v>
      </c>
      <c r="F41" s="377" t="e">
        <f ca="1">IF(INDIRECT("'数据-取费表'!af"&amp;$G$1)=0,INDIRECT("'数据-取费表'!ae"&amp;$G$1),INDIRECT("'数据-取费表'!af"&amp;$G$1))</f>
        <v>#N/A</v>
      </c>
      <c r="G41" s="1847"/>
      <c r="H41" s="729"/>
      <c r="I41" s="1856"/>
      <c r="J41" s="1857"/>
      <c r="K41" s="748"/>
      <c r="L41" s="729"/>
      <c r="M41" s="729"/>
    </row>
    <row r="42" spans="1:18" ht="18" customHeight="1">
      <c r="A42" s="351"/>
      <c r="B42" s="352"/>
      <c r="C42" s="353"/>
      <c r="D42" s="371"/>
      <c r="E42" s="345" t="s">
        <v>1479</v>
      </c>
      <c r="F42" s="355" t="e">
        <f ca="1">INDIRECT("'数据-取费表'!v"&amp;$G$1)</f>
        <v>#N/A</v>
      </c>
      <c r="G42" s="1847"/>
      <c r="H42" s="729"/>
      <c r="I42" s="1856"/>
      <c r="J42" s="1857"/>
      <c r="K42" s="748"/>
      <c r="L42" s="729"/>
      <c r="M42" s="729"/>
    </row>
    <row r="43" spans="1:18" ht="18" customHeight="1" thickBot="1">
      <c r="A43" s="378" t="s">
        <v>1033</v>
      </c>
      <c r="B43" s="379" t="s">
        <v>1489</v>
      </c>
      <c r="C43" s="380" t="e">
        <f ca="1">ROUND(C40/F43,0)</f>
        <v>#N/A</v>
      </c>
      <c r="D43" s="381" t="s">
        <v>1490</v>
      </c>
      <c r="E43" s="382" t="s">
        <v>1491</v>
      </c>
      <c r="F43" s="383"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1606</v>
      </c>
      <c r="E45" s="1862"/>
      <c r="F45" s="1862"/>
      <c r="O45" s="1865" t="s">
        <v>1521</v>
      </c>
      <c r="P45" s="1835"/>
      <c r="Q45" s="1835"/>
      <c r="R45" s="1835"/>
    </row>
    <row r="46" spans="1:18" s="1838" customFormat="1" ht="13.5" thickBot="1">
      <c r="A46" s="1866" t="s">
        <v>1522</v>
      </c>
      <c r="C46" s="1867" t="e">
        <f ca="1">ROUND(C45/10000,0)</f>
        <v>#N/A</v>
      </c>
      <c r="D46" s="1868" t="str">
        <f>C2</f>
        <v>万元</v>
      </c>
      <c r="I46" s="1869" t="s">
        <v>1523</v>
      </c>
      <c r="J46" s="1870"/>
      <c r="K46" s="1871"/>
      <c r="L46" s="1872" t="e">
        <f ca="1">IF(M47="住宅",0,IF(L48&gt;J51,L60,J60))</f>
        <v>#N/A</v>
      </c>
      <c r="O46" s="1873" t="s">
        <v>1524</v>
      </c>
      <c r="P46" s="1874" t="s">
        <v>1525</v>
      </c>
      <c r="Q46" s="1875" t="s">
        <v>1526</v>
      </c>
      <c r="R46" s="1875" t="s">
        <v>1527</v>
      </c>
    </row>
    <row r="47" spans="1:18" s="1838" customFormat="1" ht="13.5" thickBot="1">
      <c r="A47" s="1160" t="s">
        <v>1397</v>
      </c>
      <c r="B47" s="1192" t="s">
        <v>1398</v>
      </c>
      <c r="C47" s="1192" t="s">
        <v>1399</v>
      </c>
      <c r="D47" s="1192" t="s">
        <v>1400</v>
      </c>
      <c r="E47" s="1274" t="s">
        <v>1401</v>
      </c>
      <c r="F47" s="1275"/>
      <c r="G47" s="789"/>
      <c r="I47" s="1876" t="s">
        <v>1528</v>
      </c>
      <c r="J47" s="1877" t="s">
        <v>3126</v>
      </c>
      <c r="K47" s="1878" t="s">
        <v>1529</v>
      </c>
      <c r="L47" s="1879" t="e">
        <f ca="1">INDIRECT("'数据-取费表'!d"&amp;$G$1)</f>
        <v>#N/A</v>
      </c>
      <c r="M47" s="1834" t="str">
        <f>IF(ISNUMBER(FIND("住宅",C1)),"住宅","非住宅")</f>
        <v>非住宅</v>
      </c>
      <c r="O47" s="1880" t="s">
        <v>1040</v>
      </c>
      <c r="P47" s="1881" t="s">
        <v>1530</v>
      </c>
      <c r="Q47" s="1882" t="e">
        <f ca="1">C40+J29</f>
        <v>#N/A</v>
      </c>
      <c r="R47" s="1882" t="s">
        <v>1531</v>
      </c>
    </row>
    <row r="48" spans="1:18" s="1838" customFormat="1" ht="28.5" thickBot="1">
      <c r="A48" s="1355" t="s">
        <v>1135</v>
      </c>
      <c r="B48" s="343" t="s">
        <v>1402</v>
      </c>
      <c r="C48" s="1813" t="e">
        <f ca="1">C49+C53+C55</f>
        <v>#N/A</v>
      </c>
      <c r="D48" s="1357"/>
      <c r="E48" s="1358"/>
      <c r="F48" s="1176"/>
      <c r="G48" s="789"/>
      <c r="H48" s="790"/>
      <c r="I48" s="1883" t="s">
        <v>1532</v>
      </c>
      <c r="J48" s="1884" t="s">
        <v>3127</v>
      </c>
      <c r="K48" s="1885" t="s">
        <v>1533</v>
      </c>
      <c r="L48" s="1886" t="e">
        <f ca="1">INDIRECT("'数据-取费表'!f"&amp;$G$1)</f>
        <v>#N/A</v>
      </c>
      <c r="O48" s="1880" t="s">
        <v>1041</v>
      </c>
      <c r="P48" s="1881" t="s">
        <v>1534</v>
      </c>
      <c r="Q48" s="1882" t="e">
        <f ca="1">J60</f>
        <v>#N/A</v>
      </c>
      <c r="R48" s="1882" t="s">
        <v>1535</v>
      </c>
    </row>
    <row r="49" spans="1:18" s="1838" customFormat="1" ht="13.5" thickBot="1">
      <c r="A49" s="1189" t="s">
        <v>1136</v>
      </c>
      <c r="B49" s="1825" t="s">
        <v>1492</v>
      </c>
      <c r="C49" s="1359" t="e">
        <f ca="1">ROUND(F49*F51*F50*(1-F52),0)</f>
        <v>#N/A</v>
      </c>
      <c r="D49" s="1271" t="s">
        <v>1405</v>
      </c>
      <c r="E49" s="1826" t="s">
        <v>1493</v>
      </c>
      <c r="F49" s="1276"/>
      <c r="G49" s="1887"/>
      <c r="H49" s="790"/>
      <c r="I49" s="1883" t="s">
        <v>1536</v>
      </c>
      <c r="J49" s="1888">
        <v>2019</v>
      </c>
      <c r="K49" s="1885" t="s">
        <v>1537</v>
      </c>
      <c r="L49" s="1889"/>
      <c r="O49" s="1890" t="s">
        <v>1042</v>
      </c>
      <c r="P49" s="1881" t="s">
        <v>1538</v>
      </c>
      <c r="Q49" s="1882" t="e">
        <f ca="1">C29</f>
        <v>#N/A</v>
      </c>
      <c r="R49" s="1882" t="s">
        <v>1531</v>
      </c>
    </row>
    <row r="50" spans="1:18" s="1838" customFormat="1" ht="13.5" thickBot="1">
      <c r="A50" s="1190"/>
      <c r="B50" s="1193"/>
      <c r="C50" s="1194"/>
      <c r="D50" s="1167"/>
      <c r="E50" s="1272" t="s">
        <v>1407</v>
      </c>
      <c r="F50" s="1273" t="e">
        <f ca="1">F7</f>
        <v>#N/A</v>
      </c>
      <c r="H50" s="790"/>
      <c r="I50" s="1883" t="s">
        <v>1539</v>
      </c>
      <c r="J50" s="1891">
        <f>SUMPRODUCT((I63:I65=J47)*(J62:L62=J48)*(J63:L65))</f>
        <v>60</v>
      </c>
      <c r="K50" s="1885" t="s">
        <v>1540</v>
      </c>
      <c r="L50" s="1889"/>
      <c r="M50" s="1892"/>
      <c r="O50" s="1890" t="s">
        <v>1043</v>
      </c>
      <c r="P50" s="1881" t="s">
        <v>1541</v>
      </c>
      <c r="Q50" s="1893" t="e">
        <f ca="1">J58</f>
        <v>#N/A</v>
      </c>
      <c r="R50" s="1882"/>
    </row>
    <row r="51" spans="1:18" s="1838" customFormat="1" ht="13.5" thickBot="1">
      <c r="A51" s="1191"/>
      <c r="B51" s="1193"/>
      <c r="C51" s="1194"/>
      <c r="D51" s="1167"/>
      <c r="E51" s="1195" t="s">
        <v>1408</v>
      </c>
      <c r="F51" s="346" t="e">
        <f ca="1">F8</f>
        <v>#N/A</v>
      </c>
      <c r="I51" s="1894" t="s">
        <v>1542</v>
      </c>
      <c r="J51" s="1895">
        <f>IF(J49="",J50,J49+J50-YEAR('数据-取费表'!B2))</f>
        <v>61</v>
      </c>
      <c r="K51" s="1896" t="s">
        <v>1543</v>
      </c>
      <c r="L51" s="1897" t="e">
        <f ca="1">ROUND(-PV(INDIRECT("'数据-取费表'!h"&amp;$G$1),L48,(C39-C13*C76),0),0)</f>
        <v>#N/A</v>
      </c>
      <c r="M51" s="1898"/>
      <c r="O51" s="1890" t="s">
        <v>1044</v>
      </c>
      <c r="P51" s="1881" t="s">
        <v>1544</v>
      </c>
      <c r="Q51" s="1893">
        <f>J52</f>
        <v>0</v>
      </c>
      <c r="R51" s="1882"/>
    </row>
    <row r="52" spans="1:18" s="1838" customFormat="1" ht="13.5" thickBot="1">
      <c r="A52" s="1191"/>
      <c r="B52" s="1193"/>
      <c r="C52" s="1194"/>
      <c r="D52" s="1167"/>
      <c r="E52" s="1195" t="s">
        <v>1409</v>
      </c>
      <c r="F52" s="1270"/>
      <c r="I52" s="1899" t="s">
        <v>1545</v>
      </c>
      <c r="J52" s="1900"/>
      <c r="K52" s="1899" t="s">
        <v>1546</v>
      </c>
      <c r="L52" s="1900"/>
      <c r="O52" s="1890" t="s">
        <v>1045</v>
      </c>
      <c r="P52" s="1881" t="s">
        <v>1547</v>
      </c>
      <c r="Q52" s="1882" t="b">
        <f>J53</f>
        <v>0</v>
      </c>
      <c r="R52" s="1882" t="s">
        <v>1548</v>
      </c>
    </row>
    <row r="53" spans="1:18" s="1838" customFormat="1" ht="30.75" customHeight="1" thickBot="1">
      <c r="A53" s="1356" t="s">
        <v>1137</v>
      </c>
      <c r="B53" s="367" t="s">
        <v>1410</v>
      </c>
      <c r="C53" s="359">
        <f ca="1">ROUND(IF(F53="押一",F49*F51*F50/12*F11,IF(F53="押二",F49*F51*F50/12*2*F11,IF(F53="押三",F49*F51*F50/12*3*F11,C54*F11))),0)</f>
        <v>0</v>
      </c>
      <c r="D53" s="1820" t="s">
        <v>1411</v>
      </c>
      <c r="E53" s="356" t="s">
        <v>1412</v>
      </c>
      <c r="F53" s="1361"/>
      <c r="I53" s="1901" t="s">
        <v>1549</v>
      </c>
      <c r="J53" s="1902" t="b">
        <f>IF(M47="住宅",J51,IF(D1="——",MIN(J51,L48),IF(D1="在建（套用方法）",MIN(J51,L48-'数据-取费表'!B24),IF(D1="土地（套用方法）",MIN(J51,L48-'数据-取费表'!B20)))))</f>
        <v>0</v>
      </c>
      <c r="K53" s="3209" t="s">
        <v>1550</v>
      </c>
      <c r="L53" s="3210"/>
      <c r="O53" s="1880" t="s">
        <v>1046</v>
      </c>
      <c r="P53" s="1881" t="s">
        <v>1551</v>
      </c>
      <c r="Q53" s="1882" t="e">
        <f ca="1">Q47+Q48</f>
        <v>#N/A</v>
      </c>
      <c r="R53" s="1882" t="s">
        <v>1047</v>
      </c>
    </row>
    <row r="54" spans="1:18" s="1838" customFormat="1" ht="13.5" thickBot="1">
      <c r="A54" s="1189"/>
      <c r="B54" s="1937" t="s">
        <v>1605</v>
      </c>
      <c r="C54" s="1173"/>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#N/A</v>
      </c>
      <c r="K55" s="1908" t="s">
        <v>1554</v>
      </c>
      <c r="L55" s="1909"/>
      <c r="O55" s="1873" t="s">
        <v>1524</v>
      </c>
      <c r="P55" s="1874" t="s">
        <v>1525</v>
      </c>
      <c r="Q55" s="1875" t="s">
        <v>1526</v>
      </c>
      <c r="R55" s="1875" t="s">
        <v>1527</v>
      </c>
    </row>
    <row r="56" spans="1:18" s="1838" customFormat="1" ht="36" customHeight="1" thickTop="1" thickBot="1">
      <c r="A56" s="1171">
        <v>2</v>
      </c>
      <c r="B56" s="1172" t="s">
        <v>1416</v>
      </c>
      <c r="C56" s="274" t="e">
        <f ca="1">C13</f>
        <v>#N/A</v>
      </c>
      <c r="D56" s="1910"/>
      <c r="E56" s="1911"/>
      <c r="F56" s="1903"/>
      <c r="I56" s="1912" t="s">
        <v>1556</v>
      </c>
      <c r="J56" s="1913" t="s">
        <v>3062</v>
      </c>
      <c r="K56" s="1883" t="s">
        <v>1557</v>
      </c>
      <c r="L56" s="1886" t="e">
        <f ca="1">IF(L48&lt;J51,"——",L48-J51)</f>
        <v>#N/A</v>
      </c>
      <c r="O56" s="1880" t="s">
        <v>1040</v>
      </c>
      <c r="P56" s="1881" t="s">
        <v>1530</v>
      </c>
      <c r="Q56" s="1882" t="e">
        <f ca="1">C40+J29</f>
        <v>#N/A</v>
      </c>
      <c r="R56" s="1882" t="s">
        <v>1531</v>
      </c>
    </row>
    <row r="57" spans="1:18" s="1838" customFormat="1" ht="24.75" thickBot="1">
      <c r="A57" s="1914"/>
      <c r="B57" s="1164" t="s">
        <v>1480</v>
      </c>
      <c r="C57" s="280" t="e">
        <f ca="1">C29</f>
        <v>#N/A</v>
      </c>
      <c r="D57" s="1915"/>
      <c r="E57" s="1916"/>
      <c r="F57" s="1917"/>
      <c r="I57" s="1918" t="s">
        <v>1558</v>
      </c>
      <c r="J57" s="1919" t="e">
        <f ca="1">IF(OR(M47="住宅",J51&lt;L48,J56="是"),"——",J51-L48)</f>
        <v>#N/A</v>
      </c>
      <c r="K57" s="1883" t="s">
        <v>1607</v>
      </c>
      <c r="L57" s="1886" t="e">
        <f ca="1">IF(L48&lt;J51,"——",IF(L55="比较法",L49,IF(L55="基准地价",L50,L51)))</f>
        <v>#N/A</v>
      </c>
      <c r="O57" s="1880" t="s">
        <v>1041</v>
      </c>
      <c r="P57" s="1881" t="s">
        <v>1608</v>
      </c>
      <c r="Q57" s="1882" t="e">
        <f ca="1">L60</f>
        <v>#N/A</v>
      </c>
      <c r="R57" s="1882" t="s">
        <v>1609</v>
      </c>
    </row>
    <row r="58" spans="1:18" s="1838" customFormat="1" ht="24.75" thickBot="1">
      <c r="A58" s="358" t="s">
        <v>1030</v>
      </c>
      <c r="B58" s="1172" t="s">
        <v>1426</v>
      </c>
      <c r="C58" s="359" t="e">
        <f ca="1">ROUND(C59+C64+C65+C66,0)</f>
        <v>#N/A</v>
      </c>
      <c r="D58" s="1174" t="s">
        <v>1427</v>
      </c>
      <c r="E58" s="1175"/>
      <c r="F58" s="1176"/>
      <c r="I58" s="1918" t="s">
        <v>1562</v>
      </c>
      <c r="J58" s="1920" t="e">
        <f ca="1">IF(J55&lt;0.4,0.4,J55)</f>
        <v>#N/A</v>
      </c>
      <c r="K58" s="1896" t="s">
        <v>1610</v>
      </c>
      <c r="L58" s="1886" t="e">
        <f ca="1">ROUND(POWER(1+L52,L47-L48)*(POWER(1+L52,L48)-1)/(POWER(1+L52,L47)-1),4)</f>
        <v>#N/A</v>
      </c>
      <c r="O58" s="1890" t="s">
        <v>1042</v>
      </c>
      <c r="P58" s="1881" t="s">
        <v>1564</v>
      </c>
      <c r="Q58" s="1882">
        <f>IF(L55="比较法",L49,IF(L55="基准地价",L50,0))</f>
        <v>0</v>
      </c>
      <c r="R58" s="1882" t="s">
        <v>1531</v>
      </c>
    </row>
    <row r="59" spans="1:18" s="1838" customFormat="1" ht="24.75" thickBot="1">
      <c r="A59" s="1196" t="s">
        <v>1035</v>
      </c>
      <c r="B59" s="1164" t="s">
        <v>1431</v>
      </c>
      <c r="C59" s="23" t="e">
        <f ca="1">ROUND(IF(项目基本情况!B11="自然人",C48*F59,C60+C61+C62),0)</f>
        <v>#N/A</v>
      </c>
      <c r="D59" s="1177" t="s">
        <v>1432</v>
      </c>
      <c r="E59" s="1178" t="s">
        <v>1433</v>
      </c>
      <c r="F59" s="366" t="str">
        <f ca="1">IF(项目基本情况!B11="企业","",IF(INDIRECT("'数据-取费表'!c"&amp;$G$1)="住宅",5%,IF(F49*F50*F51/12/(1+'数据-取费表'!C42)&gt;20000,12%,7%)))</f>
        <v/>
      </c>
      <c r="I59" s="1918" t="s">
        <v>1565</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0" t="s">
        <v>1043</v>
      </c>
      <c r="P59" s="1881" t="s">
        <v>1566</v>
      </c>
      <c r="Q59" s="1893">
        <f>L52</f>
        <v>0</v>
      </c>
      <c r="R59" s="1882"/>
    </row>
    <row r="60" spans="1:18" s="1838" customFormat="1" ht="16.5" thickBot="1">
      <c r="A60" s="1196" t="s">
        <v>1034</v>
      </c>
      <c r="B60" s="1164" t="s">
        <v>1435</v>
      </c>
      <c r="C60" s="23" t="e">
        <f ca="1">IF(项目基本情况!B11="自然人","——",ROUND(C48*F60/(1+'数据-取费表'!C42),0))</f>
        <v>#N/A</v>
      </c>
      <c r="D60" s="1178" t="s">
        <v>1436</v>
      </c>
      <c r="E60" s="1164" t="s">
        <v>1424</v>
      </c>
      <c r="F60" s="375">
        <f t="shared" ref="F60:F66" si="0">F32</f>
        <v>5.6000000000000001E-2</v>
      </c>
      <c r="I60" s="1921" t="s">
        <v>1567</v>
      </c>
      <c r="J60" s="1922" t="e">
        <f ca="1">IF(OR(M47="住宅",J51&lt;L48,J56="是"),"0",ROUND(J59/(1+J52)^J53,0))</f>
        <v>#N/A</v>
      </c>
      <c r="K60" s="1923" t="s">
        <v>1568</v>
      </c>
      <c r="L60" s="1922" t="e">
        <f ca="1">IF(OR(M47="住宅",L48&lt;J51),0,ROUND(L57*(L58/L59-1),0))</f>
        <v>#N/A</v>
      </c>
      <c r="O60" s="1890" t="s">
        <v>1044</v>
      </c>
      <c r="P60" s="1881" t="s">
        <v>1569</v>
      </c>
      <c r="Q60" s="1882" t="e">
        <f ca="1">L58</f>
        <v>#N/A</v>
      </c>
      <c r="R60" s="1882" t="s">
        <v>1570</v>
      </c>
    </row>
    <row r="61" spans="1:18" s="1838" customFormat="1" ht="13.5" thickBot="1">
      <c r="A61" s="1196" t="s">
        <v>1494</v>
      </c>
      <c r="B61" s="1164" t="s">
        <v>1495</v>
      </c>
      <c r="C61" s="23" t="e">
        <f ca="1">IF(项目基本情况!B11="自然人","——",IF(D61="按租金收入计税",ROUND(C48*F61,0),IF(D61="按房产原值计税",ROUND(C57*F61*0.7,0),INDIRECT("'数据-取费表'!Aj"&amp;$G$1))))</f>
        <v>#N/A</v>
      </c>
      <c r="D61" s="1824" t="s">
        <v>1440</v>
      </c>
      <c r="E61" s="1164" t="s">
        <v>1496</v>
      </c>
      <c r="F61" s="365">
        <f t="shared" si="0"/>
        <v>1.2E-2</v>
      </c>
      <c r="I61" s="1924"/>
      <c r="J61" s="1924"/>
      <c r="K61" s="1924"/>
      <c r="L61" s="1924"/>
      <c r="O61" s="1890" t="s">
        <v>1045</v>
      </c>
      <c r="P61" s="1881" t="str">
        <f>K59</f>
        <v>建设期及建筑物耐用年限下的土地年期修正系数Kn</v>
      </c>
      <c r="Q61" s="1882" t="e">
        <f ca="1">L59</f>
        <v>#N/A</v>
      </c>
      <c r="R61" s="1882" t="s">
        <v>1571</v>
      </c>
    </row>
    <row r="62" spans="1:18" s="1838" customFormat="1" ht="13.5" thickBot="1">
      <c r="A62" s="1196" t="s">
        <v>1497</v>
      </c>
      <c r="B62" s="1163" t="s">
        <v>1498</v>
      </c>
      <c r="C62" s="24" t="e">
        <f ca="1">IF(项目基本情况!B11="自然人","——",ROUND(F62*F63,0))</f>
        <v>#N/A</v>
      </c>
      <c r="D62" s="1179" t="s">
        <v>1499</v>
      </c>
      <c r="E62" s="1164" t="s">
        <v>1500</v>
      </c>
      <c r="F62" s="369">
        <f t="shared" si="0"/>
        <v>1.5</v>
      </c>
      <c r="I62" s="1925" t="s">
        <v>1572</v>
      </c>
      <c r="J62" s="1926" t="s">
        <v>1573</v>
      </c>
      <c r="K62" s="1926" t="s">
        <v>1574</v>
      </c>
      <c r="L62" s="1926" t="s">
        <v>1575</v>
      </c>
      <c r="M62" s="1927" t="s">
        <v>1576</v>
      </c>
      <c r="O62" s="1880" t="s">
        <v>1046</v>
      </c>
      <c r="P62" s="1881" t="s">
        <v>1577</v>
      </c>
      <c r="Q62" s="1882" t="e">
        <f ca="1">Q56+Q57</f>
        <v>#N/A</v>
      </c>
      <c r="R62" s="1882" t="s">
        <v>1047</v>
      </c>
    </row>
    <row r="63" spans="1:18" s="1838" customFormat="1" ht="13.5" thickBot="1">
      <c r="A63" s="370"/>
      <c r="B63" s="1170"/>
      <c r="C63" s="28"/>
      <c r="D63" s="1180"/>
      <c r="E63" s="1164" t="s">
        <v>1501</v>
      </c>
      <c r="F63" s="346" t="e">
        <f t="shared" ca="1" si="0"/>
        <v>#N/A</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t="e">
        <f ca="1">ROUND(C57*F64,0)</f>
        <v>#N/A</v>
      </c>
      <c r="D64" s="1178" t="s">
        <v>1504</v>
      </c>
      <c r="E64" s="1164" t="s">
        <v>1496</v>
      </c>
      <c r="F64" s="372" t="e">
        <f t="shared" ca="1" si="0"/>
        <v>#N/A</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t="e">
        <f ca="1">ROUND(C56*F65,0)</f>
        <v>#N/A</v>
      </c>
      <c r="D65" s="1178" t="s">
        <v>1456</v>
      </c>
      <c r="E65" s="1164" t="s">
        <v>1457</v>
      </c>
      <c r="F65" s="374" t="e">
        <f t="shared" ca="1" si="0"/>
        <v>#N/A</v>
      </c>
      <c r="I65" s="1925" t="s">
        <v>1581</v>
      </c>
      <c r="J65" s="1926">
        <v>40</v>
      </c>
      <c r="K65" s="1926">
        <v>30</v>
      </c>
      <c r="L65" s="1926">
        <v>50</v>
      </c>
      <c r="M65" s="1928">
        <v>0.02</v>
      </c>
      <c r="O65" s="1880" t="s">
        <v>1040</v>
      </c>
      <c r="P65" s="1881" t="s">
        <v>1582</v>
      </c>
      <c r="Q65" s="1882" t="e">
        <f ca="1">C40+J29</f>
        <v>#N/A</v>
      </c>
      <c r="R65" s="1882" t="s">
        <v>1531</v>
      </c>
    </row>
    <row r="66" spans="1:18" s="1838" customFormat="1" ht="16.5" thickBot="1">
      <c r="A66" s="1196" t="s">
        <v>1506</v>
      </c>
      <c r="B66" s="1164" t="s">
        <v>1441</v>
      </c>
      <c r="C66" s="23" t="e">
        <f ca="1">ROUND(C48*F66,0)</f>
        <v>#N/A</v>
      </c>
      <c r="D66" s="1178" t="s">
        <v>1507</v>
      </c>
      <c r="E66" s="1164" t="s">
        <v>1424</v>
      </c>
      <c r="F66" s="355" t="e">
        <f t="shared" ca="1" si="0"/>
        <v>#N/A</v>
      </c>
      <c r="O66" s="1880" t="s">
        <v>1041</v>
      </c>
      <c r="P66" s="1881" t="s">
        <v>1560</v>
      </c>
      <c r="Q66" s="1882" t="e">
        <f ca="1">L60</f>
        <v>#N/A</v>
      </c>
      <c r="R66" s="1882" t="s">
        <v>1583</v>
      </c>
    </row>
    <row r="67" spans="1:18" s="1838" customFormat="1" ht="16.5" thickBot="1">
      <c r="A67" s="1171" t="s">
        <v>1031</v>
      </c>
      <c r="B67" s="1181" t="s">
        <v>1465</v>
      </c>
      <c r="C67" s="359" t="e">
        <f ca="1">C48-C58</f>
        <v>#N/A</v>
      </c>
      <c r="D67" s="1177" t="s">
        <v>1466</v>
      </c>
      <c r="E67" s="1182"/>
      <c r="F67" s="1183"/>
      <c r="O67" s="1890" t="s">
        <v>1042</v>
      </c>
      <c r="P67" s="1881" t="s">
        <v>1564</v>
      </c>
      <c r="Q67" s="1929" t="e">
        <f ca="1">L51</f>
        <v>#N/A</v>
      </c>
      <c r="R67" s="1882" t="s">
        <v>1584</v>
      </c>
    </row>
    <row r="68" spans="1:18" s="1838" customFormat="1" ht="16.5" thickBot="1">
      <c r="A68" s="1161" t="s">
        <v>1032</v>
      </c>
      <c r="B68" s="1162" t="s">
        <v>1487</v>
      </c>
      <c r="C68" s="344" t="e">
        <f ca="1">ROUND(C67*(1-((1+F70)/(1+F68))^F69)/(F68-F70),0)</f>
        <v>#N/A</v>
      </c>
      <c r="D68" s="1179" t="s">
        <v>1471</v>
      </c>
      <c r="E68" s="1164" t="s">
        <v>1472</v>
      </c>
      <c r="F68" s="355" t="e">
        <f ca="1">F40</f>
        <v>#N/A</v>
      </c>
      <c r="O68" s="1890" t="s">
        <v>1043</v>
      </c>
      <c r="P68" s="1930" t="s">
        <v>1585</v>
      </c>
      <c r="Q68" s="1882" t="e">
        <f ca="1">ROUND(Q69-Q70*Q71,0)</f>
        <v>#N/A</v>
      </c>
      <c r="R68" s="1882" t="s">
        <v>1051</v>
      </c>
    </row>
    <row r="69" spans="1:18" s="1838" customFormat="1" ht="13.5" thickBot="1">
      <c r="A69" s="1165"/>
      <c r="B69" s="1166"/>
      <c r="C69" s="349"/>
      <c r="D69" s="1184" t="s">
        <v>1475</v>
      </c>
      <c r="E69" s="1164" t="s">
        <v>1476</v>
      </c>
      <c r="F69" s="377" t="e">
        <f ca="1">F41</f>
        <v>#N/A</v>
      </c>
      <c r="O69" s="1890" t="s">
        <v>1048</v>
      </c>
      <c r="P69" s="1930" t="s">
        <v>1586</v>
      </c>
      <c r="Q69" s="1882" t="e">
        <f ca="1">C39</f>
        <v>#N/A</v>
      </c>
      <c r="R69" s="1882" t="s">
        <v>1531</v>
      </c>
    </row>
    <row r="70" spans="1:18" s="1838" customFormat="1" ht="13.5" thickBot="1">
      <c r="A70" s="1168"/>
      <c r="B70" s="1169"/>
      <c r="C70" s="353"/>
      <c r="D70" s="1180"/>
      <c r="E70" s="1164" t="s">
        <v>1479</v>
      </c>
      <c r="F70" s="1270" t="e">
        <f ca="1">F42</f>
        <v>#N/A</v>
      </c>
      <c r="O70" s="1890" t="s">
        <v>1049</v>
      </c>
      <c r="P70" s="1930" t="s">
        <v>1587</v>
      </c>
      <c r="Q70" s="1882" t="e">
        <f ca="1">C13</f>
        <v>#N/A</v>
      </c>
      <c r="R70" s="1882" t="s">
        <v>1531</v>
      </c>
    </row>
    <row r="71" spans="1:18" s="1838" customFormat="1" ht="13.5" thickBot="1">
      <c r="A71" s="1185" t="s">
        <v>1033</v>
      </c>
      <c r="B71" s="1186" t="s">
        <v>1489</v>
      </c>
      <c r="C71" s="380" t="e">
        <f ca="1">ROUND(C68/F71,0)</f>
        <v>#N/A</v>
      </c>
      <c r="D71" s="1187" t="s">
        <v>1490</v>
      </c>
      <c r="E71" s="1188" t="s">
        <v>1491</v>
      </c>
      <c r="F71" s="383" t="e">
        <f ca="1">F43</f>
        <v>#N/A</v>
      </c>
      <c r="O71" s="1890" t="s">
        <v>1050</v>
      </c>
      <c r="P71" s="1930" t="s">
        <v>1588</v>
      </c>
      <c r="Q71" s="1893" t="e">
        <f ca="1">C76</f>
        <v>#N/A</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#N/A</v>
      </c>
      <c r="R73" s="1882" t="s">
        <v>1570</v>
      </c>
    </row>
    <row r="74" spans="1:18" ht="13.5" thickBot="1">
      <c r="A74" s="1838"/>
      <c r="B74" s="315" t="s">
        <v>1589</v>
      </c>
      <c r="C74" s="1932"/>
      <c r="D74" s="1838"/>
      <c r="E74" s="1838"/>
      <c r="F74" s="1838"/>
      <c r="O74" s="1890" t="s">
        <v>1052</v>
      </c>
      <c r="P74" s="1881" t="str">
        <f>K59</f>
        <v>建设期及建筑物耐用年限下的土地年期修正系数Kn</v>
      </c>
      <c r="Q74" s="1882" t="e">
        <f ca="1">L59</f>
        <v>#N/A</v>
      </c>
      <c r="R74" s="1882" t="s">
        <v>1571</v>
      </c>
    </row>
    <row r="75" spans="1:18" ht="13.5" thickBot="1">
      <c r="A75" s="1838"/>
      <c r="B75" s="384" t="s">
        <v>1508</v>
      </c>
      <c r="C75" s="385" t="e">
        <f ca="1">ROUND(C13*C76,0)</f>
        <v>#N/A</v>
      </c>
      <c r="D75" s="1838"/>
      <c r="E75" s="1838"/>
      <c r="F75" s="1838"/>
      <c r="K75" s="1864"/>
      <c r="L75" s="1838"/>
      <c r="O75" s="1880" t="s">
        <v>1046</v>
      </c>
      <c r="P75" s="1881" t="s">
        <v>1551</v>
      </c>
      <c r="Q75" s="1882" t="e">
        <f ca="1">Q65+Q66</f>
        <v>#N/A</v>
      </c>
      <c r="R75" s="1882" t="s">
        <v>1047</v>
      </c>
    </row>
    <row r="76" spans="1:18">
      <c r="B76" s="386" t="s">
        <v>1509</v>
      </c>
      <c r="C76" s="387" t="e">
        <f ca="1">INDIRECT("'数据-取费表'!j"&amp;$G$1)</f>
        <v>#N/A</v>
      </c>
      <c r="I76" s="1838"/>
      <c r="J76" s="1838"/>
      <c r="K76" s="1864"/>
      <c r="L76" s="1838"/>
    </row>
    <row r="77" spans="1:18">
      <c r="B77" s="388" t="s">
        <v>1510</v>
      </c>
      <c r="C77" s="389"/>
      <c r="I77" s="1838"/>
      <c r="J77" s="1838"/>
      <c r="K77" s="1864"/>
      <c r="L77" s="1838"/>
    </row>
    <row r="78" spans="1:18">
      <c r="B78" s="312" t="s">
        <v>1511</v>
      </c>
      <c r="C78" s="390"/>
    </row>
    <row r="79" spans="1:18">
      <c r="B79" s="384" t="s">
        <v>1512</v>
      </c>
      <c r="C79" s="316" t="e">
        <f ca="1">1-C80</f>
        <v>#N/A</v>
      </c>
    </row>
    <row r="80" spans="1:18">
      <c r="B80" s="384" t="s">
        <v>1513</v>
      </c>
      <c r="C80" s="316" t="e">
        <f ca="1">ROUND(C75/C39,3)</f>
        <v>#N/A</v>
      </c>
    </row>
    <row r="81" spans="2:3">
      <c r="B81" s="312" t="s">
        <v>1514</v>
      </c>
      <c r="C81" s="280"/>
    </row>
    <row r="82" spans="2:3">
      <c r="B82" s="315" t="s">
        <v>1515</v>
      </c>
      <c r="C82" s="317" t="e">
        <f ca="1">1-C83</f>
        <v>#N/A</v>
      </c>
    </row>
    <row r="83" spans="2:3">
      <c r="B83" s="315" t="s">
        <v>1516</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2525</v>
      </c>
      <c r="B1" s="2556"/>
      <c r="C1" s="2556"/>
      <c r="D1" s="2556"/>
      <c r="E1" s="2557"/>
    </row>
    <row r="2" spans="1:6" ht="15.75">
      <c r="A2" s="2558" t="s">
        <v>2329</v>
      </c>
      <c r="B2" s="2559">
        <f ca="1">SUMIF(B6:B13,"&lt;&gt;#ref!",B6:B13)</f>
        <v>7979</v>
      </c>
      <c r="C2" s="2560" t="s">
        <v>2518</v>
      </c>
      <c r="D2" s="2561" t="s">
        <v>2519</v>
      </c>
      <c r="E2" s="2562">
        <f>SUM(E6:E13)</f>
        <v>5880.4299999999994</v>
      </c>
    </row>
    <row r="3" spans="1:6" ht="15.75">
      <c r="A3" s="2558" t="s">
        <v>1396</v>
      </c>
      <c r="B3" s="2559">
        <f ca="1">ROUND(B2*10000/E2,0)</f>
        <v>13569</v>
      </c>
      <c r="C3" s="2560" t="s">
        <v>2526</v>
      </c>
      <c r="D3" s="2563"/>
      <c r="E3" s="2564"/>
    </row>
    <row r="4" spans="1:6" ht="15.75">
      <c r="A4" s="2565"/>
      <c r="B4" s="2563"/>
      <c r="C4" s="2563"/>
      <c r="D4" s="2563"/>
      <c r="E4" s="2564"/>
    </row>
    <row r="5" spans="1:6" ht="15">
      <c r="A5" s="2566" t="s">
        <v>2520</v>
      </c>
      <c r="B5" s="3211" t="s">
        <v>2521</v>
      </c>
      <c r="C5" s="3211"/>
      <c r="D5" s="2567"/>
      <c r="E5" s="2568" t="s">
        <v>2522</v>
      </c>
      <c r="F5" s="2569" t="s">
        <v>2523</v>
      </c>
    </row>
    <row r="6" spans="1:6">
      <c r="A6" s="2570">
        <f>'数据-取费表'!AN6</f>
        <v>0</v>
      </c>
      <c r="B6" s="2569" t="e">
        <f ca="1">IF(F6="是",'数据-取费表'!AO6,0)</f>
        <v>#REF!</v>
      </c>
      <c r="C6" s="2560" t="s">
        <v>2518</v>
      </c>
      <c r="D6" s="2563"/>
      <c r="E6" s="2571">
        <f>IF(OR(A6=0,F6="否"),0,'数据-取费表'!K6+'数据-取费表'!S6)</f>
        <v>0</v>
      </c>
      <c r="F6" s="2572" t="s">
        <v>2524</v>
      </c>
    </row>
    <row r="7" spans="1:6">
      <c r="A7" s="2570" t="str">
        <f>'数据-取费表'!AN7</f>
        <v>收益法-商业</v>
      </c>
      <c r="B7" s="2569">
        <f ca="1">IF(F7="是",'数据-取费表'!AO7,0)</f>
        <v>4640</v>
      </c>
      <c r="C7" s="2560" t="s">
        <v>2518</v>
      </c>
      <c r="D7" s="2563"/>
      <c r="E7" s="2571">
        <f>IF(OR(A7=0,F7="否"),0,'数据-取费表'!K7+'数据-取费表'!S7)</f>
        <v>2023.62</v>
      </c>
      <c r="F7" s="2572" t="s">
        <v>2524</v>
      </c>
    </row>
    <row r="8" spans="1:6">
      <c r="A8" s="2570" t="str">
        <f>'数据-取费表'!AN8</f>
        <v>收益法-仓储</v>
      </c>
      <c r="B8" s="2569">
        <f ca="1">IF(F8="是",'数据-取费表'!AO8,0)</f>
        <v>3339</v>
      </c>
      <c r="C8" s="2560" t="s">
        <v>2518</v>
      </c>
      <c r="D8" s="2563"/>
      <c r="E8" s="2571">
        <f>IF(OR(A8=0,F8="否"),0,'数据-取费表'!K8+'数据-取费表'!S8)</f>
        <v>3856.8099999999995</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2" t="s">
        <v>1076</v>
      </c>
      <c r="B1" s="3213"/>
      <c r="C1" s="3214"/>
      <c r="D1" s="3215">
        <f>SUM(I10,I15,I20,I21,I23)</f>
        <v>0</v>
      </c>
      <c r="E1" s="3215"/>
      <c r="F1" s="3215"/>
      <c r="G1" s="3215"/>
      <c r="H1" s="3215"/>
      <c r="I1" s="3216"/>
    </row>
    <row r="2" spans="1:9">
      <c r="A2" s="3217" t="s">
        <v>1077</v>
      </c>
      <c r="B2" s="3218" t="s">
        <v>1078</v>
      </c>
      <c r="C2" s="3218"/>
      <c r="D2" s="1296" t="s">
        <v>1079</v>
      </c>
      <c r="E2" s="1296" t="s">
        <v>1080</v>
      </c>
      <c r="F2" s="1296" t="s">
        <v>1081</v>
      </c>
      <c r="G2" s="1296" t="s">
        <v>1082</v>
      </c>
      <c r="H2" s="1296" t="s">
        <v>1083</v>
      </c>
      <c r="I2" s="1297" t="s">
        <v>1084</v>
      </c>
    </row>
    <row r="3" spans="1:9">
      <c r="A3" s="3217"/>
      <c r="B3" s="3218" t="s">
        <v>1085</v>
      </c>
      <c r="C3" s="3218"/>
      <c r="D3" s="1298"/>
      <c r="E3" s="1296"/>
      <c r="F3" s="1299"/>
      <c r="G3" s="1299"/>
      <c r="H3" s="1300"/>
      <c r="I3" s="1301">
        <f>ROUND(D3*E3*F3*G3*H3/10000,0)</f>
        <v>0</v>
      </c>
    </row>
    <row r="4" spans="1:9">
      <c r="A4" s="3217"/>
      <c r="B4" s="3218" t="s">
        <v>1086</v>
      </c>
      <c r="C4" s="3218"/>
      <c r="D4" s="1298"/>
      <c r="E4" s="1296"/>
      <c r="F4" s="1299"/>
      <c r="G4" s="1299"/>
      <c r="H4" s="1300"/>
      <c r="I4" s="1301">
        <f t="shared" ref="I4:I9" si="0">ROUND(D4*E4*F4*G4*H4/10000,0)</f>
        <v>0</v>
      </c>
    </row>
    <row r="5" spans="1:9">
      <c r="A5" s="3217"/>
      <c r="B5" s="3218" t="s">
        <v>1087</v>
      </c>
      <c r="C5" s="3218"/>
      <c r="D5" s="1298"/>
      <c r="E5" s="1296"/>
      <c r="F5" s="1299"/>
      <c r="G5" s="1299"/>
      <c r="H5" s="1300"/>
      <c r="I5" s="1301">
        <f t="shared" si="0"/>
        <v>0</v>
      </c>
    </row>
    <row r="6" spans="1:9">
      <c r="A6" s="3217"/>
      <c r="B6" s="3218" t="s">
        <v>1088</v>
      </c>
      <c r="C6" s="3218"/>
      <c r="D6" s="1298"/>
      <c r="E6" s="1296"/>
      <c r="F6" s="1299"/>
      <c r="G6" s="1299"/>
      <c r="H6" s="1300"/>
      <c r="I6" s="1301">
        <f t="shared" si="0"/>
        <v>0</v>
      </c>
    </row>
    <row r="7" spans="1:9">
      <c r="A7" s="3217"/>
      <c r="B7" s="3218" t="s">
        <v>1089</v>
      </c>
      <c r="C7" s="3218"/>
      <c r="D7" s="1298"/>
      <c r="E7" s="1296"/>
      <c r="F7" s="1299"/>
      <c r="G7" s="1299"/>
      <c r="H7" s="1300"/>
      <c r="I7" s="1301">
        <f t="shared" si="0"/>
        <v>0</v>
      </c>
    </row>
    <row r="8" spans="1:9">
      <c r="A8" s="3217"/>
      <c r="B8" s="3218" t="s">
        <v>1090</v>
      </c>
      <c r="C8" s="3218"/>
      <c r="D8" s="1298"/>
      <c r="E8" s="1296"/>
      <c r="F8" s="1299"/>
      <c r="G8" s="1299"/>
      <c r="H8" s="1300"/>
      <c r="I8" s="1301">
        <f t="shared" si="0"/>
        <v>0</v>
      </c>
    </row>
    <row r="9" spans="1:9">
      <c r="A9" s="3217"/>
      <c r="B9" s="3218" t="s">
        <v>1091</v>
      </c>
      <c r="C9" s="3218"/>
      <c r="D9" s="1298"/>
      <c r="E9" s="1296"/>
      <c r="F9" s="1299"/>
      <c r="G9" s="1299"/>
      <c r="H9" s="1300"/>
      <c r="I9" s="1301">
        <f t="shared" si="0"/>
        <v>0</v>
      </c>
    </row>
    <row r="10" spans="1:9">
      <c r="A10" s="3217"/>
      <c r="B10" s="3219" t="s">
        <v>1092</v>
      </c>
      <c r="C10" s="3219"/>
      <c r="D10" s="1302"/>
      <c r="E10" s="1302" t="e">
        <f>ROUND(D1*10000/D10/H9,0)</f>
        <v>#DIV/0!</v>
      </c>
      <c r="F10" s="1303"/>
      <c r="G10" s="1303"/>
      <c r="H10" s="1304"/>
      <c r="I10" s="1305">
        <f>SUM(I3:I9)</f>
        <v>0</v>
      </c>
    </row>
    <row r="11" spans="1:9" ht="14.25">
      <c r="A11" s="3217" t="s">
        <v>1093</v>
      </c>
      <c r="B11" s="3218" t="s">
        <v>1094</v>
      </c>
      <c r="C11" s="3218"/>
      <c r="D11" s="1298" t="s">
        <v>1095</v>
      </c>
      <c r="E11" s="1298" t="s">
        <v>1096</v>
      </c>
      <c r="F11" s="1299" t="s">
        <v>1097</v>
      </c>
      <c r="G11" s="1299" t="s">
        <v>1083</v>
      </c>
      <c r="H11" s="1306" t="s">
        <v>1098</v>
      </c>
      <c r="I11" s="1297" t="s">
        <v>1084</v>
      </c>
    </row>
    <row r="12" spans="1:9">
      <c r="A12" s="3217"/>
      <c r="B12" s="3218" t="s">
        <v>1099</v>
      </c>
      <c r="C12" s="3218"/>
      <c r="D12" s="1298"/>
      <c r="E12" s="1298"/>
      <c r="F12" s="1299"/>
      <c r="G12" s="1300"/>
      <c r="H12" s="1307"/>
      <c r="I12" s="1297">
        <f>ROUND(D12*E12*F12*G12/10000,0)</f>
        <v>0</v>
      </c>
    </row>
    <row r="13" spans="1:9">
      <c r="A13" s="3217"/>
      <c r="B13" s="3218" t="s">
        <v>1100</v>
      </c>
      <c r="C13" s="3218"/>
      <c r="D13" s="1298"/>
      <c r="E13" s="1298"/>
      <c r="F13" s="1299"/>
      <c r="G13" s="1300"/>
      <c r="H13" s="1307"/>
      <c r="I13" s="1297">
        <f>ROUND(D13*E13*F13*G13/10000,0)</f>
        <v>0</v>
      </c>
    </row>
    <row r="14" spans="1:9">
      <c r="A14" s="3217"/>
      <c r="B14" s="3218" t="s">
        <v>1101</v>
      </c>
      <c r="C14" s="3218"/>
      <c r="D14" s="1298"/>
      <c r="E14" s="1298"/>
      <c r="F14" s="1299"/>
      <c r="G14" s="1300"/>
      <c r="H14" s="1307"/>
      <c r="I14" s="1297">
        <f>ROUND(D14*E14*F14*G14/10000,0)</f>
        <v>0</v>
      </c>
    </row>
    <row r="15" spans="1:9">
      <c r="A15" s="3217"/>
      <c r="B15" s="3219" t="s">
        <v>1092</v>
      </c>
      <c r="C15" s="3219"/>
      <c r="D15" s="1302"/>
      <c r="E15" s="1302">
        <f>SUM(E12:E14)</f>
        <v>0</v>
      </c>
      <c r="F15" s="1303"/>
      <c r="G15" s="1300"/>
      <c r="H15" s="1307"/>
      <c r="I15" s="1308">
        <f>SUM(I12:I14)</f>
        <v>0</v>
      </c>
    </row>
    <row r="16" spans="1:9" ht="24">
      <c r="A16" s="3217" t="s">
        <v>1102</v>
      </c>
      <c r="B16" s="3218" t="s">
        <v>1103</v>
      </c>
      <c r="C16" s="3218"/>
      <c r="D16" s="1298" t="s">
        <v>1079</v>
      </c>
      <c r="E16" s="1309" t="s">
        <v>1104</v>
      </c>
      <c r="F16" s="1299" t="s">
        <v>1105</v>
      </c>
      <c r="G16" s="1300" t="s">
        <v>1083</v>
      </c>
      <c r="H16" s="1306" t="s">
        <v>1098</v>
      </c>
      <c r="I16" s="1297" t="s">
        <v>1084</v>
      </c>
    </row>
    <row r="17" spans="1:9" ht="14.25">
      <c r="A17" s="3217"/>
      <c r="B17" s="3218" t="s">
        <v>1106</v>
      </c>
      <c r="C17" s="3218"/>
      <c r="D17" s="1298"/>
      <c r="E17" s="1298"/>
      <c r="F17" s="1299"/>
      <c r="G17" s="1300"/>
      <c r="H17" s="1310"/>
      <c r="I17" s="1311">
        <f>ROUND(D17*E17*F17*G17/10000,0)</f>
        <v>0</v>
      </c>
    </row>
    <row r="18" spans="1:9" ht="14.25">
      <c r="A18" s="3217"/>
      <c r="B18" s="3218" t="s">
        <v>1107</v>
      </c>
      <c r="C18" s="3218"/>
      <c r="D18" s="1298"/>
      <c r="E18" s="1298"/>
      <c r="F18" s="1299"/>
      <c r="G18" s="1300"/>
      <c r="H18" s="1310"/>
      <c r="I18" s="1311">
        <f>ROUND(D18*E18*F18*G18/10000,0)</f>
        <v>0</v>
      </c>
    </row>
    <row r="19" spans="1:9" ht="14.25">
      <c r="A19" s="3217"/>
      <c r="B19" s="3218" t="s">
        <v>1108</v>
      </c>
      <c r="C19" s="3218"/>
      <c r="D19" s="1298"/>
      <c r="E19" s="1298"/>
      <c r="F19" s="1299"/>
      <c r="G19" s="1300"/>
      <c r="H19" s="1310"/>
      <c r="I19" s="1311">
        <f>ROUND(D19*E19*F19*G19/10000,0)</f>
        <v>0</v>
      </c>
    </row>
    <row r="20" spans="1:9">
      <c r="A20" s="3217"/>
      <c r="B20" s="3219" t="s">
        <v>1092</v>
      </c>
      <c r="C20" s="3219"/>
      <c r="D20" s="1302">
        <f>SUM(D17:D19)</f>
        <v>0</v>
      </c>
      <c r="E20" s="1302"/>
      <c r="F20" s="1303"/>
      <c r="G20" s="1300"/>
      <c r="H20" s="1307"/>
      <c r="I20" s="1308">
        <f>SUM(I17:I19)</f>
        <v>0</v>
      </c>
    </row>
    <row r="21" spans="1:9">
      <c r="A21" s="3217" t="s">
        <v>1109</v>
      </c>
      <c r="B21" s="3221"/>
      <c r="C21" s="3221"/>
      <c r="D21" s="3221"/>
      <c r="E21" s="3221"/>
      <c r="F21" s="3221"/>
      <c r="G21" s="3221"/>
      <c r="H21" s="1761">
        <v>0.1</v>
      </c>
      <c r="I21" s="1305">
        <f>ROUND(I10*H21,0)</f>
        <v>0</v>
      </c>
    </row>
    <row r="22" spans="1:9" ht="14.25">
      <c r="A22" s="3222" t="s">
        <v>1110</v>
      </c>
      <c r="B22" s="3223"/>
      <c r="C22" s="3224"/>
      <c r="D22" s="1312" t="s">
        <v>1111</v>
      </c>
      <c r="E22" s="1312" t="s">
        <v>1112</v>
      </c>
      <c r="F22" s="1313" t="s">
        <v>1113</v>
      </c>
      <c r="G22" s="1313" t="s">
        <v>1114</v>
      </c>
      <c r="H22" s="1306" t="s">
        <v>1115</v>
      </c>
      <c r="I22" s="1297" t="s">
        <v>1116</v>
      </c>
    </row>
    <row r="23" spans="1:9" ht="14.25" thickBot="1">
      <c r="A23" s="3225"/>
      <c r="B23" s="3226"/>
      <c r="C23" s="3227"/>
      <c r="D23" s="1314"/>
      <c r="E23" s="1314"/>
      <c r="F23" s="1314"/>
      <c r="G23" s="1315"/>
      <c r="H23" s="1316"/>
      <c r="I23" s="1317">
        <f>ROUND(E23*D23*F23*(1-G23)/10000,0)</f>
        <v>0</v>
      </c>
    </row>
    <row r="26" spans="1:9">
      <c r="A26" s="1318" t="s">
        <v>1117</v>
      </c>
      <c r="B26" s="1318"/>
      <c r="C26" s="1318"/>
      <c r="D26" s="1318"/>
      <c r="E26" s="3228">
        <f>C27-C30-C31-C32</f>
        <v>0</v>
      </c>
      <c r="F26" s="3228"/>
      <c r="G26" s="3228"/>
      <c r="H26" s="1733" t="s">
        <v>1341</v>
      </c>
    </row>
    <row r="27" spans="1:9">
      <c r="A27" s="1319">
        <v>1</v>
      </c>
      <c r="B27" s="1320" t="s">
        <v>1118</v>
      </c>
      <c r="C27" s="1320">
        <f>C28+C29</f>
        <v>0</v>
      </c>
      <c r="D27" s="1320"/>
      <c r="E27" s="3229"/>
      <c r="F27" s="3229"/>
      <c r="G27" s="3229"/>
    </row>
    <row r="28" spans="1:9">
      <c r="A28" s="1321" t="s">
        <v>1119</v>
      </c>
      <c r="B28" s="1320" t="s">
        <v>1120</v>
      </c>
      <c r="C28" s="1320"/>
      <c r="D28" s="1320"/>
      <c r="E28" s="3229"/>
      <c r="F28" s="3229"/>
      <c r="G28" s="3229"/>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20"/>
      <c r="F32" s="3220"/>
      <c r="G32" s="3220"/>
    </row>
    <row r="33" spans="1:7" hidden="1">
      <c r="A33" s="3230" t="s">
        <v>1129</v>
      </c>
      <c r="B33" s="3231"/>
      <c r="C33" s="3231"/>
      <c r="D33" s="3232"/>
      <c r="E33" s="3228"/>
      <c r="F33" s="3228"/>
      <c r="G33" s="3228"/>
    </row>
    <row r="34" spans="1:7" hidden="1">
      <c r="A34" s="1323">
        <v>1</v>
      </c>
      <c r="B34" s="1320" t="s">
        <v>1130</v>
      </c>
      <c r="C34" s="1320"/>
      <c r="D34" s="1320"/>
      <c r="E34" s="3229"/>
      <c r="F34" s="3229"/>
      <c r="G34" s="3229"/>
    </row>
    <row r="35" spans="1:7" hidden="1">
      <c r="A35" s="1323">
        <v>2</v>
      </c>
      <c r="B35" s="1320" t="s">
        <v>1131</v>
      </c>
      <c r="C35" s="1320"/>
      <c r="D35" s="1320"/>
      <c r="E35" s="3229"/>
      <c r="F35" s="3229"/>
      <c r="G35" s="3229"/>
    </row>
    <row r="36" spans="1:7" hidden="1">
      <c r="A36" s="1323">
        <v>3</v>
      </c>
      <c r="B36" s="1320" t="s">
        <v>1132</v>
      </c>
      <c r="C36" s="1320"/>
      <c r="D36" s="1320"/>
      <c r="E36" s="3229"/>
      <c r="F36" s="3229"/>
      <c r="G36" s="3229"/>
    </row>
    <row r="37" spans="1:7" hidden="1">
      <c r="A37" s="1323">
        <v>4</v>
      </c>
      <c r="B37" s="1320" t="s">
        <v>1133</v>
      </c>
      <c r="C37" s="1320"/>
      <c r="D37" s="1320"/>
      <c r="E37" s="3229"/>
      <c r="F37" s="3229"/>
      <c r="G37" s="3229"/>
    </row>
    <row r="38" spans="1:7" hidden="1">
      <c r="A38" s="3230" t="s">
        <v>1134</v>
      </c>
      <c r="B38" s="3231"/>
      <c r="C38" s="3231"/>
      <c r="D38" s="3232"/>
      <c r="E38" s="3228"/>
      <c r="F38" s="3228"/>
      <c r="G38" s="32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C48" sqref="C48"/>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2527</v>
      </c>
      <c r="B1" s="2576" t="s">
        <v>2528</v>
      </c>
      <c r="C1" s="1630" t="s">
        <v>2529</v>
      </c>
      <c r="D1" s="1617" t="s">
        <v>3069</v>
      </c>
      <c r="E1" s="2577"/>
      <c r="F1" s="2578" t="s">
        <v>2530</v>
      </c>
      <c r="G1" s="1627" t="s">
        <v>2531</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1" customFormat="1" ht="28.5" customHeight="1" thickTop="1">
      <c r="A2" s="1613" t="s">
        <v>1395</v>
      </c>
      <c r="B2" s="1413">
        <f>IF(C2="——",ROUND(C49*D3/10000,0),ROUND(C49*D3/10000,0)-D2)</f>
        <v>616621</v>
      </c>
      <c r="C2" s="2580" t="s">
        <v>70</v>
      </c>
      <c r="D2" s="1360" t="e">
        <f ca="1">SUMIF(INDIRECT("'"&amp;F2&amp;"'"&amp;"!A:A"),"承租人权益价值",INDIRECT("'"&amp;F2&amp;"'"&amp;"!c:c"))</f>
        <v>#REF!</v>
      </c>
      <c r="E2" s="2581" t="s">
        <v>2532</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1396</v>
      </c>
      <c r="B3" s="397">
        <f>IF(C2="——",C49,ROUND(B2*10000/D3,0))</f>
        <v>59545</v>
      </c>
      <c r="C3" s="398" t="s">
        <v>2533</v>
      </c>
      <c r="D3" s="397">
        <f>IF(D1="",'数据-汇总表'!E3,SUMIF('数据-汇总表'!$C19:$C33,D1,'数据-汇总表'!$E19:$E33))</f>
        <v>103555.41999999998</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399" t="s">
        <v>2534</v>
      </c>
      <c r="B4" s="400"/>
      <c r="C4" s="3178" t="s">
        <v>2535</v>
      </c>
      <c r="D4" s="3179"/>
      <c r="E4" s="3180" t="s">
        <v>2536</v>
      </c>
      <c r="F4" s="3181"/>
      <c r="G4" s="3178" t="s">
        <v>2537</v>
      </c>
      <c r="H4" s="3179"/>
      <c r="I4" s="3178" t="s">
        <v>2538</v>
      </c>
      <c r="J4" s="3179"/>
      <c r="K4" s="2590" t="s">
        <v>2539</v>
      </c>
      <c r="L4" s="1125"/>
      <c r="M4" s="1126"/>
      <c r="N4" s="1126"/>
      <c r="O4" s="1126"/>
      <c r="P4" s="3182" t="s">
        <v>2540</v>
      </c>
      <c r="Q4" s="3183"/>
      <c r="R4" s="3168" t="s">
        <v>2536</v>
      </c>
      <c r="S4" s="3169"/>
      <c r="T4" s="3168" t="s">
        <v>2537</v>
      </c>
      <c r="U4" s="3169"/>
      <c r="V4" s="3190" t="s">
        <v>2538</v>
      </c>
      <c r="W4" s="3190"/>
      <c r="X4" s="1809"/>
      <c r="Y4" s="3168" t="s">
        <v>2540</v>
      </c>
      <c r="Z4" s="3169"/>
      <c r="AA4" s="3163" t="s">
        <v>2536</v>
      </c>
      <c r="AB4" s="3163" t="s">
        <v>2537</v>
      </c>
      <c r="AC4" s="3163" t="s">
        <v>2538</v>
      </c>
    </row>
    <row r="5" spans="1:29" ht="15">
      <c r="A5" s="402"/>
      <c r="B5" s="403"/>
      <c r="C5" s="3234" t="s">
        <v>3073</v>
      </c>
      <c r="D5" s="3235"/>
      <c r="E5" s="3233" t="s">
        <v>3281</v>
      </c>
      <c r="F5" s="3233"/>
      <c r="G5" s="3233" t="s">
        <v>3213</v>
      </c>
      <c r="H5" s="3233"/>
      <c r="I5" s="3233" t="s">
        <v>3214</v>
      </c>
      <c r="J5" s="3233"/>
      <c r="K5" s="2591"/>
      <c r="L5" s="1125"/>
      <c r="M5" s="1126"/>
      <c r="N5" s="1126"/>
      <c r="O5" s="1126"/>
      <c r="P5" s="3184"/>
      <c r="Q5" s="3185"/>
      <c r="R5" s="3170"/>
      <c r="S5" s="3171"/>
      <c r="T5" s="3170"/>
      <c r="U5" s="3171"/>
      <c r="V5" s="3190"/>
      <c r="W5" s="3190"/>
      <c r="X5" s="1809"/>
      <c r="Y5" s="3170"/>
      <c r="Z5" s="3171"/>
      <c r="AA5" s="3164"/>
      <c r="AB5" s="3164"/>
      <c r="AC5" s="3164"/>
    </row>
    <row r="6" spans="1:29" ht="29.25" customHeight="1" thickBot="1">
      <c r="A6" s="404"/>
      <c r="B6" s="405"/>
      <c r="C6" s="3236" t="s">
        <v>3130</v>
      </c>
      <c r="D6" s="3237"/>
      <c r="E6" s="3172" t="s">
        <v>3131</v>
      </c>
      <c r="F6" s="3172"/>
      <c r="G6" s="3172" t="s">
        <v>3160</v>
      </c>
      <c r="H6" s="3172"/>
      <c r="I6" s="3172" t="s">
        <v>3159</v>
      </c>
      <c r="J6" s="3172"/>
      <c r="K6" s="2591" t="s">
        <v>2546</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2547</v>
      </c>
      <c r="B7" s="407"/>
      <c r="C7" s="408">
        <f>'数据-取费表'!B2</f>
        <v>43126</v>
      </c>
      <c r="D7" s="409">
        <v>100</v>
      </c>
      <c r="E7" s="410">
        <v>43101</v>
      </c>
      <c r="F7" s="411">
        <f>SUMIF(58:58,YEAR(E7)&amp;"-"&amp;MONTH(E7),59:59)</f>
        <v>100</v>
      </c>
      <c r="G7" s="410">
        <v>43101</v>
      </c>
      <c r="H7" s="409">
        <f>SUMIF(58:58,YEAR(G7)&amp;"-"&amp;MONTH(G7),59:59)</f>
        <v>100</v>
      </c>
      <c r="I7" s="410">
        <v>43101</v>
      </c>
      <c r="J7" s="409">
        <f>SUMIF(58:58,YEAR(I7)&amp;"-"&amp;MONTH(I7),59:59)</f>
        <v>100</v>
      </c>
      <c r="K7" s="2592"/>
      <c r="L7" s="1127"/>
      <c r="M7" s="1128"/>
      <c r="N7" s="1128"/>
      <c r="O7" s="1128"/>
      <c r="P7" s="3166" t="s">
        <v>2548</v>
      </c>
      <c r="Q7" s="3191"/>
      <c r="R7" s="767" t="s">
        <v>23</v>
      </c>
      <c r="S7" s="768">
        <f t="shared" ref="S7:S15" si="0">F7</f>
        <v>100</v>
      </c>
      <c r="T7" s="767" t="s">
        <v>23</v>
      </c>
      <c r="U7" s="768">
        <f t="shared" ref="U7:U15" si="1">H7</f>
        <v>100</v>
      </c>
      <c r="V7" s="767" t="s">
        <v>23</v>
      </c>
      <c r="W7" s="768">
        <f t="shared" ref="W7:W15" si="2">J7</f>
        <v>100</v>
      </c>
      <c r="X7" s="769"/>
      <c r="Y7" s="3166" t="s">
        <v>2548</v>
      </c>
      <c r="Z7" s="3167"/>
      <c r="AA7" s="770">
        <f>D7/F7</f>
        <v>1</v>
      </c>
      <c r="AB7" s="770">
        <f>D7/H7</f>
        <v>1</v>
      </c>
      <c r="AC7" s="770">
        <f>D7/J7</f>
        <v>1</v>
      </c>
    </row>
    <row r="8" spans="1:29" s="116" customFormat="1" ht="15.75" thickBot="1">
      <c r="A8" s="406" t="s">
        <v>2549</v>
      </c>
      <c r="B8" s="407"/>
      <c r="C8" s="412" t="s">
        <v>2550</v>
      </c>
      <c r="D8" s="409">
        <v>100</v>
      </c>
      <c r="E8" s="412" t="s">
        <v>2550</v>
      </c>
      <c r="F8" s="411">
        <f>SUMIF(61:61,E8,62:62)-SUMIF(61:61,C8,62:62)+100</f>
        <v>100</v>
      </c>
      <c r="G8" s="412" t="s">
        <v>2550</v>
      </c>
      <c r="H8" s="409">
        <f>SUMIF(61:61,G8,62:62)-SUMIF(61:61,C8,62:62)+100</f>
        <v>100</v>
      </c>
      <c r="I8" s="412" t="s">
        <v>2550</v>
      </c>
      <c r="J8" s="409">
        <f>SUMIF(61:61,I8,62:62)-SUMIF(61:61,C8,62:62)+100</f>
        <v>100</v>
      </c>
      <c r="K8" s="2592"/>
      <c r="L8" s="1127"/>
      <c r="M8" s="1128"/>
      <c r="N8" s="1128"/>
      <c r="O8" s="1128"/>
      <c r="P8" s="3166" t="s">
        <v>2551</v>
      </c>
      <c r="Q8" s="3167"/>
      <c r="R8" s="767" t="s">
        <v>23</v>
      </c>
      <c r="S8" s="768">
        <f t="shared" si="0"/>
        <v>100</v>
      </c>
      <c r="T8" s="767" t="s">
        <v>23</v>
      </c>
      <c r="U8" s="768">
        <f t="shared" si="1"/>
        <v>100</v>
      </c>
      <c r="V8" s="767" t="s">
        <v>23</v>
      </c>
      <c r="W8" s="768">
        <f t="shared" si="2"/>
        <v>100</v>
      </c>
      <c r="X8" s="769"/>
      <c r="Y8" s="3166" t="s">
        <v>2551</v>
      </c>
      <c r="Z8" s="3167"/>
      <c r="AA8" s="770">
        <f t="shared" ref="AA8:AA19" si="3">D8/F8</f>
        <v>1</v>
      </c>
      <c r="AB8" s="770">
        <f t="shared" ref="AB8:AB19" si="4">D8/H8</f>
        <v>1</v>
      </c>
      <c r="AC8" s="770">
        <f t="shared" ref="AC8:AC19" si="5">D8/J8</f>
        <v>1</v>
      </c>
    </row>
    <row r="9" spans="1:29" s="116" customFormat="1">
      <c r="A9" s="413" t="s">
        <v>2552</v>
      </c>
      <c r="B9" s="70" t="s">
        <v>2553</v>
      </c>
      <c r="C9" s="2937" t="s">
        <v>3157</v>
      </c>
      <c r="D9" s="133">
        <v>100</v>
      </c>
      <c r="E9" s="415" t="s">
        <v>3069</v>
      </c>
      <c r="F9" s="416">
        <f>SUMIF(63:63,E9,64:64)-SUMIF(63:63,C9,64:64)+100</f>
        <v>100</v>
      </c>
      <c r="G9" s="417" t="s">
        <v>3069</v>
      </c>
      <c r="H9" s="133">
        <f>SUMIF(63:63,G9,64:64)-SUMIF(63:63,C9,64:64)+100</f>
        <v>100</v>
      </c>
      <c r="I9" s="417" t="s">
        <v>3069</v>
      </c>
      <c r="J9" s="133">
        <f>SUMIF(63:63,I9,64:64)-SUMIF(63:63,C9,64:64)+100</f>
        <v>100</v>
      </c>
      <c r="K9" s="2592"/>
      <c r="L9" s="1127"/>
      <c r="M9" s="1128"/>
      <c r="N9" s="1128"/>
      <c r="O9" s="1128"/>
      <c r="P9" s="3201" t="s">
        <v>2554</v>
      </c>
      <c r="Q9" s="1791" t="str">
        <f t="shared" ref="Q9:Q15" si="6">B9</f>
        <v>用途</v>
      </c>
      <c r="R9" s="767" t="s">
        <v>17</v>
      </c>
      <c r="S9" s="768">
        <f t="shared" si="0"/>
        <v>100</v>
      </c>
      <c r="T9" s="767" t="s">
        <v>17</v>
      </c>
      <c r="U9" s="768">
        <f t="shared" si="1"/>
        <v>100</v>
      </c>
      <c r="V9" s="767" t="s">
        <v>17</v>
      </c>
      <c r="W9" s="768">
        <f t="shared" si="2"/>
        <v>100</v>
      </c>
      <c r="X9" s="769"/>
      <c r="Y9" s="3043" t="s">
        <v>2555</v>
      </c>
      <c r="Z9" s="54" t="str">
        <f t="shared" ref="Z9:Z15" si="7">Q9</f>
        <v>用途</v>
      </c>
      <c r="AA9" s="770">
        <f t="shared" si="3"/>
        <v>1</v>
      </c>
      <c r="AB9" s="770">
        <f t="shared" si="4"/>
        <v>1</v>
      </c>
      <c r="AC9" s="770">
        <f t="shared" si="5"/>
        <v>1</v>
      </c>
    </row>
    <row r="10" spans="1:29" s="425" customFormat="1" ht="27">
      <c r="A10" s="419"/>
      <c r="B10" s="420" t="s">
        <v>2556</v>
      </c>
      <c r="C10" s="421" t="s">
        <v>3158</v>
      </c>
      <c r="D10" s="134">
        <v>100</v>
      </c>
      <c r="E10" s="421" t="s">
        <v>3158</v>
      </c>
      <c r="F10" s="423">
        <f>SUMIF(65:65,E10,66:66)-SUMIF(65:65,C10,66:66)+100</f>
        <v>100</v>
      </c>
      <c r="G10" s="421" t="s">
        <v>3158</v>
      </c>
      <c r="H10" s="134">
        <f>SUMIF(65:65,G10,66:66)-SUMIF(65:65,C10,66:66)+100</f>
        <v>100</v>
      </c>
      <c r="I10" s="421" t="s">
        <v>3158</v>
      </c>
      <c r="J10" s="134">
        <f>SUMIF(65:65,I10,66:66)-SUMIF(65:65,C10,66:66)+100</f>
        <v>100</v>
      </c>
      <c r="K10" s="424">
        <v>1</v>
      </c>
      <c r="L10" s="1130"/>
      <c r="M10" s="1131"/>
      <c r="N10" s="1131"/>
      <c r="O10" s="1131"/>
      <c r="P10" s="3201"/>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420" t="s">
        <v>2557</v>
      </c>
      <c r="C11" s="427">
        <f>'土地比较法-住宅、综合'!C11</f>
        <v>2.79</v>
      </c>
      <c r="D11" s="134">
        <v>100</v>
      </c>
      <c r="E11" s="428">
        <v>2.67</v>
      </c>
      <c r="F11" s="423">
        <f>LOOKUP(E11,68:68,69:69)-LOOKUP(C11,68:68,69:69)+100</f>
        <v>100</v>
      </c>
      <c r="G11" s="427">
        <v>2.8</v>
      </c>
      <c r="H11" s="134">
        <f>LOOKUP(G11,68:68,69:69)-LOOKUP(C11,68:68,69:69)+100</f>
        <v>100</v>
      </c>
      <c r="I11" s="427">
        <v>3.5</v>
      </c>
      <c r="J11" s="134">
        <f>LOOKUP(I11,68:68,69:69)-LOOKUP(C11,68:68,69:69)+100</f>
        <v>99</v>
      </c>
      <c r="K11" s="424">
        <v>1</v>
      </c>
      <c r="L11" s="1133"/>
      <c r="M11" s="1126"/>
      <c r="N11" s="1126"/>
      <c r="O11" s="1126"/>
      <c r="P11" s="3201"/>
      <c r="Q11" s="1791" t="str">
        <f t="shared" si="6"/>
        <v>容积率</v>
      </c>
      <c r="R11" s="767" t="s">
        <v>21</v>
      </c>
      <c r="S11" s="768">
        <f t="shared" si="0"/>
        <v>100</v>
      </c>
      <c r="T11" s="767" t="s">
        <v>21</v>
      </c>
      <c r="U11" s="768">
        <f t="shared" si="1"/>
        <v>100</v>
      </c>
      <c r="V11" s="767" t="s">
        <v>21</v>
      </c>
      <c r="W11" s="768">
        <f t="shared" si="2"/>
        <v>99</v>
      </c>
      <c r="X11" s="769"/>
      <c r="Y11" s="3043"/>
      <c r="Z11" s="54" t="str">
        <f t="shared" si="7"/>
        <v>容积率</v>
      </c>
      <c r="AA11" s="770">
        <f t="shared" si="3"/>
        <v>1</v>
      </c>
      <c r="AB11" s="770">
        <f t="shared" si="4"/>
        <v>1</v>
      </c>
      <c r="AC11" s="770">
        <f t="shared" si="5"/>
        <v>1.0101010101010102</v>
      </c>
    </row>
    <row r="12" spans="1:29" s="116"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27"/>
      <c r="M12" s="1128"/>
      <c r="N12" s="1128"/>
      <c r="O12" s="1128"/>
      <c r="P12" s="3201"/>
      <c r="Q12" s="1791">
        <f t="shared" si="6"/>
        <v>111</v>
      </c>
      <c r="R12" s="767" t="s">
        <v>21</v>
      </c>
      <c r="S12" s="768">
        <f t="shared" si="0"/>
        <v>100</v>
      </c>
      <c r="T12" s="767" t="s">
        <v>21</v>
      </c>
      <c r="U12" s="768">
        <f t="shared" si="1"/>
        <v>100</v>
      </c>
      <c r="V12" s="767" t="s">
        <v>21</v>
      </c>
      <c r="W12" s="768">
        <f t="shared" si="2"/>
        <v>100</v>
      </c>
      <c r="X12" s="769"/>
      <c r="Y12" s="3043"/>
      <c r="Z12" s="54">
        <f t="shared" si="7"/>
        <v>111</v>
      </c>
      <c r="AA12" s="770">
        <f>D12/F12</f>
        <v>1</v>
      </c>
      <c r="AB12" s="770">
        <f>D12/H12</f>
        <v>1</v>
      </c>
      <c r="AC12" s="770">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5"/>
      <c r="M13" s="1126"/>
      <c r="N13" s="1126"/>
      <c r="O13" s="1126"/>
      <c r="P13" s="3201"/>
      <c r="Q13" s="1791">
        <f t="shared" si="6"/>
        <v>111</v>
      </c>
      <c r="R13" s="767" t="s">
        <v>21</v>
      </c>
      <c r="S13" s="768">
        <f t="shared" si="0"/>
        <v>100</v>
      </c>
      <c r="T13" s="767" t="s">
        <v>21</v>
      </c>
      <c r="U13" s="768">
        <f t="shared" si="1"/>
        <v>100</v>
      </c>
      <c r="V13" s="767" t="s">
        <v>21</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5"/>
      <c r="M14" s="1126"/>
      <c r="N14" s="1126"/>
      <c r="O14" s="1126"/>
      <c r="P14" s="3201"/>
      <c r="Q14" s="1791">
        <f t="shared" si="6"/>
        <v>111</v>
      </c>
      <c r="R14" s="767" t="s">
        <v>21</v>
      </c>
      <c r="S14" s="768">
        <f t="shared" si="0"/>
        <v>100</v>
      </c>
      <c r="T14" s="767" t="s">
        <v>21</v>
      </c>
      <c r="U14" s="768">
        <f t="shared" si="1"/>
        <v>100</v>
      </c>
      <c r="V14" s="767" t="s">
        <v>21</v>
      </c>
      <c r="W14" s="768">
        <f t="shared" si="2"/>
        <v>100</v>
      </c>
      <c r="X14" s="769"/>
      <c r="Y14" s="3043"/>
      <c r="Z14" s="54">
        <f t="shared" si="7"/>
        <v>111</v>
      </c>
      <c r="AA14" s="770">
        <f t="shared" si="3"/>
        <v>1</v>
      </c>
      <c r="AB14" s="770">
        <f t="shared" si="4"/>
        <v>1</v>
      </c>
      <c r="AC14" s="770">
        <f t="shared" si="5"/>
        <v>1</v>
      </c>
    </row>
    <row r="15" spans="1:29" ht="71.25">
      <c r="A15" s="438" t="s">
        <v>2558</v>
      </c>
      <c r="B15" s="68" t="s">
        <v>2090</v>
      </c>
      <c r="C15" s="2596" t="str">
        <f>估价对象房地状况!C3</f>
        <v>周边2公里内有泷悦长安、梧桐苑等住宅项目，居住社区成熟度一般</v>
      </c>
      <c r="D15" s="439">
        <v>100</v>
      </c>
      <c r="E15" s="442" t="s">
        <v>3218</v>
      </c>
      <c r="F15" s="439">
        <f>SUMIF(76:76,E16,77:77)-SUMIF(76:76,C16,77:77)+100</f>
        <v>101</v>
      </c>
      <c r="G15" s="440" t="str">
        <f>C15</f>
        <v>周边2公里内有泷悦长安、梧桐苑等住宅项目，居住社区成熟度一般</v>
      </c>
      <c r="H15" s="439">
        <f>SUMIF(76:76,G16,77:77)-SUMIF(76:76,C16,77:77)+100</f>
        <v>100</v>
      </c>
      <c r="I15" s="440" t="str">
        <f>G15</f>
        <v>周边2公里内有泷悦长安、梧桐苑等住宅项目，居住社区成熟度一般</v>
      </c>
      <c r="J15" s="439">
        <f>SUMIF(76:76,I16,77:77)-SUMIF(76:76,C16,77:77)+100</f>
        <v>100</v>
      </c>
      <c r="K15" s="443">
        <v>1</v>
      </c>
      <c r="L15" s="1135"/>
      <c r="M15" s="1126"/>
      <c r="N15" s="1126"/>
      <c r="O15" s="1126"/>
      <c r="P15" s="3244" t="s">
        <v>2559</v>
      </c>
      <c r="Q15" s="1806" t="str">
        <f t="shared" si="6"/>
        <v>居住社区成熟度</v>
      </c>
      <c r="R15" s="771" t="s">
        <v>21</v>
      </c>
      <c r="S15" s="772">
        <f t="shared" si="0"/>
        <v>101</v>
      </c>
      <c r="T15" s="771" t="s">
        <v>21</v>
      </c>
      <c r="U15" s="772">
        <f t="shared" si="1"/>
        <v>100</v>
      </c>
      <c r="V15" s="771" t="s">
        <v>21</v>
      </c>
      <c r="W15" s="772">
        <f t="shared" si="2"/>
        <v>100</v>
      </c>
      <c r="X15" s="1809"/>
      <c r="Y15" s="3192" t="s">
        <v>2559</v>
      </c>
      <c r="Z15" s="1810" t="str">
        <f t="shared" si="7"/>
        <v>居住社区成熟度</v>
      </c>
      <c r="AA15" s="1807">
        <f t="shared" si="3"/>
        <v>0.99009900990099009</v>
      </c>
      <c r="AB15" s="1807">
        <f t="shared" si="4"/>
        <v>1</v>
      </c>
      <c r="AC15" s="1807">
        <f t="shared" si="5"/>
        <v>1</v>
      </c>
    </row>
    <row r="16" spans="1:29" ht="15">
      <c r="A16" s="426"/>
      <c r="B16" s="444"/>
      <c r="C16" s="445" t="s">
        <v>3105</v>
      </c>
      <c r="D16" s="446"/>
      <c r="E16" s="2597" t="s">
        <v>3110</v>
      </c>
      <c r="F16" s="446"/>
      <c r="G16" s="2598" t="s">
        <v>3105</v>
      </c>
      <c r="H16" s="448"/>
      <c r="I16" s="2598" t="s">
        <v>3105</v>
      </c>
      <c r="J16" s="446"/>
      <c r="K16" s="2599"/>
      <c r="L16" s="1135"/>
      <c r="M16" s="1126"/>
      <c r="N16" s="1126"/>
      <c r="O16" s="1126"/>
      <c r="P16" s="3245"/>
      <c r="Q16" s="1806"/>
      <c r="R16" s="771"/>
      <c r="S16" s="772"/>
      <c r="T16" s="771"/>
      <c r="U16" s="772"/>
      <c r="V16" s="771"/>
      <c r="W16" s="772"/>
      <c r="X16" s="1809"/>
      <c r="Y16" s="3193"/>
      <c r="Z16" s="1810"/>
      <c r="AA16" s="1807">
        <v>1</v>
      </c>
      <c r="AB16" s="1807">
        <v>1</v>
      </c>
      <c r="AC16" s="1807">
        <v>1</v>
      </c>
    </row>
    <row r="17" spans="1:29" ht="57">
      <c r="A17" s="426"/>
      <c r="B17" s="449" t="s">
        <v>2099</v>
      </c>
      <c r="C17" s="2600" t="str">
        <f>估价对象房地状况!C6</f>
        <v>周边有941、981路等公交线路经过，交通便捷度一般</v>
      </c>
      <c r="D17" s="448">
        <v>100</v>
      </c>
      <c r="E17" s="452" t="s">
        <v>3170</v>
      </c>
      <c r="F17" s="448">
        <f>SUMIF(78:78,E18,79:79)-SUMIF(78:78,C18,79:79)+100</f>
        <v>100</v>
      </c>
      <c r="G17" s="2942" t="str">
        <f>C17</f>
        <v>周边有941、981路等公交线路经过，交通便捷度一般</v>
      </c>
      <c r="H17" s="453">
        <f>SUMIF(78:78,G18,79:79)-SUMIF(78:78,C18,79:79)+100</f>
        <v>100</v>
      </c>
      <c r="I17" s="2942" t="str">
        <f>G17</f>
        <v>周边有941、981路等公交线路经过，交通便捷度一般</v>
      </c>
      <c r="J17" s="453">
        <f>SUMIF(78:78,I18,79:79)-SUMIF(78:78,C18,79:79)+100</f>
        <v>100</v>
      </c>
      <c r="K17" s="443">
        <v>2</v>
      </c>
      <c r="L17" s="1135"/>
      <c r="M17" s="1126"/>
      <c r="N17" s="1126"/>
      <c r="O17" s="1126"/>
      <c r="P17" s="3245"/>
      <c r="Q17" s="1806" t="str">
        <f>B17</f>
        <v>交通便捷度</v>
      </c>
      <c r="R17" s="771" t="s">
        <v>21</v>
      </c>
      <c r="S17" s="772">
        <f>F17</f>
        <v>100</v>
      </c>
      <c r="T17" s="771" t="s">
        <v>21</v>
      </c>
      <c r="U17" s="772">
        <f>H17</f>
        <v>100</v>
      </c>
      <c r="V17" s="771" t="s">
        <v>21</v>
      </c>
      <c r="W17" s="772">
        <f>J17</f>
        <v>100</v>
      </c>
      <c r="X17" s="1809"/>
      <c r="Y17" s="3193"/>
      <c r="Z17" s="1810" t="str">
        <f>Q17</f>
        <v>交通便捷度</v>
      </c>
      <c r="AA17" s="1807">
        <f t="shared" si="3"/>
        <v>1</v>
      </c>
      <c r="AB17" s="1807">
        <f t="shared" si="4"/>
        <v>1</v>
      </c>
      <c r="AC17" s="1807">
        <f t="shared" si="5"/>
        <v>1</v>
      </c>
    </row>
    <row r="18" spans="1:29" ht="15">
      <c r="A18" s="426"/>
      <c r="B18" s="454"/>
      <c r="C18" s="2601" t="s">
        <v>3105</v>
      </c>
      <c r="D18" s="448"/>
      <c r="E18" s="2602" t="s">
        <v>3105</v>
      </c>
      <c r="F18" s="448"/>
      <c r="G18" s="2603" t="s">
        <v>3105</v>
      </c>
      <c r="H18" s="446"/>
      <c r="I18" s="2603" t="s">
        <v>3105</v>
      </c>
      <c r="J18" s="446"/>
      <c r="K18" s="2599"/>
      <c r="L18" s="1135"/>
      <c r="M18" s="1126"/>
      <c r="N18" s="1126"/>
      <c r="O18" s="1126"/>
      <c r="P18" s="3245"/>
      <c r="Q18" s="1806"/>
      <c r="R18" s="771"/>
      <c r="S18" s="772"/>
      <c r="T18" s="771"/>
      <c r="U18" s="772"/>
      <c r="V18" s="771"/>
      <c r="W18" s="772"/>
      <c r="X18" s="1809"/>
      <c r="Y18" s="3193"/>
      <c r="Z18" s="1810"/>
      <c r="AA18" s="1807">
        <v>1</v>
      </c>
      <c r="AB18" s="1807">
        <v>1</v>
      </c>
      <c r="AC18" s="1807">
        <v>1</v>
      </c>
    </row>
    <row r="19" spans="1:29" ht="42.75">
      <c r="A19" s="426"/>
      <c r="B19" s="449" t="s">
        <v>2097</v>
      </c>
      <c r="C19" s="2600" t="str">
        <f>估价对象房地状况!C7</f>
        <v>估价对象所在区域公共配套设施齐备较差</v>
      </c>
      <c r="D19" s="453">
        <v>100</v>
      </c>
      <c r="E19" s="2933" t="s">
        <v>3173</v>
      </c>
      <c r="F19" s="453">
        <f>SUMIF(80:80,E20,81:81)-SUMIF(80:80,C20,81:81)+100</f>
        <v>102</v>
      </c>
      <c r="G19" s="2943" t="str">
        <f>C19</f>
        <v>估价对象所在区域公共配套设施齐备较差</v>
      </c>
      <c r="H19" s="448">
        <f>SUMIF(80:80,G20,81:81)-SUMIF(80:80,C20,81:81)+100</f>
        <v>100</v>
      </c>
      <c r="I19" s="2943" t="str">
        <f>C19</f>
        <v>估价对象所在区域公共配套设施齐备较差</v>
      </c>
      <c r="J19" s="448">
        <f>SUMIF(80:80,I20,81:81)-SUMIF(80:80,C20,81:81)+100</f>
        <v>100</v>
      </c>
      <c r="K19" s="443">
        <v>2</v>
      </c>
      <c r="L19" s="1135"/>
      <c r="M19" s="1126"/>
      <c r="N19" s="1126"/>
      <c r="O19" s="1126"/>
      <c r="P19" s="3245"/>
      <c r="Q19" s="1806" t="str">
        <f>B19</f>
        <v>公共配套设施</v>
      </c>
      <c r="R19" s="771" t="s">
        <v>21</v>
      </c>
      <c r="S19" s="772">
        <f>F19</f>
        <v>102</v>
      </c>
      <c r="T19" s="771" t="s">
        <v>21</v>
      </c>
      <c r="U19" s="772">
        <f>H19</f>
        <v>100</v>
      </c>
      <c r="V19" s="771" t="s">
        <v>21</v>
      </c>
      <c r="W19" s="772">
        <f>J19</f>
        <v>100</v>
      </c>
      <c r="X19" s="1809"/>
      <c r="Y19" s="3193"/>
      <c r="Z19" s="1810" t="str">
        <f>Q19</f>
        <v>公共配套设施</v>
      </c>
      <c r="AA19" s="1807">
        <f t="shared" si="3"/>
        <v>0.98039215686274506</v>
      </c>
      <c r="AB19" s="1807">
        <f t="shared" si="4"/>
        <v>1</v>
      </c>
      <c r="AC19" s="1807">
        <f t="shared" si="5"/>
        <v>1</v>
      </c>
    </row>
    <row r="20" spans="1:29" ht="15">
      <c r="A20" s="426"/>
      <c r="B20" s="454"/>
      <c r="C20" s="445" t="s">
        <v>3171</v>
      </c>
      <c r="D20" s="446"/>
      <c r="E20" s="2597" t="s">
        <v>3105</v>
      </c>
      <c r="F20" s="446"/>
      <c r="G20" s="2598" t="s">
        <v>3171</v>
      </c>
      <c r="H20" s="446"/>
      <c r="I20" s="2598" t="s">
        <v>3171</v>
      </c>
      <c r="J20" s="446"/>
      <c r="K20" s="2599"/>
      <c r="L20" s="1135"/>
      <c r="M20" s="1126"/>
      <c r="N20" s="1126"/>
      <c r="O20" s="1126"/>
      <c r="P20" s="3245"/>
      <c r="Q20" s="1806"/>
      <c r="R20" s="771"/>
      <c r="S20" s="772"/>
      <c r="T20" s="771"/>
      <c r="U20" s="772"/>
      <c r="V20" s="771"/>
      <c r="W20" s="772"/>
      <c r="X20" s="1809"/>
      <c r="Y20" s="3193"/>
      <c r="Z20" s="1810"/>
      <c r="AA20" s="1807">
        <v>1</v>
      </c>
      <c r="AB20" s="1807">
        <v>1</v>
      </c>
      <c r="AC20" s="1807">
        <v>1</v>
      </c>
    </row>
    <row r="21" spans="1:29" ht="15">
      <c r="A21" s="426"/>
      <c r="B21" s="1379" t="s">
        <v>2100</v>
      </c>
      <c r="C21" s="2600" t="str">
        <f>估价对象房地状况!C8</f>
        <v>基础设施为七通</v>
      </c>
      <c r="D21" s="448">
        <v>100</v>
      </c>
      <c r="E21" s="2933" t="s">
        <v>3172</v>
      </c>
      <c r="F21" s="453">
        <f>SUMIF(82:82,E22,83:83)-SUMIF(82:82,C22,83:83)+100</f>
        <v>100</v>
      </c>
      <c r="G21" s="2933" t="s">
        <v>3172</v>
      </c>
      <c r="H21" s="448">
        <f>SUMIF(82:82,G22,83:83)-SUMIF(82:82,C22,83:83)+100</f>
        <v>100</v>
      </c>
      <c r="I21" s="2933" t="s">
        <v>3172</v>
      </c>
      <c r="J21" s="448">
        <f>SUMIF(82:82,I22,83:83)-SUMIF(82:82,C22,83:83)+100</f>
        <v>100</v>
      </c>
      <c r="K21" s="443">
        <v>1</v>
      </c>
      <c r="L21" s="1135"/>
      <c r="M21" s="1126"/>
      <c r="N21" s="1126"/>
      <c r="O21" s="1126"/>
      <c r="P21" s="3245"/>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1807">
        <f t="shared" ref="AC21" si="10">D21/J21</f>
        <v>1</v>
      </c>
    </row>
    <row r="22" spans="1:29" ht="15">
      <c r="A22" s="426"/>
      <c r="B22" s="1379"/>
      <c r="C22" s="2601" t="s">
        <v>3132</v>
      </c>
      <c r="D22" s="446"/>
      <c r="E22" s="445" t="s">
        <v>3132</v>
      </c>
      <c r="F22" s="446"/>
      <c r="G22" s="2604" t="s">
        <v>3132</v>
      </c>
      <c r="H22" s="446"/>
      <c r="I22" s="445" t="s">
        <v>3132</v>
      </c>
      <c r="J22" s="446"/>
      <c r="K22" s="2605"/>
      <c r="L22" s="1135"/>
      <c r="M22" s="1126"/>
      <c r="N22" s="1126"/>
      <c r="O22" s="1126"/>
      <c r="P22" s="3245"/>
      <c r="Q22" s="1806"/>
      <c r="R22" s="771"/>
      <c r="S22" s="772"/>
      <c r="T22" s="771"/>
      <c r="U22" s="772"/>
      <c r="V22" s="771"/>
      <c r="W22" s="772"/>
      <c r="X22" s="1809"/>
      <c r="Y22" s="3193"/>
      <c r="Z22" s="1810"/>
      <c r="AA22" s="1807">
        <v>1</v>
      </c>
      <c r="AB22" s="1807">
        <v>1</v>
      </c>
      <c r="AC22" s="1807">
        <v>1</v>
      </c>
    </row>
    <row r="23" spans="1:29" ht="85.5">
      <c r="A23" s="426"/>
      <c r="B23" s="449" t="s">
        <v>2104</v>
      </c>
      <c r="C23" s="2600" t="str">
        <f>估价对象房地状况!C9</f>
        <v>周边无大学等教育配套设施，有石门营文化公园等绿化设施，自然及人文环境一般</v>
      </c>
      <c r="D23" s="448">
        <v>100</v>
      </c>
      <c r="E23" s="2932" t="s">
        <v>3220</v>
      </c>
      <c r="F23" s="448">
        <f>SUMIF(84:84,E24,85:85)-SUMIF(84:84,C24,85:85)+100</f>
        <v>102</v>
      </c>
      <c r="G23" s="2942" t="str">
        <f>C23</f>
        <v>周边无大学等教育配套设施，有石门营文化公园等绿化设施，自然及人文环境一般</v>
      </c>
      <c r="H23" s="448">
        <f>SUMIF(84:84,G24,85:85)-SUMIF(84:84,C24,85:85)+100</f>
        <v>100</v>
      </c>
      <c r="I23" s="2942" t="str">
        <f>C23</f>
        <v>周边无大学等教育配套设施，有石门营文化公园等绿化设施，自然及人文环境一般</v>
      </c>
      <c r="J23" s="448">
        <f>SUMIF(84:84,I24,85:85)-SUMIF(84:84,C24,85:85)+100</f>
        <v>100</v>
      </c>
      <c r="K23" s="443">
        <v>2</v>
      </c>
      <c r="L23" s="1135"/>
      <c r="M23" s="1126"/>
      <c r="N23" s="1126"/>
      <c r="O23" s="1126"/>
      <c r="P23" s="3245"/>
      <c r="Q23" s="1806" t="str">
        <f>B23</f>
        <v>自然及人文环境</v>
      </c>
      <c r="R23" s="771" t="s">
        <v>21</v>
      </c>
      <c r="S23" s="772">
        <f>F23</f>
        <v>102</v>
      </c>
      <c r="T23" s="771" t="s">
        <v>21</v>
      </c>
      <c r="U23" s="772">
        <f>H23</f>
        <v>100</v>
      </c>
      <c r="V23" s="771" t="s">
        <v>21</v>
      </c>
      <c r="W23" s="772">
        <f>J23</f>
        <v>100</v>
      </c>
      <c r="X23" s="1809"/>
      <c r="Y23" s="3193"/>
      <c r="Z23" s="1810" t="str">
        <f>Q23</f>
        <v>自然及人文环境</v>
      </c>
      <c r="AA23" s="1807">
        <f>D23/F23</f>
        <v>0.98039215686274506</v>
      </c>
      <c r="AB23" s="1807">
        <f>D23/H23</f>
        <v>1</v>
      </c>
      <c r="AC23" s="1807">
        <f>D23/J23</f>
        <v>1</v>
      </c>
    </row>
    <row r="24" spans="1:29" ht="15">
      <c r="A24" s="426"/>
      <c r="B24" s="454"/>
      <c r="C24" s="445" t="s">
        <v>3105</v>
      </c>
      <c r="D24" s="446"/>
      <c r="E24" s="2597" t="s">
        <v>3110</v>
      </c>
      <c r="F24" s="446"/>
      <c r="G24" s="2598" t="s">
        <v>3105</v>
      </c>
      <c r="H24" s="446"/>
      <c r="I24" s="2598" t="s">
        <v>3105</v>
      </c>
      <c r="J24" s="446"/>
      <c r="K24" s="2599"/>
      <c r="L24" s="1135"/>
      <c r="M24" s="1126"/>
      <c r="N24" s="1126"/>
      <c r="O24" s="1126"/>
      <c r="P24" s="3245"/>
      <c r="Q24" s="1806"/>
      <c r="R24" s="771"/>
      <c r="S24" s="772"/>
      <c r="T24" s="771"/>
      <c r="U24" s="772"/>
      <c r="V24" s="771"/>
      <c r="W24" s="772"/>
      <c r="X24" s="1809"/>
      <c r="Y24" s="3193"/>
      <c r="Z24" s="1810"/>
      <c r="AA24" s="1807">
        <v>1</v>
      </c>
      <c r="AB24" s="1807">
        <v>1</v>
      </c>
      <c r="AC24" s="1807">
        <v>1</v>
      </c>
    </row>
    <row r="25" spans="1:29" ht="15">
      <c r="A25" s="426"/>
      <c r="B25" s="420" t="s">
        <v>2560</v>
      </c>
      <c r="C25" s="458"/>
      <c r="D25" s="433">
        <v>100</v>
      </c>
      <c r="E25" s="2606"/>
      <c r="F25" s="433">
        <f>SUMIF(86:86,E25,87:87)-SUMIF(86:86,C25,87:87)+100</f>
        <v>100</v>
      </c>
      <c r="G25" s="2607"/>
      <c r="H25" s="433">
        <f>SUMIF(86:86,G25,87:87)-SUMIF(86:86,C25,87:87)+100</f>
        <v>100</v>
      </c>
      <c r="I25" s="2607"/>
      <c r="J25" s="433">
        <f>SUMIF(86:86,I25,87:87)-SUMIF(86:86,C25,87:87)+100</f>
        <v>100</v>
      </c>
      <c r="K25" s="424"/>
      <c r="L25" s="1135"/>
      <c r="M25" s="1126"/>
      <c r="N25" s="1126"/>
      <c r="O25" s="1126"/>
      <c r="P25" s="3245"/>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193"/>
      <c r="Z25" s="1810" t="str">
        <f>Q25</f>
        <v>楼层-1</v>
      </c>
      <c r="AA25" s="1807">
        <f t="shared" ref="AA25:AA46" si="15">D25/F25</f>
        <v>1</v>
      </c>
      <c r="AB25" s="1807">
        <f t="shared" ref="AB25:AB46" si="16">D25/H25</f>
        <v>1</v>
      </c>
      <c r="AC25" s="1807">
        <f t="shared" ref="AC25:AC46" si="17">D25/J25</f>
        <v>1</v>
      </c>
    </row>
    <row r="26" spans="1:29" ht="15">
      <c r="A26" s="426"/>
      <c r="B26" s="420" t="s">
        <v>2561</v>
      </c>
      <c r="C26" s="458"/>
      <c r="D26" s="433">
        <v>100</v>
      </c>
      <c r="E26" s="2606"/>
      <c r="F26" s="433">
        <f>SUMIF(88:88,E26,89:89)-SUMIF(88:88,C26,89:89)+100</f>
        <v>100</v>
      </c>
      <c r="G26" s="2607"/>
      <c r="H26" s="433">
        <f>SUMIF(88:88,G26,89:89)-SUMIF(88:88,C26,89:89)+100</f>
        <v>100</v>
      </c>
      <c r="I26" s="2607"/>
      <c r="J26" s="433">
        <f>SUMIF(88:88,I26,89:89)-SUMIF(88:88,C26,89:89)+100</f>
        <v>100</v>
      </c>
      <c r="K26" s="424"/>
      <c r="L26" s="1135"/>
      <c r="M26" s="1126"/>
      <c r="N26" s="1126"/>
      <c r="O26" s="1126"/>
      <c r="P26" s="3245"/>
      <c r="Q26" s="1806" t="str">
        <f t="shared" si="11"/>
        <v>朝向</v>
      </c>
      <c r="R26" s="771" t="s">
        <v>21</v>
      </c>
      <c r="S26" s="772">
        <f t="shared" si="12"/>
        <v>100</v>
      </c>
      <c r="T26" s="771" t="s">
        <v>21</v>
      </c>
      <c r="U26" s="772">
        <f t="shared" si="13"/>
        <v>100</v>
      </c>
      <c r="V26" s="771" t="s">
        <v>21</v>
      </c>
      <c r="W26" s="772">
        <f t="shared" si="14"/>
        <v>100</v>
      </c>
      <c r="X26" s="1809"/>
      <c r="Y26" s="3193"/>
      <c r="Z26" s="1810" t="str">
        <f>Q26</f>
        <v>朝向</v>
      </c>
      <c r="AA26" s="1807">
        <f t="shared" si="15"/>
        <v>1</v>
      </c>
      <c r="AB26" s="1807">
        <f t="shared" si="16"/>
        <v>1</v>
      </c>
      <c r="AC26" s="1807">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4"/>
      <c r="L27" s="1127"/>
      <c r="M27" s="1128"/>
      <c r="N27" s="1128"/>
      <c r="O27" s="1128"/>
      <c r="P27" s="3245"/>
      <c r="Q27" s="1791">
        <f t="shared" si="11"/>
        <v>111</v>
      </c>
      <c r="R27" s="767" t="s">
        <v>21</v>
      </c>
      <c r="S27" s="768">
        <f t="shared" si="12"/>
        <v>100</v>
      </c>
      <c r="T27" s="767" t="s">
        <v>21</v>
      </c>
      <c r="U27" s="768">
        <f t="shared" si="13"/>
        <v>100</v>
      </c>
      <c r="V27" s="767" t="s">
        <v>21</v>
      </c>
      <c r="W27" s="768">
        <f t="shared" si="14"/>
        <v>100</v>
      </c>
      <c r="X27" s="769"/>
      <c r="Y27" s="3193"/>
      <c r="Z27" s="54">
        <f>Q27</f>
        <v>111</v>
      </c>
      <c r="AA27" s="1807">
        <f t="shared" si="15"/>
        <v>1</v>
      </c>
      <c r="AB27" s="1807">
        <f t="shared" si="16"/>
        <v>1</v>
      </c>
      <c r="AC27" s="1807">
        <f t="shared" si="17"/>
        <v>1</v>
      </c>
    </row>
    <row r="28" spans="1:29" ht="15">
      <c r="A28" s="426"/>
      <c r="B28" s="1381">
        <v>111</v>
      </c>
      <c r="C28" s="432"/>
      <c r="D28" s="433">
        <v>100</v>
      </c>
      <c r="E28" s="432"/>
      <c r="F28" s="433">
        <f>SUMIF(92:92,E28,93:93)-SUMIF(92:92,C28,93:93)+100</f>
        <v>100</v>
      </c>
      <c r="G28" s="2608"/>
      <c r="H28" s="433">
        <f>SUMIF(92:92,G28,93:93)-SUMIF(92:92,C28,93:93)+100</f>
        <v>100</v>
      </c>
      <c r="I28" s="432"/>
      <c r="J28" s="433">
        <f>SUMIF(92:92,I28,93:93)-SUMIF(92:92,C28,93:93)+100</f>
        <v>100</v>
      </c>
      <c r="K28" s="2594"/>
      <c r="L28" s="1135"/>
      <c r="M28" s="1126"/>
      <c r="N28" s="1126"/>
      <c r="O28" s="1126"/>
      <c r="P28" s="3245"/>
      <c r="Q28" s="1806">
        <f t="shared" si="11"/>
        <v>111</v>
      </c>
      <c r="R28" s="771" t="s">
        <v>21</v>
      </c>
      <c r="S28" s="772">
        <f t="shared" si="12"/>
        <v>100</v>
      </c>
      <c r="T28" s="771" t="s">
        <v>21</v>
      </c>
      <c r="U28" s="772">
        <f t="shared" si="13"/>
        <v>100</v>
      </c>
      <c r="V28" s="771" t="s">
        <v>21</v>
      </c>
      <c r="W28" s="772">
        <f t="shared" si="14"/>
        <v>100</v>
      </c>
      <c r="X28" s="1809"/>
      <c r="Y28" s="3193"/>
      <c r="Z28" s="1810">
        <f t="shared" ref="Z28:Z46" si="18">Q28</f>
        <v>111</v>
      </c>
      <c r="AA28" s="1807">
        <f t="shared" si="15"/>
        <v>1</v>
      </c>
      <c r="AB28" s="1807">
        <f t="shared" si="16"/>
        <v>1</v>
      </c>
      <c r="AC28" s="1807">
        <f t="shared" si="17"/>
        <v>1</v>
      </c>
    </row>
    <row r="29" spans="1:29" ht="15">
      <c r="A29" s="426"/>
      <c r="B29" s="1381">
        <v>111</v>
      </c>
      <c r="C29" s="432"/>
      <c r="D29" s="433">
        <v>100</v>
      </c>
      <c r="E29" s="432"/>
      <c r="F29" s="433">
        <f>SUMIF(94:94,E29,95:95)-SUMIF(94:94,C29,95:95)+100</f>
        <v>100</v>
      </c>
      <c r="G29" s="2608"/>
      <c r="H29" s="433">
        <f>SUMIF(94:94,G29,95:95)-SUMIF(94:94,C29,95:95)+100</f>
        <v>100</v>
      </c>
      <c r="I29" s="432"/>
      <c r="J29" s="433">
        <f>SUMIF(94:94,I29,95:95)-SUMIF(94:94,C29,95:95)+100</f>
        <v>100</v>
      </c>
      <c r="K29" s="2594"/>
      <c r="L29" s="1135"/>
      <c r="M29" s="1126"/>
      <c r="N29" s="1126"/>
      <c r="O29" s="1126"/>
      <c r="P29" s="3245"/>
      <c r="Q29" s="1806">
        <f t="shared" si="11"/>
        <v>111</v>
      </c>
      <c r="R29" s="771" t="s">
        <v>21</v>
      </c>
      <c r="S29" s="772">
        <f t="shared" si="12"/>
        <v>100</v>
      </c>
      <c r="T29" s="771" t="s">
        <v>21</v>
      </c>
      <c r="U29" s="772">
        <f t="shared" si="13"/>
        <v>100</v>
      </c>
      <c r="V29" s="771" t="s">
        <v>21</v>
      </c>
      <c r="W29" s="772">
        <f t="shared" si="14"/>
        <v>100</v>
      </c>
      <c r="X29" s="1809"/>
      <c r="Y29" s="3193"/>
      <c r="Z29" s="1810">
        <f t="shared" si="18"/>
        <v>111</v>
      </c>
      <c r="AA29" s="1807">
        <f t="shared" si="15"/>
        <v>1</v>
      </c>
      <c r="AB29" s="1807">
        <f t="shared" si="16"/>
        <v>1</v>
      </c>
      <c r="AC29" s="1807">
        <f t="shared" si="17"/>
        <v>1</v>
      </c>
    </row>
    <row r="30" spans="1:29" ht="15">
      <c r="A30" s="426"/>
      <c r="B30" s="1381">
        <v>111</v>
      </c>
      <c r="C30" s="432"/>
      <c r="D30" s="433">
        <v>100</v>
      </c>
      <c r="E30" s="432"/>
      <c r="F30" s="433">
        <f>SUMIF(96:96,E30,97:97)-SUMIF(96:96,C30,97:97)+100</f>
        <v>100</v>
      </c>
      <c r="G30" s="2608"/>
      <c r="H30" s="433">
        <f>SUMIF(96:96,G30,97:97)-SUMIF(96:96,C30,97:97)+100</f>
        <v>100</v>
      </c>
      <c r="I30" s="432"/>
      <c r="J30" s="433">
        <f>SUMIF(96:96,I30,97:97)-SUMIF(96:96,C30,97:97)+100</f>
        <v>100</v>
      </c>
      <c r="K30" s="2594"/>
      <c r="L30" s="1135"/>
      <c r="M30" s="1126"/>
      <c r="N30" s="1126"/>
      <c r="O30" s="1126"/>
      <c r="P30" s="3245"/>
      <c r="Q30" s="1806">
        <f t="shared" si="11"/>
        <v>111</v>
      </c>
      <c r="R30" s="771" t="s">
        <v>21</v>
      </c>
      <c r="S30" s="772">
        <f t="shared" si="12"/>
        <v>100</v>
      </c>
      <c r="T30" s="771" t="s">
        <v>21</v>
      </c>
      <c r="U30" s="772">
        <f t="shared" si="13"/>
        <v>100</v>
      </c>
      <c r="V30" s="771" t="s">
        <v>21</v>
      </c>
      <c r="W30" s="772">
        <f t="shared" si="14"/>
        <v>100</v>
      </c>
      <c r="X30" s="1809"/>
      <c r="Y30" s="3193"/>
      <c r="Z30" s="1810">
        <f t="shared" si="18"/>
        <v>111</v>
      </c>
      <c r="AA30" s="1807">
        <f t="shared" si="15"/>
        <v>1</v>
      </c>
      <c r="AB30" s="1807">
        <f t="shared" si="16"/>
        <v>1</v>
      </c>
      <c r="AC30" s="1807">
        <f t="shared" si="17"/>
        <v>1</v>
      </c>
    </row>
    <row r="31" spans="1:29" ht="15.75" thickBot="1">
      <c r="A31" s="434"/>
      <c r="B31" s="1381">
        <v>111</v>
      </c>
      <c r="C31" s="435"/>
      <c r="D31" s="436">
        <v>100</v>
      </c>
      <c r="E31" s="435"/>
      <c r="F31" s="436">
        <f>SUMIF(98:98,E31,99:99)-SUMIF(98:98,C31,99:99)+100</f>
        <v>100</v>
      </c>
      <c r="G31" s="2609"/>
      <c r="H31" s="436">
        <f>SUMIF(98:98,G31,99:99)-SUMIF(98:98,C31,99:99)+100</f>
        <v>100</v>
      </c>
      <c r="I31" s="435"/>
      <c r="J31" s="436">
        <f>SUMIF(98:98,I31,99:99)-SUMIF(98:98,C31,99:99)+100</f>
        <v>100</v>
      </c>
      <c r="K31" s="2594"/>
      <c r="L31" s="1135"/>
      <c r="M31" s="1126"/>
      <c r="N31" s="1126"/>
      <c r="O31" s="1126"/>
      <c r="P31" s="3245"/>
      <c r="Q31" s="1806">
        <f t="shared" si="11"/>
        <v>111</v>
      </c>
      <c r="R31" s="771" t="s">
        <v>21</v>
      </c>
      <c r="S31" s="772">
        <f t="shared" si="12"/>
        <v>100</v>
      </c>
      <c r="T31" s="771" t="s">
        <v>21</v>
      </c>
      <c r="U31" s="772">
        <f t="shared" si="13"/>
        <v>100</v>
      </c>
      <c r="V31" s="771" t="s">
        <v>21</v>
      </c>
      <c r="W31" s="772">
        <f t="shared" si="14"/>
        <v>100</v>
      </c>
      <c r="X31" s="1809"/>
      <c r="Y31" s="3193"/>
      <c r="Z31" s="1810">
        <f t="shared" si="18"/>
        <v>111</v>
      </c>
      <c r="AA31" s="1807">
        <f t="shared" si="15"/>
        <v>1</v>
      </c>
      <c r="AB31" s="1807">
        <f t="shared" si="16"/>
        <v>1</v>
      </c>
      <c r="AC31" s="1807">
        <f t="shared" si="17"/>
        <v>1</v>
      </c>
    </row>
    <row r="32" spans="1:29" ht="15">
      <c r="A32" s="438" t="s">
        <v>2562</v>
      </c>
      <c r="B32" s="70" t="s">
        <v>2563</v>
      </c>
      <c r="C32" s="2610" t="s">
        <v>3175</v>
      </c>
      <c r="D32" s="465">
        <v>100</v>
      </c>
      <c r="E32" s="2610" t="s">
        <v>3175</v>
      </c>
      <c r="F32" s="459">
        <f>SUMIF(100:100,E32,101:101)-SUMIF(100:100,C32,101:101)+100</f>
        <v>100</v>
      </c>
      <c r="G32" s="2610" t="s">
        <v>3175</v>
      </c>
      <c r="H32" s="465">
        <f>SUMIF(100:100,G32,101:101)-SUMIF(100:100,C32,101:101)+100</f>
        <v>100</v>
      </c>
      <c r="I32" s="2610" t="s">
        <v>3175</v>
      </c>
      <c r="J32" s="433">
        <f>SUMIF(100:100,I32,101:101)-SUMIF(100:100,C32,101:101)+100</f>
        <v>100</v>
      </c>
      <c r="K32" s="424">
        <v>5</v>
      </c>
      <c r="L32" s="1135"/>
      <c r="M32" s="1126"/>
      <c r="N32" s="1126"/>
      <c r="O32" s="1126"/>
      <c r="P32" s="3240" t="s">
        <v>2564</v>
      </c>
      <c r="Q32" s="1806" t="str">
        <f t="shared" si="11"/>
        <v>建筑类型</v>
      </c>
      <c r="R32" s="771" t="s">
        <v>21</v>
      </c>
      <c r="S32" s="772">
        <f t="shared" si="12"/>
        <v>100</v>
      </c>
      <c r="T32" s="771" t="s">
        <v>21</v>
      </c>
      <c r="U32" s="772">
        <f t="shared" si="13"/>
        <v>100</v>
      </c>
      <c r="V32" s="771" t="s">
        <v>21</v>
      </c>
      <c r="W32" s="772">
        <f t="shared" si="14"/>
        <v>100</v>
      </c>
      <c r="X32" s="1809"/>
      <c r="Y32" s="3195" t="s">
        <v>2564</v>
      </c>
      <c r="Z32" s="1810" t="str">
        <f t="shared" si="18"/>
        <v>建筑类型</v>
      </c>
      <c r="AA32" s="1807">
        <f t="shared" si="15"/>
        <v>1</v>
      </c>
      <c r="AB32" s="1807">
        <f t="shared" si="16"/>
        <v>1</v>
      </c>
      <c r="AC32" s="1807">
        <f t="shared" si="17"/>
        <v>1</v>
      </c>
    </row>
    <row r="33" spans="1:29" s="469" customFormat="1" ht="15">
      <c r="A33" s="466"/>
      <c r="B33" s="420" t="s">
        <v>2565</v>
      </c>
      <c r="C33" s="467">
        <v>28</v>
      </c>
      <c r="D33" s="134">
        <v>100</v>
      </c>
      <c r="E33" s="428">
        <v>30</v>
      </c>
      <c r="F33" s="423">
        <f>LOOKUP(E33,103:103,104:104)-LOOKUP(C33,103:103,104:104)+100</f>
        <v>101</v>
      </c>
      <c r="G33" s="427">
        <v>10</v>
      </c>
      <c r="H33" s="134">
        <f>LOOKUP(G33,103:103,104:104)-LOOKUP(C33,103:103,104:104)+100</f>
        <v>99</v>
      </c>
      <c r="I33" s="428">
        <v>25</v>
      </c>
      <c r="J33" s="134">
        <f>LOOKUP(I33,103:103,104:104)-LOOKUP(C33,103:103,104:104)+100</f>
        <v>100</v>
      </c>
      <c r="K33" s="2594"/>
      <c r="L33" s="1133"/>
      <c r="M33" s="1136"/>
      <c r="N33" s="1136"/>
      <c r="O33" s="1136"/>
      <c r="P33" s="3241"/>
      <c r="Q33" s="773" t="str">
        <f t="shared" si="11"/>
        <v>项目建筑规模</v>
      </c>
      <c r="R33" s="774" t="s">
        <v>21</v>
      </c>
      <c r="S33" s="775">
        <f t="shared" si="12"/>
        <v>101</v>
      </c>
      <c r="T33" s="774" t="s">
        <v>21</v>
      </c>
      <c r="U33" s="775">
        <f t="shared" si="13"/>
        <v>99</v>
      </c>
      <c r="V33" s="774" t="s">
        <v>21</v>
      </c>
      <c r="W33" s="775">
        <f t="shared" si="14"/>
        <v>100</v>
      </c>
      <c r="X33" s="776"/>
      <c r="Y33" s="3195"/>
      <c r="Z33" s="777" t="str">
        <f t="shared" si="18"/>
        <v>项目建筑规模</v>
      </c>
      <c r="AA33" s="1807">
        <f t="shared" si="15"/>
        <v>0.99009900990099009</v>
      </c>
      <c r="AB33" s="1807">
        <f t="shared" si="16"/>
        <v>1.0101010101010102</v>
      </c>
      <c r="AC33" s="1807">
        <f t="shared" si="17"/>
        <v>1</v>
      </c>
    </row>
    <row r="34" spans="1:29" ht="15">
      <c r="A34" s="470"/>
      <c r="B34" s="420" t="s">
        <v>2566</v>
      </c>
      <c r="C34" s="2611" t="s">
        <v>3126</v>
      </c>
      <c r="D34" s="433">
        <v>100</v>
      </c>
      <c r="E34" s="2611" t="s">
        <v>3126</v>
      </c>
      <c r="F34" s="459">
        <f>SUMIF(105:105,E34,106:106)-SUMIF(105:105,C34,106:106)+100</f>
        <v>100</v>
      </c>
      <c r="G34" s="2611" t="s">
        <v>3126</v>
      </c>
      <c r="H34" s="433">
        <f>SUMIF(105:105,G34,106:106)-SUMIF(105:105,C34,106:106)+100</f>
        <v>100</v>
      </c>
      <c r="I34" s="2611" t="s">
        <v>3126</v>
      </c>
      <c r="J34" s="433">
        <f>SUMIF(105:105,I34,106:106)-SUMIF(105:105,C34,106:106)+100</f>
        <v>100</v>
      </c>
      <c r="K34" s="424">
        <v>2</v>
      </c>
      <c r="L34" s="1135"/>
      <c r="M34" s="1126"/>
      <c r="N34" s="1126"/>
      <c r="O34" s="1126"/>
      <c r="P34" s="3241"/>
      <c r="Q34" s="1806" t="str">
        <f t="shared" si="11"/>
        <v>建筑结构</v>
      </c>
      <c r="R34" s="771" t="s">
        <v>21</v>
      </c>
      <c r="S34" s="772">
        <f t="shared" si="12"/>
        <v>100</v>
      </c>
      <c r="T34" s="771" t="s">
        <v>21</v>
      </c>
      <c r="U34" s="772">
        <f t="shared" si="13"/>
        <v>100</v>
      </c>
      <c r="V34" s="771" t="s">
        <v>21</v>
      </c>
      <c r="W34" s="772">
        <f t="shared" si="14"/>
        <v>100</v>
      </c>
      <c r="X34" s="1809"/>
      <c r="Y34" s="3195"/>
      <c r="Z34" s="1810" t="str">
        <f t="shared" si="18"/>
        <v>建筑结构</v>
      </c>
      <c r="AA34" s="1807">
        <f t="shared" si="15"/>
        <v>1</v>
      </c>
      <c r="AB34" s="1807">
        <f t="shared" si="16"/>
        <v>1</v>
      </c>
      <c r="AC34" s="1807">
        <f t="shared" si="17"/>
        <v>1</v>
      </c>
    </row>
    <row r="35" spans="1:29" ht="15">
      <c r="A35" s="470"/>
      <c r="B35" s="420" t="s">
        <v>2567</v>
      </c>
      <c r="C35" s="2606" t="s">
        <v>3180</v>
      </c>
      <c r="D35" s="433">
        <v>100</v>
      </c>
      <c r="E35" s="2606" t="s">
        <v>3180</v>
      </c>
      <c r="F35" s="459">
        <f>SUMIF(107:107,E35,108:108)-SUMIF(107:107,C35,108:108)+100</f>
        <v>100</v>
      </c>
      <c r="G35" s="2606" t="s">
        <v>3180</v>
      </c>
      <c r="H35" s="433">
        <f>SUMIF(107:107,G35,108:108)-SUMIF(107:107,C35,108:108)+100</f>
        <v>100</v>
      </c>
      <c r="I35" s="2606" t="s">
        <v>3180</v>
      </c>
      <c r="J35" s="433">
        <f>SUMIF(107:107,I35,108:108)-SUMIF(107:107,C35,108:108)+100</f>
        <v>100</v>
      </c>
      <c r="K35" s="424">
        <v>5</v>
      </c>
      <c r="L35" s="1135"/>
      <c r="M35" s="1126"/>
      <c r="N35" s="1126"/>
      <c r="O35" s="1126"/>
      <c r="P35" s="3241"/>
      <c r="Q35" s="1806" t="str">
        <f t="shared" si="11"/>
        <v>建筑品质</v>
      </c>
      <c r="R35" s="771" t="s">
        <v>21</v>
      </c>
      <c r="S35" s="772">
        <f t="shared" si="12"/>
        <v>100</v>
      </c>
      <c r="T35" s="771" t="s">
        <v>21</v>
      </c>
      <c r="U35" s="772">
        <f t="shared" si="13"/>
        <v>100</v>
      </c>
      <c r="V35" s="771" t="s">
        <v>21</v>
      </c>
      <c r="W35" s="772">
        <f t="shared" si="14"/>
        <v>100</v>
      </c>
      <c r="X35" s="1809"/>
      <c r="Y35" s="3195"/>
      <c r="Z35" s="1810" t="str">
        <f t="shared" si="18"/>
        <v>建筑品质</v>
      </c>
      <c r="AA35" s="1807">
        <f t="shared" si="15"/>
        <v>1</v>
      </c>
      <c r="AB35" s="1807">
        <f t="shared" si="16"/>
        <v>1</v>
      </c>
      <c r="AC35" s="1807">
        <f t="shared" si="17"/>
        <v>1</v>
      </c>
    </row>
    <row r="36" spans="1:29" ht="15">
      <c r="A36" s="470"/>
      <c r="B36" s="420" t="s">
        <v>2568</v>
      </c>
      <c r="C36" s="2606" t="s">
        <v>3183</v>
      </c>
      <c r="D36" s="433">
        <v>100</v>
      </c>
      <c r="E36" s="2606" t="s">
        <v>3183</v>
      </c>
      <c r="F36" s="459">
        <f>SUMIF(109:109,E36,110:110)-SUMIF(109:109,C36,110:110)+100</f>
        <v>100</v>
      </c>
      <c r="G36" s="2606" t="s">
        <v>3183</v>
      </c>
      <c r="H36" s="433">
        <f>SUMIF(109:109,G36,110:110)-SUMIF(109:109,C36,110:110)+100</f>
        <v>100</v>
      </c>
      <c r="I36" s="2606" t="s">
        <v>3183</v>
      </c>
      <c r="J36" s="433">
        <f>SUMIF(109:109,I36,110:110)-SUMIF(109:109,C36,110:110)+100</f>
        <v>100</v>
      </c>
      <c r="K36" s="424">
        <v>2</v>
      </c>
      <c r="L36" s="1135"/>
      <c r="M36" s="1126"/>
      <c r="N36" s="1126"/>
      <c r="O36" s="1126"/>
      <c r="P36" s="3241"/>
      <c r="Q36" s="1806" t="str">
        <f t="shared" si="11"/>
        <v>公共部分装修</v>
      </c>
      <c r="R36" s="771" t="s">
        <v>21</v>
      </c>
      <c r="S36" s="772">
        <f t="shared" si="12"/>
        <v>100</v>
      </c>
      <c r="T36" s="771" t="s">
        <v>21</v>
      </c>
      <c r="U36" s="772">
        <f t="shared" si="13"/>
        <v>100</v>
      </c>
      <c r="V36" s="771" t="s">
        <v>21</v>
      </c>
      <c r="W36" s="772">
        <f t="shared" si="14"/>
        <v>100</v>
      </c>
      <c r="X36" s="1809"/>
      <c r="Y36" s="3195"/>
      <c r="Z36" s="1810" t="str">
        <f t="shared" si="18"/>
        <v>公共部分装修</v>
      </c>
      <c r="AA36" s="1807">
        <f t="shared" si="15"/>
        <v>1</v>
      </c>
      <c r="AB36" s="1807">
        <f t="shared" si="16"/>
        <v>1</v>
      </c>
      <c r="AC36" s="1807">
        <f t="shared" si="17"/>
        <v>1</v>
      </c>
    </row>
    <row r="37" spans="1:29" s="116" customFormat="1" ht="15">
      <c r="A37" s="471"/>
      <c r="B37" s="420" t="s">
        <v>2569</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v>1</v>
      </c>
      <c r="L37" s="1127"/>
      <c r="M37" s="1128"/>
      <c r="N37" s="1128"/>
      <c r="O37" s="1128"/>
      <c r="P37" s="3241"/>
      <c r="Q37" s="1791" t="str">
        <f t="shared" si="11"/>
        <v>成新度</v>
      </c>
      <c r="R37" s="767" t="s">
        <v>21</v>
      </c>
      <c r="S37" s="768">
        <f t="shared" si="12"/>
        <v>100</v>
      </c>
      <c r="T37" s="767" t="s">
        <v>21</v>
      </c>
      <c r="U37" s="768">
        <f t="shared" si="13"/>
        <v>100</v>
      </c>
      <c r="V37" s="767" t="s">
        <v>21</v>
      </c>
      <c r="W37" s="768">
        <f t="shared" si="14"/>
        <v>100</v>
      </c>
      <c r="X37" s="769"/>
      <c r="Y37" s="3195"/>
      <c r="Z37" s="54" t="str">
        <f t="shared" si="18"/>
        <v>成新度</v>
      </c>
      <c r="AA37" s="770">
        <f t="shared" si="15"/>
        <v>1</v>
      </c>
      <c r="AB37" s="770">
        <f t="shared" si="16"/>
        <v>1</v>
      </c>
      <c r="AC37" s="770">
        <f t="shared" si="17"/>
        <v>1</v>
      </c>
    </row>
    <row r="38" spans="1:29" ht="15">
      <c r="A38" s="470"/>
      <c r="B38" s="420" t="s">
        <v>2570</v>
      </c>
      <c r="C38" s="2606" t="s">
        <v>3188</v>
      </c>
      <c r="D38" s="433">
        <v>100</v>
      </c>
      <c r="E38" s="2606" t="s">
        <v>3188</v>
      </c>
      <c r="F38" s="459">
        <f>SUMIF(114:114,E38,115:115)-SUMIF(114:114,C38,115:115)+100</f>
        <v>100</v>
      </c>
      <c r="G38" s="2606" t="s">
        <v>3188</v>
      </c>
      <c r="H38" s="433">
        <f>SUMIF(114:114,G38,115:115)-SUMIF(114:114,C38,115:115)+100</f>
        <v>100</v>
      </c>
      <c r="I38" s="2606" t="s">
        <v>3188</v>
      </c>
      <c r="J38" s="433">
        <f>SUMIF(114:114,I38,115:115)-SUMIF(114:114,C38,115:115)+100</f>
        <v>100</v>
      </c>
      <c r="K38" s="424">
        <v>3</v>
      </c>
      <c r="L38" s="1135"/>
      <c r="M38" s="1126"/>
      <c r="N38" s="1126"/>
      <c r="O38" s="1126"/>
      <c r="P38" s="3241" t="s">
        <v>2564</v>
      </c>
      <c r="Q38" s="1806" t="str">
        <f t="shared" si="11"/>
        <v>物业管理</v>
      </c>
      <c r="R38" s="771" t="s">
        <v>21</v>
      </c>
      <c r="S38" s="772">
        <f t="shared" si="12"/>
        <v>100</v>
      </c>
      <c r="T38" s="771" t="s">
        <v>21</v>
      </c>
      <c r="U38" s="772">
        <f t="shared" si="13"/>
        <v>100</v>
      </c>
      <c r="V38" s="771" t="s">
        <v>21</v>
      </c>
      <c r="W38" s="772">
        <f t="shared" si="14"/>
        <v>100</v>
      </c>
      <c r="X38" s="1809"/>
      <c r="Y38" s="3195" t="s">
        <v>2564</v>
      </c>
      <c r="Z38" s="1810" t="str">
        <f t="shared" si="18"/>
        <v>物业管理</v>
      </c>
      <c r="AA38" s="1807">
        <f t="shared" si="15"/>
        <v>1</v>
      </c>
      <c r="AB38" s="1807">
        <f t="shared" si="16"/>
        <v>1</v>
      </c>
      <c r="AC38" s="1807">
        <f t="shared" si="17"/>
        <v>1</v>
      </c>
    </row>
    <row r="39" spans="1:29" ht="15">
      <c r="A39" s="470"/>
      <c r="B39" s="420" t="s">
        <v>2571</v>
      </c>
      <c r="C39" s="2606" t="s">
        <v>3134</v>
      </c>
      <c r="D39" s="433">
        <v>100</v>
      </c>
      <c r="E39" s="2607" t="s">
        <v>3132</v>
      </c>
      <c r="F39" s="459">
        <f>SUMIF(116:116,E39,117:117)-SUMIF(116:116,C39,117:117)+100</f>
        <v>101</v>
      </c>
      <c r="G39" s="2606" t="s">
        <v>3134</v>
      </c>
      <c r="H39" s="433">
        <f>SUMIF(116:116,G39,117:117)-SUMIF(116:116,C39,117:117)+100</f>
        <v>100</v>
      </c>
      <c r="I39" s="2606" t="s">
        <v>3134</v>
      </c>
      <c r="J39" s="433">
        <f>SUMIF(116:116,I39,117:117)-SUMIF(116:116,C39,117:117)+100</f>
        <v>100</v>
      </c>
      <c r="K39" s="424">
        <v>1</v>
      </c>
      <c r="L39" s="1135"/>
      <c r="M39" s="1126"/>
      <c r="N39" s="1126"/>
      <c r="O39" s="1126"/>
      <c r="P39" s="3241"/>
      <c r="Q39" s="1806" t="str">
        <f t="shared" si="11"/>
        <v>市政基础设施</v>
      </c>
      <c r="R39" s="771" t="s">
        <v>21</v>
      </c>
      <c r="S39" s="772">
        <f t="shared" si="12"/>
        <v>101</v>
      </c>
      <c r="T39" s="771" t="s">
        <v>21</v>
      </c>
      <c r="U39" s="772">
        <f t="shared" si="13"/>
        <v>100</v>
      </c>
      <c r="V39" s="771" t="s">
        <v>21</v>
      </c>
      <c r="W39" s="772">
        <f t="shared" si="14"/>
        <v>100</v>
      </c>
      <c r="X39" s="1809"/>
      <c r="Y39" s="3195"/>
      <c r="Z39" s="1810" t="str">
        <f t="shared" si="18"/>
        <v>市政基础设施</v>
      </c>
      <c r="AA39" s="1807">
        <f t="shared" si="15"/>
        <v>0.99009900990099009</v>
      </c>
      <c r="AB39" s="1807">
        <f t="shared" si="16"/>
        <v>1</v>
      </c>
      <c r="AC39" s="1807">
        <f t="shared" si="17"/>
        <v>1</v>
      </c>
    </row>
    <row r="40" spans="1:29" ht="15">
      <c r="A40" s="470"/>
      <c r="B40" s="420" t="s">
        <v>2572</v>
      </c>
      <c r="C40" s="2606" t="s">
        <v>3200</v>
      </c>
      <c r="D40" s="433">
        <v>100</v>
      </c>
      <c r="E40" s="2606" t="s">
        <v>3200</v>
      </c>
      <c r="F40" s="459">
        <f>SUMIF(118:118,E40,119:119)-SUMIF(118:118,C40,119:119)+100</f>
        <v>100</v>
      </c>
      <c r="G40" s="2606" t="s">
        <v>3200</v>
      </c>
      <c r="H40" s="433">
        <f>SUMIF(118:118,G40,119:119)-SUMIF(118:118,C40,119:119)+100</f>
        <v>100</v>
      </c>
      <c r="I40" s="2606" t="s">
        <v>3200</v>
      </c>
      <c r="J40" s="433">
        <f>SUMIF(118:118,I40,119:119)-SUMIF(118:118,C40,119:119)+100</f>
        <v>100</v>
      </c>
      <c r="K40" s="424">
        <v>5</v>
      </c>
      <c r="L40" s="1135"/>
      <c r="M40" s="1126"/>
      <c r="N40" s="1126"/>
      <c r="O40" s="1126"/>
      <c r="P40" s="3241"/>
      <c r="Q40" s="1806" t="str">
        <f t="shared" si="11"/>
        <v>房型</v>
      </c>
      <c r="R40" s="771" t="s">
        <v>21</v>
      </c>
      <c r="S40" s="772">
        <f t="shared" si="12"/>
        <v>100</v>
      </c>
      <c r="T40" s="771" t="s">
        <v>21</v>
      </c>
      <c r="U40" s="772">
        <f t="shared" si="13"/>
        <v>100</v>
      </c>
      <c r="V40" s="771" t="s">
        <v>21</v>
      </c>
      <c r="W40" s="772">
        <f t="shared" si="14"/>
        <v>100</v>
      </c>
      <c r="X40" s="1809"/>
      <c r="Y40" s="3195"/>
      <c r="Z40" s="1810" t="str">
        <f t="shared" si="18"/>
        <v>房型</v>
      </c>
      <c r="AA40" s="1807">
        <f t="shared" si="15"/>
        <v>1</v>
      </c>
      <c r="AB40" s="1807">
        <f t="shared" si="16"/>
        <v>1</v>
      </c>
      <c r="AC40" s="1807">
        <f t="shared" si="17"/>
        <v>1</v>
      </c>
    </row>
    <row r="41" spans="1:29" s="469" customFormat="1" ht="28.5">
      <c r="A41" s="466"/>
      <c r="B41" s="420" t="s">
        <v>2573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3"/>
      <c r="M41" s="1136"/>
      <c r="N41" s="1136"/>
      <c r="O41" s="1136"/>
      <c r="P41" s="3241"/>
      <c r="Q41" s="773" t="str">
        <f t="shared" si="11"/>
        <v>单套/主力户型建筑面积</v>
      </c>
      <c r="R41" s="774" t="s">
        <v>21</v>
      </c>
      <c r="S41" s="775">
        <f t="shared" si="12"/>
        <v>100</v>
      </c>
      <c r="T41" s="774" t="s">
        <v>21</v>
      </c>
      <c r="U41" s="775">
        <f t="shared" si="13"/>
        <v>100</v>
      </c>
      <c r="V41" s="774" t="s">
        <v>21</v>
      </c>
      <c r="W41" s="775">
        <f t="shared" si="14"/>
        <v>100</v>
      </c>
      <c r="X41" s="776"/>
      <c r="Y41" s="3195"/>
      <c r="Z41" s="777" t="str">
        <f t="shared" si="18"/>
        <v>单套/主力户型建筑面积</v>
      </c>
      <c r="AA41" s="1807">
        <f t="shared" si="15"/>
        <v>1</v>
      </c>
      <c r="AB41" s="1807">
        <f t="shared" si="16"/>
        <v>1</v>
      </c>
      <c r="AC41" s="1807">
        <f t="shared" si="17"/>
        <v>1</v>
      </c>
    </row>
    <row r="42" spans="1:29" ht="15">
      <c r="A42" s="470"/>
      <c r="B42" s="420" t="s">
        <v>2574</v>
      </c>
      <c r="C42" s="2606" t="s">
        <v>3183</v>
      </c>
      <c r="D42" s="433">
        <v>100</v>
      </c>
      <c r="E42" s="2606" t="s">
        <v>3183</v>
      </c>
      <c r="F42" s="459">
        <f>SUMIF(122:122,E42,123:123)-SUMIF(122:122,C42,123:123)+100</f>
        <v>100</v>
      </c>
      <c r="G42" s="2606" t="s">
        <v>3183</v>
      </c>
      <c r="H42" s="433">
        <f>SUMIF(122:122,G42,123:123)-SUMIF(122:122,C42,123:123)+100</f>
        <v>100</v>
      </c>
      <c r="I42" s="2606" t="s">
        <v>3183</v>
      </c>
      <c r="J42" s="433">
        <f>SUMIF(122:122,I42,123:123)-SUMIF(122:122,C42,123:123)+100</f>
        <v>100</v>
      </c>
      <c r="K42" s="424">
        <v>4</v>
      </c>
      <c r="L42" s="1135"/>
      <c r="M42" s="1126"/>
      <c r="N42" s="1126"/>
      <c r="O42" s="1126"/>
      <c r="P42" s="3241"/>
      <c r="Q42" s="1806" t="str">
        <f t="shared" si="11"/>
        <v>内部装修</v>
      </c>
      <c r="R42" s="771" t="s">
        <v>21</v>
      </c>
      <c r="S42" s="772">
        <f t="shared" si="12"/>
        <v>100</v>
      </c>
      <c r="T42" s="771" t="s">
        <v>21</v>
      </c>
      <c r="U42" s="772">
        <f t="shared" si="13"/>
        <v>100</v>
      </c>
      <c r="V42" s="771" t="s">
        <v>21</v>
      </c>
      <c r="W42" s="772">
        <f t="shared" si="14"/>
        <v>100</v>
      </c>
      <c r="X42" s="1809"/>
      <c r="Y42" s="3195"/>
      <c r="Z42" s="1810" t="str">
        <f t="shared" si="18"/>
        <v>内部装修</v>
      </c>
      <c r="AA42" s="1807">
        <f t="shared" si="15"/>
        <v>1</v>
      </c>
      <c r="AB42" s="1807">
        <f t="shared" si="16"/>
        <v>1</v>
      </c>
      <c r="AC42" s="1807">
        <f t="shared" si="17"/>
        <v>1</v>
      </c>
    </row>
    <row r="43" spans="1:29" ht="15">
      <c r="A43" s="470"/>
      <c r="B43" s="420" t="s">
        <v>2575</v>
      </c>
      <c r="C43" s="2606"/>
      <c r="D43" s="433">
        <v>100</v>
      </c>
      <c r="E43" s="2607"/>
      <c r="F43" s="459">
        <f>SUMIF(124:124,E43,125:125)-SUMIF(124:124,C43,125:125)+100</f>
        <v>100</v>
      </c>
      <c r="G43" s="2606"/>
      <c r="H43" s="433">
        <f>SUMIF(124:124,G43,125:125)-SUMIF(124:124,C43,125:125)+100</f>
        <v>100</v>
      </c>
      <c r="I43" s="2607"/>
      <c r="J43" s="433">
        <f>SUMIF(124:124,I43,125:125)-SUMIF(124:124,C43,125:125)+100</f>
        <v>100</v>
      </c>
      <c r="K43" s="424">
        <v>0</v>
      </c>
      <c r="L43" s="1135"/>
      <c r="M43" s="1126"/>
      <c r="N43" s="1126"/>
      <c r="O43" s="1126"/>
      <c r="P43" s="3241"/>
      <c r="Q43" s="1806" t="str">
        <f t="shared" si="11"/>
        <v>内部装修维护情况</v>
      </c>
      <c r="R43" s="771" t="s">
        <v>21</v>
      </c>
      <c r="S43" s="772">
        <f t="shared" si="12"/>
        <v>100</v>
      </c>
      <c r="T43" s="771" t="s">
        <v>21</v>
      </c>
      <c r="U43" s="772">
        <f t="shared" si="13"/>
        <v>100</v>
      </c>
      <c r="V43" s="771" t="s">
        <v>21</v>
      </c>
      <c r="W43" s="772">
        <f t="shared" si="14"/>
        <v>100</v>
      </c>
      <c r="X43" s="1809"/>
      <c r="Y43" s="3195"/>
      <c r="Z43" s="1810" t="str">
        <f t="shared" si="18"/>
        <v>内部装修维护情况</v>
      </c>
      <c r="AA43" s="1807">
        <f t="shared" si="15"/>
        <v>1</v>
      </c>
      <c r="AB43" s="1807">
        <f t="shared" si="16"/>
        <v>1</v>
      </c>
      <c r="AC43" s="1807">
        <f t="shared" si="17"/>
        <v>1</v>
      </c>
    </row>
    <row r="44" spans="1:29" s="116"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27"/>
      <c r="M44" s="1128"/>
      <c r="N44" s="1128"/>
      <c r="O44" s="1128"/>
      <c r="P44" s="3241"/>
      <c r="Q44" s="1791">
        <f t="shared" si="11"/>
        <v>111</v>
      </c>
      <c r="R44" s="767" t="s">
        <v>21</v>
      </c>
      <c r="S44" s="768">
        <f t="shared" si="12"/>
        <v>100</v>
      </c>
      <c r="T44" s="767" t="s">
        <v>21</v>
      </c>
      <c r="U44" s="768">
        <f t="shared" si="13"/>
        <v>100</v>
      </c>
      <c r="V44" s="767" t="s">
        <v>21</v>
      </c>
      <c r="W44" s="768">
        <f t="shared" si="14"/>
        <v>100</v>
      </c>
      <c r="X44" s="769"/>
      <c r="Y44" s="3195"/>
      <c r="Z44" s="54">
        <f t="shared" si="18"/>
        <v>111</v>
      </c>
      <c r="AA44" s="770">
        <f t="shared" si="15"/>
        <v>1</v>
      </c>
      <c r="AB44" s="770">
        <f t="shared" si="16"/>
        <v>1</v>
      </c>
      <c r="AC44" s="770">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5"/>
      <c r="M45" s="1126"/>
      <c r="N45" s="1126"/>
      <c r="O45" s="1126"/>
      <c r="P45" s="3241"/>
      <c r="Q45" s="1806">
        <f t="shared" si="11"/>
        <v>111</v>
      </c>
      <c r="R45" s="771" t="s">
        <v>21</v>
      </c>
      <c r="S45" s="772">
        <f t="shared" si="12"/>
        <v>100</v>
      </c>
      <c r="T45" s="771" t="s">
        <v>21</v>
      </c>
      <c r="U45" s="772">
        <f t="shared" si="13"/>
        <v>100</v>
      </c>
      <c r="V45" s="771" t="s">
        <v>21</v>
      </c>
      <c r="W45" s="772">
        <f t="shared" si="14"/>
        <v>100</v>
      </c>
      <c r="X45" s="1809"/>
      <c r="Y45" s="3195"/>
      <c r="Z45" s="1810">
        <f t="shared" si="18"/>
        <v>111</v>
      </c>
      <c r="AA45" s="1807">
        <f t="shared" si="15"/>
        <v>1</v>
      </c>
      <c r="AB45" s="1807">
        <f t="shared" si="16"/>
        <v>1</v>
      </c>
      <c r="AC45" s="1807">
        <f t="shared" si="17"/>
        <v>1</v>
      </c>
    </row>
    <row r="46" spans="1:29" ht="15.75" thickBot="1">
      <c r="A46" s="476"/>
      <c r="B46" s="259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5"/>
      <c r="M46" s="1126"/>
      <c r="N46" s="1126"/>
      <c r="O46" s="1126"/>
      <c r="P46" s="3242"/>
      <c r="Q46" s="1806">
        <f t="shared" si="11"/>
        <v>111</v>
      </c>
      <c r="R46" s="771" t="s">
        <v>20</v>
      </c>
      <c r="S46" s="772">
        <f t="shared" si="12"/>
        <v>100</v>
      </c>
      <c r="T46" s="771" t="s">
        <v>20</v>
      </c>
      <c r="U46" s="772">
        <f t="shared" si="13"/>
        <v>100</v>
      </c>
      <c r="V46" s="771" t="s">
        <v>20</v>
      </c>
      <c r="W46" s="772">
        <f t="shared" si="14"/>
        <v>100</v>
      </c>
      <c r="X46" s="1809"/>
      <c r="Y46" s="3243"/>
      <c r="Z46" s="1810">
        <f t="shared" si="18"/>
        <v>111</v>
      </c>
      <c r="AA46" s="1807">
        <f t="shared" si="15"/>
        <v>1</v>
      </c>
      <c r="AB46" s="1807">
        <f t="shared" si="16"/>
        <v>1</v>
      </c>
      <c r="AC46" s="1807">
        <f t="shared" si="17"/>
        <v>1</v>
      </c>
    </row>
    <row r="47" spans="1:29" ht="15">
      <c r="A47" s="477" t="s">
        <v>2576</v>
      </c>
      <c r="B47" s="478"/>
      <c r="C47" s="1402" t="s">
        <v>19</v>
      </c>
      <c r="D47" s="1403"/>
      <c r="E47" s="1404">
        <v>58462</v>
      </c>
      <c r="F47" s="1405"/>
      <c r="G47" s="1406">
        <v>59764</v>
      </c>
      <c r="H47" s="1407"/>
      <c r="I47" s="1404">
        <v>63090</v>
      </c>
      <c r="J47" s="1407"/>
      <c r="K47" s="2612"/>
      <c r="L47" s="1138"/>
      <c r="M47" s="1139"/>
      <c r="N47" s="1126"/>
      <c r="O47" s="1139"/>
      <c r="P47" s="3177" t="str">
        <f>A47</f>
        <v>成交单价（元/平方米）</v>
      </c>
      <c r="Q47" s="3177"/>
      <c r="R47" s="3239">
        <f>E47</f>
        <v>58462</v>
      </c>
      <c r="S47" s="3239"/>
      <c r="T47" s="3239">
        <f>G47</f>
        <v>59764</v>
      </c>
      <c r="U47" s="3239"/>
      <c r="V47" s="3239">
        <f>I47</f>
        <v>63090</v>
      </c>
      <c r="W47" s="3239"/>
      <c r="X47" s="756"/>
      <c r="Y47" s="778"/>
      <c r="Z47" s="756"/>
      <c r="AA47" s="756"/>
      <c r="AB47" s="756"/>
      <c r="AC47" s="756"/>
    </row>
    <row r="48" spans="1:29" ht="15.75" thickBot="1">
      <c r="A48" s="484" t="s">
        <v>2577</v>
      </c>
      <c r="B48" s="485"/>
      <c r="C48" s="1408">
        <f>R49</f>
        <v>59545</v>
      </c>
      <c r="D48" s="1409"/>
      <c r="E48" s="1410">
        <f>R48</f>
        <v>54539</v>
      </c>
      <c r="F48" s="1410"/>
      <c r="G48" s="1408">
        <f>T48</f>
        <v>60368</v>
      </c>
      <c r="H48" s="1409"/>
      <c r="I48" s="1410">
        <f>V48</f>
        <v>63727</v>
      </c>
      <c r="J48" s="1409"/>
      <c r="K48" s="2613"/>
      <c r="L48" s="1138"/>
      <c r="M48" s="1139"/>
      <c r="N48" s="1139"/>
      <c r="O48" s="1139"/>
      <c r="P48" s="3177" t="str">
        <f>A48</f>
        <v>比较价值（元/平方米）</v>
      </c>
      <c r="Q48" s="3177"/>
      <c r="R48" s="3239">
        <f>IF(F1="售价",ROUND(PRODUCT(R47,AA7:AA46),0),ROUND(PRODUCT(R47,AA7:AA46),1))</f>
        <v>54539</v>
      </c>
      <c r="S48" s="3239"/>
      <c r="T48" s="3239">
        <f>IF(F1="售价",ROUND(PRODUCT(T47,AB7:AB46),0),ROUND(PRODUCT(T47,AB7:AB46),1))</f>
        <v>60368</v>
      </c>
      <c r="U48" s="3239"/>
      <c r="V48" s="3239">
        <f>IF(F1="售价",ROUND(PRODUCT(V47,AC7:AC46),0),ROUND(PRODUCT(V47,AC7:AC46),1))</f>
        <v>63727</v>
      </c>
      <c r="W48" s="3239"/>
      <c r="X48" s="756"/>
      <c r="Y48" s="756"/>
      <c r="Z48" s="756"/>
      <c r="AA48" s="756"/>
      <c r="AB48" s="756"/>
      <c r="AC48" s="756"/>
    </row>
    <row r="49" spans="1:29" ht="15.75" thickBot="1">
      <c r="A49" s="490" t="s">
        <v>2578</v>
      </c>
      <c r="B49" s="491"/>
      <c r="C49" s="1411">
        <f>R49</f>
        <v>59545</v>
      </c>
      <c r="D49" s="1412"/>
      <c r="E49" s="1412"/>
      <c r="F49" s="1412"/>
      <c r="G49" s="1412"/>
      <c r="H49" s="1412"/>
      <c r="I49" s="1412"/>
      <c r="J49" s="1412"/>
      <c r="K49" s="2614"/>
      <c r="L49" s="1138"/>
      <c r="M49" s="1139"/>
      <c r="N49" s="1139"/>
      <c r="O49" s="1139"/>
      <c r="P49" s="3197" t="str">
        <f>A49</f>
        <v>估价对象XX用房的比较价值（楼面单价，元/平方米）</v>
      </c>
      <c r="Q49" s="3198"/>
      <c r="R49" s="3238">
        <f>IF(F1="售价",ROUND(AVERAGE(R48:V48),0),ROUND(AVERAGE(R48:V48),1))</f>
        <v>59545</v>
      </c>
      <c r="S49" s="3238"/>
      <c r="T49" s="3238"/>
      <c r="U49" s="3238"/>
      <c r="V49" s="3238"/>
      <c r="W49" s="3238"/>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2579</v>
      </c>
      <c r="D52" s="496"/>
      <c r="E52" s="497">
        <f>IF(E47&lt;E48,E48/E47-1,E47/E48-1)</f>
        <v>7.19301784044446E-2</v>
      </c>
      <c r="F52" s="498" t="str">
        <f>IF(OR(E52&gt;=0.3,E52&lt;=-0.3),"超过30%","")</f>
        <v/>
      </c>
      <c r="G52" s="497">
        <f>IF(G47&lt;G48,G48/G47-1,G47/G48-1)</f>
        <v>1.0106418579747034E-2</v>
      </c>
      <c r="H52" s="498" t="str">
        <f>IF(OR(G52&gt;=0.3,G52&lt;=-0.3),"超过30%","")</f>
        <v/>
      </c>
      <c r="I52" s="497">
        <f>IF(I47&lt;I48,I48/I47-1,I47/I48-1)</f>
        <v>1.009668727215085E-2</v>
      </c>
      <c r="J52" s="498" t="str">
        <f>IF(OR(I52&gt;=0.3,I52&lt;=-0.3),"超过30%","")</f>
        <v/>
      </c>
      <c r="K52" s="1100"/>
      <c r="L52" s="1101"/>
      <c r="M52" s="1139"/>
      <c r="N52" s="1139"/>
      <c r="O52" s="1139"/>
    </row>
    <row r="53" spans="1:29" ht="13.5" customHeight="1">
      <c r="A53" s="1139"/>
      <c r="B53" s="1139"/>
      <c r="C53" s="495" t="s">
        <v>2580</v>
      </c>
      <c r="D53" s="499"/>
      <c r="E53" s="497">
        <f>IF(E48&lt;G48,G48/E48-1,E48/G48-1)</f>
        <v>0.10687764718825066</v>
      </c>
      <c r="F53" s="498" t="str">
        <f>IF(OR(E53&gt;=0.2,E53&lt;=-0.2),"超过20%","")</f>
        <v/>
      </c>
      <c r="G53" s="497">
        <f>IF(G48&lt;I48,I48/G48-1,G48/I48-1)</f>
        <v>5.564206201961297E-2</v>
      </c>
      <c r="H53" s="498" t="str">
        <f>IF(OR(G53&gt;=0.2,G53&lt;=-0.2),"超过20%","")</f>
        <v/>
      </c>
      <c r="I53" s="497">
        <f>IF(I48&lt;E48,E48/I48-1,I48/E48-1)</f>
        <v>0.16846660188122264</v>
      </c>
      <c r="J53" s="498" t="str">
        <f>IF(OR(I53&gt;=0.2,I53&lt;=-0.2),"超过20%","")</f>
        <v/>
      </c>
      <c r="K53" s="1100"/>
      <c r="L53" s="1101"/>
      <c r="M53" s="1139"/>
      <c r="N53" s="1139"/>
      <c r="O53" s="1139"/>
    </row>
    <row r="54" spans="1:29" s="500" customFormat="1" ht="13.5" customHeight="1">
      <c r="A54" s="1140"/>
      <c r="B54" s="1140"/>
      <c r="C54" s="495" t="s">
        <v>2581</v>
      </c>
      <c r="D54" s="499"/>
      <c r="E54" s="497">
        <f>IF(E47&lt;G47,G47/E47-1,E47/G47-1)</f>
        <v>2.2270876808867301E-2</v>
      </c>
      <c r="F54" s="498" t="str">
        <f>IF(OR(E54&gt;=0.3,E54&lt;=-0.3),"超过30%","")</f>
        <v/>
      </c>
      <c r="G54" s="497">
        <f>IF(G47&lt;I47,I47/G47-1,G47/I47-1)</f>
        <v>5.5652232112977762E-2</v>
      </c>
      <c r="H54" s="498" t="str">
        <f>IF(OR(G54&gt;=0.3,G54&lt;=-0.3),"超过30%","")</f>
        <v/>
      </c>
      <c r="I54" s="497">
        <f>IF(I47&lt;E47,E47/I47-1,I47/E47-1)</f>
        <v>7.9162532927371521E-2</v>
      </c>
      <c r="J54" s="498" t="str">
        <f>IF(OR(I54&gt;=0.3,I54&lt;=-0.3),"超过30%","")</f>
        <v/>
      </c>
      <c r="K54" s="1143"/>
      <c r="L54" s="1144"/>
      <c r="M54" s="1140"/>
      <c r="N54" s="1140"/>
      <c r="O54" s="1140"/>
      <c r="P54" s="2616"/>
    </row>
    <row r="55" spans="1:29" s="500"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2582</v>
      </c>
      <c r="B57" s="756"/>
      <c r="C57" s="761"/>
      <c r="D57" s="761"/>
      <c r="E57" s="761"/>
      <c r="F57" s="762"/>
      <c r="G57" s="762"/>
      <c r="H57" s="761"/>
      <c r="I57" s="761"/>
      <c r="J57" s="761"/>
      <c r="K57" s="1155"/>
      <c r="L57" s="1156"/>
      <c r="M57" s="1154"/>
      <c r="N57" s="1154"/>
      <c r="O57" s="1154"/>
      <c r="P57" s="2617"/>
      <c r="Q57" s="502"/>
    </row>
    <row r="58" spans="1:29" s="506" customFormat="1" ht="15">
      <c r="A58" s="503" t="s">
        <v>2583</v>
      </c>
      <c r="B58" s="504"/>
      <c r="C58" s="1572" t="str">
        <f>YEAR(C7)&amp;"-"&amp;MONTH(C7)</f>
        <v>2018-1</v>
      </c>
      <c r="D58" s="1571">
        <f>EDATE(C58,-1)</f>
        <v>43070</v>
      </c>
      <c r="E58" s="1571">
        <f>EDATE(D58,-1)</f>
        <v>43040</v>
      </c>
      <c r="F58" s="1571">
        <f t="shared" ref="F58:O58" si="19">EDATE(E58,-1)</f>
        <v>43009</v>
      </c>
      <c r="G58" s="1571">
        <f t="shared" si="19"/>
        <v>42979</v>
      </c>
      <c r="H58" s="1571">
        <f t="shared" si="19"/>
        <v>42948</v>
      </c>
      <c r="I58" s="1571">
        <f t="shared" si="19"/>
        <v>42917</v>
      </c>
      <c r="J58" s="1571">
        <f t="shared" si="19"/>
        <v>42887</v>
      </c>
      <c r="K58" s="1571">
        <f t="shared" si="19"/>
        <v>42856</v>
      </c>
      <c r="L58" s="1571">
        <f t="shared" si="19"/>
        <v>42826</v>
      </c>
      <c r="M58" s="1571">
        <f t="shared" si="19"/>
        <v>42795</v>
      </c>
      <c r="N58" s="1571">
        <f t="shared" si="19"/>
        <v>42767</v>
      </c>
      <c r="O58" s="1571">
        <f t="shared" si="19"/>
        <v>42736</v>
      </c>
      <c r="P58" s="1566"/>
    </row>
    <row r="59" spans="1:29" s="116" customFormat="1" ht="15">
      <c r="A59" s="507"/>
      <c r="B59" s="2618"/>
      <c r="C59" s="1569">
        <v>100</v>
      </c>
      <c r="D59" s="509"/>
      <c r="E59" s="510"/>
      <c r="F59" s="510"/>
      <c r="G59" s="510"/>
      <c r="H59" s="510"/>
      <c r="I59" s="510"/>
      <c r="J59" s="510"/>
      <c r="K59" s="510"/>
      <c r="L59" s="510"/>
      <c r="M59" s="511"/>
      <c r="N59" s="510"/>
      <c r="O59" s="511"/>
      <c r="P59" s="2619"/>
    </row>
    <row r="60" spans="1:29" s="116" customFormat="1" ht="15.75" thickBot="1">
      <c r="A60" s="513" t="s">
        <v>2584</v>
      </c>
      <c r="B60" s="514"/>
      <c r="C60" s="515"/>
      <c r="D60" s="516"/>
      <c r="E60" s="516"/>
      <c r="F60" s="516"/>
      <c r="G60" s="516"/>
      <c r="H60" s="516"/>
      <c r="I60" s="516"/>
      <c r="J60" s="516"/>
      <c r="K60" s="516"/>
      <c r="L60" s="516"/>
      <c r="M60" s="517"/>
      <c r="N60" s="516"/>
      <c r="O60" s="517"/>
      <c r="P60" s="2619"/>
      <c r="Q60" s="502"/>
    </row>
    <row r="61" spans="1:29" s="116" customFormat="1" ht="15">
      <c r="A61" s="519" t="s">
        <v>2585</v>
      </c>
      <c r="B61" s="508"/>
      <c r="C61" s="520" t="s">
        <v>2586</v>
      </c>
      <c r="D61" s="521"/>
      <c r="E61" s="521"/>
      <c r="F61" s="521"/>
      <c r="G61" s="521"/>
      <c r="H61" s="521"/>
      <c r="I61" s="521"/>
      <c r="J61" s="521"/>
      <c r="K61" s="521"/>
      <c r="L61" s="522"/>
      <c r="M61" s="523"/>
      <c r="N61" s="1146"/>
      <c r="O61" s="1146"/>
      <c r="P61" s="2620"/>
      <c r="Q61" s="502"/>
    </row>
    <row r="62" spans="1:29" s="116" customFormat="1" ht="15.75" thickBot="1">
      <c r="A62" s="519"/>
      <c r="B62" s="508"/>
      <c r="C62" s="509">
        <v>100</v>
      </c>
      <c r="D62" s="510"/>
      <c r="E62" s="510"/>
      <c r="F62" s="510"/>
      <c r="G62" s="510"/>
      <c r="H62" s="510"/>
      <c r="I62" s="510"/>
      <c r="J62" s="510"/>
      <c r="K62" s="510"/>
      <c r="L62" s="510"/>
      <c r="M62" s="512"/>
      <c r="N62" s="1146"/>
      <c r="O62" s="1146"/>
      <c r="P62" s="2619"/>
      <c r="Q62" s="502"/>
    </row>
    <row r="63" spans="1:29">
      <c r="A63" s="525" t="s">
        <v>2587</v>
      </c>
      <c r="B63" s="526" t="s">
        <v>2553</v>
      </c>
      <c r="C63" s="527" t="str">
        <f>C9</f>
        <v>住宅</v>
      </c>
      <c r="D63" s="528"/>
      <c r="E63" s="528"/>
      <c r="F63" s="528"/>
      <c r="G63" s="528"/>
      <c r="H63" s="528"/>
      <c r="I63" s="528"/>
      <c r="J63" s="528"/>
      <c r="K63" s="529"/>
      <c r="L63" s="530"/>
      <c r="M63" s="531"/>
      <c r="N63" s="1147"/>
      <c r="O63" s="1147"/>
      <c r="P63" s="2621"/>
      <c r="Q63" s="502"/>
    </row>
    <row r="64" spans="1:29" ht="15.75" thickBot="1">
      <c r="A64" s="532"/>
      <c r="B64" s="533"/>
      <c r="C64" s="534">
        <v>100</v>
      </c>
      <c r="D64" s="534"/>
      <c r="E64" s="534"/>
      <c r="F64" s="534"/>
      <c r="G64" s="534"/>
      <c r="H64" s="534"/>
      <c r="I64" s="534"/>
      <c r="J64" s="534"/>
      <c r="K64" s="534"/>
      <c r="L64" s="534"/>
      <c r="M64" s="535"/>
      <c r="N64" s="1148"/>
      <c r="O64" s="1148"/>
      <c r="P64" s="2621"/>
      <c r="Q64" s="502"/>
    </row>
    <row r="65" spans="1:17" ht="27.75" thickTop="1">
      <c r="A65" s="532"/>
      <c r="B65" s="536" t="s">
        <v>2556</v>
      </c>
      <c r="C65" s="537" t="s">
        <v>2588</v>
      </c>
      <c r="D65" s="537" t="s">
        <v>2589</v>
      </c>
      <c r="E65" s="537" t="s">
        <v>2590</v>
      </c>
      <c r="F65" s="537" t="s">
        <v>2591</v>
      </c>
      <c r="G65" s="537" t="s">
        <v>2592</v>
      </c>
      <c r="H65" s="537" t="s">
        <v>2593</v>
      </c>
      <c r="I65" s="537" t="s">
        <v>2594</v>
      </c>
      <c r="J65" s="537"/>
      <c r="K65" s="538"/>
      <c r="L65" s="539"/>
      <c r="M65" s="540"/>
      <c r="N65" s="1147"/>
      <c r="O65" s="1147"/>
      <c r="P65" s="2621"/>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48"/>
      <c r="O66" s="1148"/>
      <c r="P66" s="2621"/>
      <c r="Q66" s="502"/>
    </row>
    <row r="67" spans="1:17" ht="15.75" thickTop="1">
      <c r="A67" s="532"/>
      <c r="B67" s="544" t="s">
        <v>2557</v>
      </c>
      <c r="C67" s="545" t="str">
        <f>C68&amp;"（含）"&amp;"-"&amp;D68</f>
        <v>1（含）-2</v>
      </c>
      <c r="D67" s="545" t="str">
        <f t="shared" ref="D67:L67" si="21">D68&amp;"（含）"&amp;"-"&amp;E68</f>
        <v>2（含）-3</v>
      </c>
      <c r="E67" s="545" t="str">
        <f t="shared" si="21"/>
        <v>3（含）-4</v>
      </c>
      <c r="F67" s="545" t="str">
        <f t="shared" si="21"/>
        <v>4（含）-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1"/>
      <c r="Q67" s="502"/>
    </row>
    <row r="68" spans="1:17" ht="15">
      <c r="A68" s="532"/>
      <c r="B68" s="546"/>
      <c r="C68" s="547">
        <v>1</v>
      </c>
      <c r="D68" s="547">
        <v>2</v>
      </c>
      <c r="E68" s="547">
        <v>3</v>
      </c>
      <c r="F68" s="547">
        <v>4</v>
      </c>
      <c r="G68" s="547"/>
      <c r="H68" s="547"/>
      <c r="I68" s="547"/>
      <c r="J68" s="547"/>
      <c r="K68" s="548"/>
      <c r="L68" s="549"/>
      <c r="M68" s="550"/>
      <c r="N68" s="1147"/>
      <c r="O68" s="1147"/>
      <c r="P68" s="2621"/>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48"/>
      <c r="O69" s="1148"/>
      <c r="P69" s="2621"/>
      <c r="Q69" s="502"/>
    </row>
    <row r="70" spans="1:17" s="469" customFormat="1" ht="15.75" thickTop="1">
      <c r="A70" s="551"/>
      <c r="B70" s="536">
        <f>B12</f>
        <v>111</v>
      </c>
      <c r="C70" s="552"/>
      <c r="D70" s="552"/>
      <c r="E70" s="552"/>
      <c r="F70" s="552"/>
      <c r="G70" s="552"/>
      <c r="H70" s="553"/>
      <c r="I70" s="553"/>
      <c r="J70" s="553"/>
      <c r="K70" s="553"/>
      <c r="L70" s="554"/>
      <c r="M70" s="555"/>
      <c r="N70" s="1149"/>
      <c r="O70" s="1149"/>
      <c r="P70" s="2622"/>
      <c r="Q70" s="557"/>
    </row>
    <row r="71" spans="1:17" s="469" customFormat="1" ht="15.75" thickBot="1">
      <c r="A71" s="551"/>
      <c r="B71" s="541"/>
      <c r="C71" s="558"/>
      <c r="D71" s="534"/>
      <c r="E71" s="534"/>
      <c r="F71" s="534"/>
      <c r="G71" s="534"/>
      <c r="H71" s="534"/>
      <c r="I71" s="534"/>
      <c r="J71" s="534"/>
      <c r="K71" s="534"/>
      <c r="L71" s="534"/>
      <c r="M71" s="535"/>
      <c r="N71" s="1148"/>
      <c r="O71" s="1148"/>
      <c r="P71" s="2622"/>
      <c r="Q71" s="557"/>
    </row>
    <row r="72" spans="1:17" s="469" customFormat="1" ht="15.75" thickTop="1">
      <c r="A72" s="551"/>
      <c r="B72" s="536">
        <f>B13</f>
        <v>111</v>
      </c>
      <c r="C72" s="552"/>
      <c r="D72" s="552"/>
      <c r="E72" s="552"/>
      <c r="F72" s="552"/>
      <c r="G72" s="552"/>
      <c r="H72" s="553"/>
      <c r="I72" s="553"/>
      <c r="J72" s="553"/>
      <c r="K72" s="553"/>
      <c r="L72" s="554"/>
      <c r="M72" s="555"/>
      <c r="N72" s="1149"/>
      <c r="O72" s="1149"/>
      <c r="P72" s="2623"/>
      <c r="Q72" s="559"/>
    </row>
    <row r="73" spans="1:17" s="469" customFormat="1" ht="15.75" thickBot="1">
      <c r="A73" s="551"/>
      <c r="B73" s="541"/>
      <c r="C73" s="558"/>
      <c r="D73" s="558"/>
      <c r="E73" s="558"/>
      <c r="F73" s="558"/>
      <c r="G73" s="558"/>
      <c r="H73" s="560"/>
      <c r="I73" s="560"/>
      <c r="J73" s="560"/>
      <c r="K73" s="560"/>
      <c r="L73" s="560"/>
      <c r="M73" s="561"/>
      <c r="N73" s="1149"/>
      <c r="O73" s="1149"/>
      <c r="P73" s="2622"/>
      <c r="Q73" s="557"/>
    </row>
    <row r="74" spans="1:17" s="469" customFormat="1" ht="15.75" thickTop="1">
      <c r="A74" s="551"/>
      <c r="B74" s="544">
        <f>B14</f>
        <v>111</v>
      </c>
      <c r="C74" s="552"/>
      <c r="D74" s="552"/>
      <c r="E74" s="552"/>
      <c r="F74" s="552"/>
      <c r="G74" s="521"/>
      <c r="H74" s="562"/>
      <c r="I74" s="562"/>
      <c r="J74" s="562"/>
      <c r="K74" s="562"/>
      <c r="L74" s="563"/>
      <c r="M74" s="564"/>
      <c r="N74" s="1149"/>
      <c r="O74" s="1149"/>
      <c r="P74" s="2624"/>
      <c r="Q74" s="557"/>
    </row>
    <row r="75" spans="1:17" s="469" customFormat="1" ht="15.75" thickBot="1">
      <c r="A75" s="566"/>
      <c r="B75" s="567"/>
      <c r="C75" s="568"/>
      <c r="D75" s="568"/>
      <c r="E75" s="568"/>
      <c r="F75" s="568"/>
      <c r="G75" s="568"/>
      <c r="H75" s="569"/>
      <c r="I75" s="569"/>
      <c r="J75" s="569"/>
      <c r="K75" s="569"/>
      <c r="L75" s="569"/>
      <c r="M75" s="570"/>
      <c r="N75" s="1149"/>
      <c r="O75" s="1149"/>
      <c r="P75" s="2622"/>
      <c r="Q75" s="557"/>
    </row>
    <row r="76" spans="1:17">
      <c r="A76" s="525" t="s">
        <v>2558</v>
      </c>
      <c r="B76" s="526" t="s">
        <v>2595</v>
      </c>
      <c r="C76" s="571" t="s">
        <v>2596</v>
      </c>
      <c r="D76" s="571" t="s">
        <v>2597</v>
      </c>
      <c r="E76" s="571" t="s">
        <v>2598</v>
      </c>
      <c r="F76" s="571" t="s">
        <v>2599</v>
      </c>
      <c r="G76" s="571" t="s">
        <v>2600</v>
      </c>
      <c r="H76" s="527"/>
      <c r="I76" s="527"/>
      <c r="J76" s="527"/>
      <c r="K76" s="572"/>
      <c r="L76" s="573"/>
      <c r="M76" s="574"/>
      <c r="N76" s="1147"/>
      <c r="O76" s="1147"/>
      <c r="P76" s="2625"/>
      <c r="Q76" s="502"/>
    </row>
    <row r="77" spans="1:17" ht="15.75" thickBot="1">
      <c r="A77" s="532"/>
      <c r="B77" s="541"/>
      <c r="C77" s="542">
        <v>100</v>
      </c>
      <c r="D77" s="542">
        <f>C77-$K15</f>
        <v>99</v>
      </c>
      <c r="E77" s="542">
        <f>D77-$K15</f>
        <v>98</v>
      </c>
      <c r="F77" s="542">
        <f>E77-$K15</f>
        <v>97</v>
      </c>
      <c r="G77" s="542">
        <f>F77-$K15</f>
        <v>96</v>
      </c>
      <c r="H77" s="542"/>
      <c r="I77" s="542"/>
      <c r="J77" s="542"/>
      <c r="K77" s="542"/>
      <c r="L77" s="542"/>
      <c r="M77" s="543"/>
      <c r="N77" s="1148"/>
      <c r="O77" s="1148"/>
      <c r="P77" s="2621"/>
      <c r="Q77" s="502"/>
    </row>
    <row r="78" spans="1:17" ht="15.75" thickTop="1">
      <c r="A78" s="532"/>
      <c r="B78" s="536" t="s">
        <v>2601</v>
      </c>
      <c r="C78" s="576" t="s">
        <v>2596</v>
      </c>
      <c r="D78" s="576" t="s">
        <v>2597</v>
      </c>
      <c r="E78" s="576" t="s">
        <v>2598</v>
      </c>
      <c r="F78" s="576" t="s">
        <v>2599</v>
      </c>
      <c r="G78" s="576" t="s">
        <v>2600</v>
      </c>
      <c r="H78" s="537"/>
      <c r="I78" s="537"/>
      <c r="J78" s="537"/>
      <c r="K78" s="538"/>
      <c r="L78" s="539"/>
      <c r="M78" s="540"/>
      <c r="N78" s="1147"/>
      <c r="O78" s="1147"/>
      <c r="P78" s="2621"/>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48"/>
      <c r="O79" s="1148"/>
      <c r="P79" s="2621"/>
      <c r="Q79" s="502"/>
    </row>
    <row r="80" spans="1:17" ht="15.75" thickTop="1">
      <c r="A80" s="532"/>
      <c r="B80" s="536" t="s">
        <v>2602</v>
      </c>
      <c r="C80" s="576" t="s">
        <v>2596</v>
      </c>
      <c r="D80" s="576" t="s">
        <v>2597</v>
      </c>
      <c r="E80" s="576" t="s">
        <v>2598</v>
      </c>
      <c r="F80" s="576" t="s">
        <v>2599</v>
      </c>
      <c r="G80" s="576" t="s">
        <v>2600</v>
      </c>
      <c r="H80" s="537"/>
      <c r="I80" s="537"/>
      <c r="J80" s="537"/>
      <c r="K80" s="538"/>
      <c r="L80" s="539"/>
      <c r="M80" s="540"/>
      <c r="N80" s="1147"/>
      <c r="O80" s="1147"/>
      <c r="P80" s="2621"/>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8"/>
      <c r="O81" s="1148"/>
      <c r="P81" s="2621"/>
      <c r="Q81" s="502"/>
    </row>
    <row r="82" spans="1:17" ht="15.75" thickTop="1">
      <c r="A82" s="532"/>
      <c r="B82" s="544" t="s">
        <v>2100</v>
      </c>
      <c r="C82" s="537" t="s">
        <v>2603</v>
      </c>
      <c r="D82" s="537" t="s">
        <v>2604</v>
      </c>
      <c r="E82" s="537" t="s">
        <v>2605</v>
      </c>
      <c r="F82" s="537" t="s">
        <v>2606</v>
      </c>
      <c r="G82" s="537" t="s">
        <v>2607</v>
      </c>
      <c r="H82" s="537"/>
      <c r="I82" s="537"/>
      <c r="J82" s="537"/>
      <c r="K82" s="537"/>
      <c r="L82" s="537"/>
      <c r="M82" s="1377"/>
      <c r="N82" s="1148"/>
      <c r="O82" s="1148"/>
      <c r="P82" s="2621"/>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8"/>
      <c r="O83" s="1148"/>
      <c r="P83" s="2621"/>
      <c r="Q83" s="502"/>
    </row>
    <row r="84" spans="1:17" ht="15.75" thickTop="1">
      <c r="A84" s="532"/>
      <c r="B84" s="536" t="s">
        <v>2608</v>
      </c>
      <c r="C84" s="576" t="s">
        <v>2596</v>
      </c>
      <c r="D84" s="576" t="s">
        <v>2597</v>
      </c>
      <c r="E84" s="576" t="s">
        <v>2598</v>
      </c>
      <c r="F84" s="576" t="s">
        <v>2599</v>
      </c>
      <c r="G84" s="576" t="s">
        <v>2600</v>
      </c>
      <c r="H84" s="537"/>
      <c r="I84" s="537"/>
      <c r="J84" s="537"/>
      <c r="K84" s="538"/>
      <c r="L84" s="539"/>
      <c r="M84" s="540"/>
      <c r="N84" s="1147"/>
      <c r="O84" s="1147"/>
      <c r="P84" s="2621"/>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8"/>
      <c r="O85" s="1148"/>
      <c r="P85" s="2621"/>
      <c r="Q85" s="502"/>
    </row>
    <row r="86" spans="1:17" s="116" customFormat="1" ht="15.75" thickTop="1">
      <c r="A86" s="577"/>
      <c r="B86" s="536" t="s">
        <v>2609</v>
      </c>
      <c r="C86" s="552"/>
      <c r="D86" s="552"/>
      <c r="E86" s="552"/>
      <c r="F86" s="552"/>
      <c r="G86" s="552"/>
      <c r="H86" s="552"/>
      <c r="I86" s="552"/>
      <c r="J86" s="552"/>
      <c r="K86" s="552"/>
      <c r="L86" s="578"/>
      <c r="M86" s="579"/>
      <c r="N86" s="1146"/>
      <c r="O86" s="1146"/>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1"/>
      <c r="Q87" s="502"/>
    </row>
    <row r="88" spans="1:17" s="116" customFormat="1" ht="15.75" thickTop="1">
      <c r="A88" s="577"/>
      <c r="B88" s="536" t="s">
        <v>2610</v>
      </c>
      <c r="C88" s="552"/>
      <c r="D88" s="552"/>
      <c r="E88" s="552"/>
      <c r="F88" s="2626"/>
      <c r="G88" s="552"/>
      <c r="H88" s="552"/>
      <c r="I88" s="552"/>
      <c r="J88" s="552"/>
      <c r="K88" s="552"/>
      <c r="L88" s="552"/>
      <c r="M88" s="579"/>
      <c r="N88" s="1146"/>
      <c r="O88" s="1146"/>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1"/>
      <c r="Q89" s="502"/>
    </row>
    <row r="90" spans="1:17" s="469" customFormat="1" ht="15.75" thickTop="1">
      <c r="A90" s="551"/>
      <c r="B90" s="536">
        <f>B27</f>
        <v>111</v>
      </c>
      <c r="C90" s="552"/>
      <c r="D90" s="552"/>
      <c r="E90" s="552"/>
      <c r="F90" s="552"/>
      <c r="G90" s="552"/>
      <c r="H90" s="553"/>
      <c r="I90" s="553"/>
      <c r="J90" s="553"/>
      <c r="K90" s="553"/>
      <c r="L90" s="554"/>
      <c r="M90" s="555"/>
      <c r="N90" s="1149"/>
      <c r="O90" s="1149"/>
      <c r="P90" s="2622"/>
      <c r="Q90" s="557"/>
    </row>
    <row r="91" spans="1:17" s="469" customFormat="1" ht="15.75" thickBot="1">
      <c r="A91" s="551"/>
      <c r="B91" s="541"/>
      <c r="C91" s="558"/>
      <c r="D91" s="558"/>
      <c r="E91" s="558"/>
      <c r="F91" s="558"/>
      <c r="G91" s="558"/>
      <c r="H91" s="560"/>
      <c r="I91" s="560"/>
      <c r="J91" s="560"/>
      <c r="K91" s="560"/>
      <c r="L91" s="560"/>
      <c r="M91" s="561"/>
      <c r="N91" s="1149"/>
      <c r="O91" s="1149"/>
      <c r="P91" s="2622"/>
      <c r="Q91" s="557"/>
    </row>
    <row r="92" spans="1:17" ht="15.75" thickTop="1">
      <c r="A92" s="532"/>
      <c r="B92" s="536">
        <f>B28</f>
        <v>111</v>
      </c>
      <c r="C92" s="552"/>
      <c r="D92" s="552"/>
      <c r="E92" s="552"/>
      <c r="F92" s="552"/>
      <c r="G92" s="581"/>
      <c r="H92" s="581"/>
      <c r="I92" s="581"/>
      <c r="J92" s="581"/>
      <c r="K92" s="582"/>
      <c r="L92" s="583"/>
      <c r="M92" s="584"/>
      <c r="N92" s="1147"/>
      <c r="O92" s="1147"/>
      <c r="P92" s="2621"/>
      <c r="Q92" s="502"/>
    </row>
    <row r="93" spans="1:17" ht="15.75" thickBot="1">
      <c r="A93" s="532"/>
      <c r="B93" s="541"/>
      <c r="C93" s="558"/>
      <c r="D93" s="534"/>
      <c r="E93" s="534"/>
      <c r="F93" s="534"/>
      <c r="G93" s="534"/>
      <c r="H93" s="534"/>
      <c r="I93" s="534"/>
      <c r="J93" s="534"/>
      <c r="K93" s="534"/>
      <c r="L93" s="534"/>
      <c r="M93" s="535"/>
      <c r="N93" s="1148"/>
      <c r="O93" s="1148"/>
      <c r="P93" s="2621"/>
      <c r="Q93" s="502"/>
    </row>
    <row r="94" spans="1:17" ht="15.75" thickTop="1">
      <c r="A94" s="532"/>
      <c r="B94" s="536">
        <f>B29</f>
        <v>111</v>
      </c>
      <c r="C94" s="552"/>
      <c r="D94" s="552"/>
      <c r="E94" s="552"/>
      <c r="F94" s="552"/>
      <c r="G94" s="581"/>
      <c r="H94" s="581"/>
      <c r="I94" s="581"/>
      <c r="J94" s="581"/>
      <c r="K94" s="582"/>
      <c r="L94" s="583"/>
      <c r="M94" s="584"/>
      <c r="N94" s="1147"/>
      <c r="O94" s="1147"/>
      <c r="P94" s="2621"/>
      <c r="Q94" s="502"/>
    </row>
    <row r="95" spans="1:17" ht="15.75" thickBot="1">
      <c r="A95" s="532"/>
      <c r="B95" s="541"/>
      <c r="C95" s="558"/>
      <c r="D95" s="558"/>
      <c r="E95" s="558"/>
      <c r="F95" s="558"/>
      <c r="G95" s="534"/>
      <c r="H95" s="534"/>
      <c r="I95" s="534"/>
      <c r="J95" s="534"/>
      <c r="K95" s="534"/>
      <c r="L95" s="534"/>
      <c r="M95" s="535"/>
      <c r="N95" s="1148"/>
      <c r="O95" s="1148"/>
      <c r="P95" s="2621"/>
      <c r="Q95" s="502"/>
    </row>
    <row r="96" spans="1:17" ht="15.75" thickTop="1">
      <c r="A96" s="532"/>
      <c r="B96" s="536">
        <f>B30</f>
        <v>111</v>
      </c>
      <c r="C96" s="552"/>
      <c r="D96" s="552"/>
      <c r="E96" s="552"/>
      <c r="F96" s="552"/>
      <c r="G96" s="581"/>
      <c r="H96" s="581"/>
      <c r="I96" s="581"/>
      <c r="J96" s="581"/>
      <c r="K96" s="582"/>
      <c r="L96" s="583"/>
      <c r="M96" s="584"/>
      <c r="N96" s="1147"/>
      <c r="O96" s="1147"/>
      <c r="P96" s="2621"/>
      <c r="Q96" s="502"/>
    </row>
    <row r="97" spans="1:17" ht="15.75" thickBot="1">
      <c r="A97" s="532"/>
      <c r="B97" s="541"/>
      <c r="C97" s="568"/>
      <c r="D97" s="568"/>
      <c r="E97" s="568"/>
      <c r="F97" s="568"/>
      <c r="G97" s="534"/>
      <c r="H97" s="534"/>
      <c r="I97" s="534"/>
      <c r="J97" s="534"/>
      <c r="K97" s="534"/>
      <c r="L97" s="534"/>
      <c r="M97" s="535"/>
      <c r="N97" s="1148"/>
      <c r="O97" s="1148"/>
      <c r="P97" s="2621"/>
      <c r="Q97" s="502"/>
    </row>
    <row r="98" spans="1:17" ht="15.75" thickTop="1">
      <c r="A98" s="532"/>
      <c r="B98" s="544">
        <f>B31</f>
        <v>111</v>
      </c>
      <c r="C98" s="585"/>
      <c r="D98" s="585"/>
      <c r="E98" s="585"/>
      <c r="F98" s="585"/>
      <c r="G98" s="585"/>
      <c r="H98" s="585"/>
      <c r="I98" s="585"/>
      <c r="J98" s="585"/>
      <c r="K98" s="586"/>
      <c r="L98" s="587"/>
      <c r="M98" s="588"/>
      <c r="N98" s="1147"/>
      <c r="O98" s="1147"/>
      <c r="P98" s="2621"/>
      <c r="Q98" s="502"/>
    </row>
    <row r="99" spans="1:17" ht="15.75" thickBot="1">
      <c r="A99" s="2627"/>
      <c r="B99" s="567"/>
      <c r="C99" s="589"/>
      <c r="D99" s="589"/>
      <c r="E99" s="589"/>
      <c r="F99" s="589"/>
      <c r="G99" s="589"/>
      <c r="H99" s="589"/>
      <c r="I99" s="589"/>
      <c r="J99" s="589"/>
      <c r="K99" s="589"/>
      <c r="L99" s="589"/>
      <c r="M99" s="590"/>
      <c r="N99" s="1148"/>
      <c r="O99" s="1148"/>
      <c r="P99" s="2621"/>
      <c r="Q99" s="502"/>
    </row>
    <row r="100" spans="1:17">
      <c r="A100" s="525" t="s">
        <v>2562</v>
      </c>
      <c r="B100" s="526" t="s">
        <v>2611</v>
      </c>
      <c r="C100" s="2944" t="s">
        <v>3174</v>
      </c>
      <c r="D100" s="2944" t="s">
        <v>3176</v>
      </c>
      <c r="E100" s="528"/>
      <c r="F100" s="528"/>
      <c r="G100" s="528"/>
      <c r="H100" s="528"/>
      <c r="I100" s="528"/>
      <c r="J100" s="528"/>
      <c r="K100" s="529"/>
      <c r="L100" s="530"/>
      <c r="M100" s="531"/>
      <c r="N100" s="1147"/>
      <c r="O100" s="1147"/>
      <c r="P100" s="2621"/>
      <c r="Q100" s="502"/>
    </row>
    <row r="101" spans="1:17" ht="15.75"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48"/>
      <c r="O101" s="1148"/>
      <c r="P101" s="2621"/>
      <c r="Q101" s="502"/>
    </row>
    <row r="102" spans="1:17" ht="15.75" thickTop="1">
      <c r="A102" s="532"/>
      <c r="B102" s="536" t="s">
        <v>2612</v>
      </c>
      <c r="C102" s="576" t="str">
        <f>C103&amp;"(含)"&amp;"-"&amp;D103</f>
        <v>0(含)-10</v>
      </c>
      <c r="D102" s="576" t="str">
        <f t="shared" ref="D102:L102" si="27">D103&amp;"(含)"&amp;"-"&amp;E103</f>
        <v>10(含)-20</v>
      </c>
      <c r="E102" s="576" t="str">
        <f t="shared" si="27"/>
        <v>20(含)-30</v>
      </c>
      <c r="F102" s="576" t="str">
        <f t="shared" si="27"/>
        <v>30(含)-40</v>
      </c>
      <c r="G102" s="576" t="str">
        <f t="shared" si="27"/>
        <v>40(含)-50</v>
      </c>
      <c r="H102" s="576" t="str">
        <f t="shared" si="27"/>
        <v>50(含)-</v>
      </c>
      <c r="I102" s="576" t="str">
        <f t="shared" si="27"/>
        <v>(含)-</v>
      </c>
      <c r="J102" s="576" t="str">
        <f t="shared" si="27"/>
        <v>(含)-</v>
      </c>
      <c r="K102" s="576" t="str">
        <f>K103&amp;"(含)"&amp;"-"&amp;L103</f>
        <v>(含)-</v>
      </c>
      <c r="L102" s="576" t="str">
        <f t="shared" si="27"/>
        <v>(含)-</v>
      </c>
      <c r="M102" s="576" t="str">
        <f>M103&amp;"(含)"&amp;"-"&amp;P103</f>
        <v>(含)-</v>
      </c>
      <c r="N102" s="1146"/>
      <c r="O102" s="1146"/>
      <c r="P102" s="2621"/>
      <c r="Q102" s="502"/>
    </row>
    <row r="103" spans="1:17" s="469" customFormat="1">
      <c r="A103" s="591"/>
      <c r="B103" s="592"/>
      <c r="C103" s="593">
        <v>0</v>
      </c>
      <c r="D103" s="593">
        <v>10</v>
      </c>
      <c r="E103" s="593">
        <v>20</v>
      </c>
      <c r="F103" s="593">
        <v>30</v>
      </c>
      <c r="G103" s="593">
        <v>40</v>
      </c>
      <c r="H103" s="593">
        <v>50</v>
      </c>
      <c r="I103" s="593"/>
      <c r="J103" s="594"/>
      <c r="K103" s="594"/>
      <c r="L103" s="595"/>
      <c r="M103" s="596"/>
      <c r="N103" s="1149"/>
      <c r="O103" s="1149"/>
      <c r="P103" s="2622"/>
      <c r="Q103" s="557"/>
    </row>
    <row r="104" spans="1:17" s="469" customFormat="1" ht="15.75" thickBot="1">
      <c r="A104" s="551"/>
      <c r="B104" s="541"/>
      <c r="C104" s="558">
        <v>100</v>
      </c>
      <c r="D104" s="534">
        <v>101</v>
      </c>
      <c r="E104" s="534">
        <v>102</v>
      </c>
      <c r="F104" s="534">
        <v>103</v>
      </c>
      <c r="G104" s="534">
        <v>104</v>
      </c>
      <c r="H104" s="534">
        <v>105</v>
      </c>
      <c r="I104" s="534"/>
      <c r="J104" s="534"/>
      <c r="K104" s="534"/>
      <c r="L104" s="534"/>
      <c r="M104" s="534"/>
      <c r="N104" s="1148"/>
      <c r="O104" s="1148"/>
      <c r="P104" s="2622"/>
      <c r="Q104" s="557"/>
    </row>
    <row r="105" spans="1:17" ht="15" thickTop="1">
      <c r="A105" s="597"/>
      <c r="B105" s="536" t="s">
        <v>2613</v>
      </c>
      <c r="C105" s="2926" t="s">
        <v>3177</v>
      </c>
      <c r="D105" s="2926" t="s">
        <v>3178</v>
      </c>
      <c r="E105" s="2945" t="s">
        <v>3179</v>
      </c>
      <c r="F105" s="581"/>
      <c r="G105" s="581"/>
      <c r="H105" s="581"/>
      <c r="I105" s="581"/>
      <c r="J105" s="581"/>
      <c r="K105" s="582"/>
      <c r="L105" s="583"/>
      <c r="M105" s="584"/>
      <c r="N105" s="1147"/>
      <c r="O105" s="1147"/>
      <c r="P105" s="2621"/>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8"/>
      <c r="O106" s="1148"/>
      <c r="P106" s="2621"/>
      <c r="Q106" s="502"/>
    </row>
    <row r="107" spans="1:17" ht="15" thickTop="1">
      <c r="A107" s="597"/>
      <c r="B107" s="536" t="s">
        <v>2614</v>
      </c>
      <c r="C107" s="2945" t="s">
        <v>3181</v>
      </c>
      <c r="D107" s="2945" t="s">
        <v>3182</v>
      </c>
      <c r="E107" s="581"/>
      <c r="F107" s="581"/>
      <c r="G107" s="581"/>
      <c r="H107" s="581"/>
      <c r="I107" s="581"/>
      <c r="J107" s="581"/>
      <c r="K107" s="582"/>
      <c r="L107" s="583"/>
      <c r="M107" s="584"/>
      <c r="N107" s="1147"/>
      <c r="O107" s="1147"/>
      <c r="P107" s="2621"/>
      <c r="Q107" s="502"/>
    </row>
    <row r="108" spans="1:17" ht="15.75" thickBot="1">
      <c r="A108" s="532"/>
      <c r="B108" s="541"/>
      <c r="C108" s="542">
        <v>100</v>
      </c>
      <c r="D108" s="542">
        <f t="shared" ref="D108:M108" si="29">C108-$K35</f>
        <v>95</v>
      </c>
      <c r="E108" s="542">
        <f t="shared" si="29"/>
        <v>90</v>
      </c>
      <c r="F108" s="542">
        <f t="shared" si="29"/>
        <v>85</v>
      </c>
      <c r="G108" s="542">
        <f t="shared" si="29"/>
        <v>80</v>
      </c>
      <c r="H108" s="542">
        <f t="shared" si="29"/>
        <v>75</v>
      </c>
      <c r="I108" s="542">
        <f t="shared" si="29"/>
        <v>70</v>
      </c>
      <c r="J108" s="542">
        <f t="shared" si="29"/>
        <v>65</v>
      </c>
      <c r="K108" s="542">
        <f t="shared" si="29"/>
        <v>60</v>
      </c>
      <c r="L108" s="542">
        <f t="shared" si="29"/>
        <v>55</v>
      </c>
      <c r="M108" s="542">
        <f t="shared" si="29"/>
        <v>50</v>
      </c>
      <c r="N108" s="1148"/>
      <c r="O108" s="1148"/>
      <c r="P108" s="2621"/>
      <c r="Q108" s="502"/>
    </row>
    <row r="109" spans="1:17" ht="15" thickTop="1">
      <c r="A109" s="597"/>
      <c r="B109" s="536" t="s">
        <v>2615</v>
      </c>
      <c r="C109" s="2926" t="s">
        <v>3184</v>
      </c>
      <c r="D109" s="2926" t="s">
        <v>3185</v>
      </c>
      <c r="E109" s="2926" t="s">
        <v>3186</v>
      </c>
      <c r="F109" s="2945" t="s">
        <v>3187</v>
      </c>
      <c r="G109" s="581"/>
      <c r="H109" s="581"/>
      <c r="I109" s="581"/>
      <c r="J109" s="581"/>
      <c r="K109" s="582"/>
      <c r="L109" s="583"/>
      <c r="M109" s="584"/>
      <c r="N109" s="1147"/>
      <c r="O109" s="1147"/>
      <c r="P109" s="2621"/>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8"/>
      <c r="O110" s="1148"/>
      <c r="P110" s="2621"/>
      <c r="Q110" s="502"/>
    </row>
    <row r="111" spans="1:17" s="469" customFormat="1" ht="15" thickTop="1">
      <c r="A111" s="591"/>
      <c r="B111" s="536" t="s">
        <v>2000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2"/>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9"/>
      <c r="O113" s="1149"/>
      <c r="P113" s="2622"/>
      <c r="Q113" s="557"/>
    </row>
    <row r="114" spans="1:17" ht="15" thickTop="1">
      <c r="A114" s="597"/>
      <c r="B114" s="536" t="s">
        <v>2616</v>
      </c>
      <c r="C114" s="2926" t="s">
        <v>3189</v>
      </c>
      <c r="D114" s="2926" t="s">
        <v>3190</v>
      </c>
      <c r="E114" s="581"/>
      <c r="F114" s="581"/>
      <c r="G114" s="581"/>
      <c r="H114" s="581"/>
      <c r="I114" s="581"/>
      <c r="J114" s="581"/>
      <c r="K114" s="582"/>
      <c r="L114" s="583"/>
      <c r="M114" s="584"/>
      <c r="N114" s="1147"/>
      <c r="O114" s="1147"/>
      <c r="P114" s="2621"/>
      <c r="Q114" s="502"/>
    </row>
    <row r="115" spans="1:17"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48"/>
      <c r="O115" s="1148"/>
      <c r="P115" s="2621"/>
      <c r="Q115" s="502"/>
    </row>
    <row r="116" spans="1:17" ht="15" thickTop="1">
      <c r="A116" s="597"/>
      <c r="B116" s="536" t="s">
        <v>2617</v>
      </c>
      <c r="C116" s="2926" t="s">
        <v>3172</v>
      </c>
      <c r="D116" s="2926" t="s">
        <v>3191</v>
      </c>
      <c r="E116" s="2926" t="s">
        <v>3192</v>
      </c>
      <c r="F116" s="2926" t="s">
        <v>3193</v>
      </c>
      <c r="G116" s="2926" t="s">
        <v>3194</v>
      </c>
      <c r="H116" s="581"/>
      <c r="I116" s="581"/>
      <c r="J116" s="581"/>
      <c r="K116" s="582"/>
      <c r="L116" s="583"/>
      <c r="M116" s="584"/>
      <c r="N116" s="1147"/>
      <c r="O116" s="1147"/>
      <c r="P116" s="2621"/>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8"/>
      <c r="O117" s="1148"/>
      <c r="P117" s="2621"/>
      <c r="Q117" s="502"/>
    </row>
    <row r="118" spans="1:17" ht="15" thickTop="1">
      <c r="A118" s="597"/>
      <c r="B118" s="536" t="s">
        <v>2618</v>
      </c>
      <c r="C118" s="581" t="s">
        <v>3199</v>
      </c>
      <c r="D118" s="2945" t="s">
        <v>3201</v>
      </c>
      <c r="E118" s="581"/>
      <c r="F118" s="581"/>
      <c r="G118" s="581"/>
      <c r="H118" s="581"/>
      <c r="I118" s="581"/>
      <c r="J118" s="581"/>
      <c r="K118" s="582"/>
      <c r="L118" s="583"/>
      <c r="M118" s="584"/>
      <c r="N118" s="1147"/>
      <c r="O118" s="1147"/>
      <c r="P118" s="2621"/>
      <c r="Q118" s="502"/>
    </row>
    <row r="119" spans="1:17" ht="15.75" thickBot="1">
      <c r="A119" s="532"/>
      <c r="B119" s="541"/>
      <c r="C119" s="542">
        <v>100</v>
      </c>
      <c r="D119" s="542">
        <f t="shared" ref="D119:M119" si="32">C119-$K40</f>
        <v>95</v>
      </c>
      <c r="E119" s="542">
        <f t="shared" si="32"/>
        <v>90</v>
      </c>
      <c r="F119" s="542">
        <f t="shared" si="32"/>
        <v>85</v>
      </c>
      <c r="G119" s="542">
        <f t="shared" si="32"/>
        <v>80</v>
      </c>
      <c r="H119" s="542">
        <f t="shared" si="32"/>
        <v>75</v>
      </c>
      <c r="I119" s="542">
        <f t="shared" si="32"/>
        <v>70</v>
      </c>
      <c r="J119" s="542">
        <f t="shared" si="32"/>
        <v>65</v>
      </c>
      <c r="K119" s="542">
        <f t="shared" si="32"/>
        <v>60</v>
      </c>
      <c r="L119" s="542">
        <f t="shared" si="32"/>
        <v>55</v>
      </c>
      <c r="M119" s="542">
        <f t="shared" si="32"/>
        <v>50</v>
      </c>
      <c r="N119" s="1148"/>
      <c r="O119" s="1148"/>
      <c r="P119" s="2621"/>
      <c r="Q119" s="502"/>
    </row>
    <row r="120" spans="1:17" s="469" customFormat="1" ht="28.5" thickTop="1">
      <c r="A120" s="591"/>
      <c r="B120" s="536" t="s">
        <v>2573</v>
      </c>
      <c r="C120" s="581" t="s">
        <v>3195</v>
      </c>
      <c r="D120" s="581" t="s">
        <v>3196</v>
      </c>
      <c r="E120" s="581" t="s">
        <v>3197</v>
      </c>
      <c r="F120" s="581" t="s">
        <v>3198</v>
      </c>
      <c r="G120" s="552"/>
      <c r="H120" s="552"/>
      <c r="I120" s="552"/>
      <c r="J120" s="552"/>
      <c r="K120" s="552"/>
      <c r="L120" s="578"/>
      <c r="M120" s="579"/>
      <c r="N120" s="1149"/>
      <c r="O120" s="1149"/>
      <c r="P120" s="2622"/>
      <c r="Q120" s="557"/>
    </row>
    <row r="121" spans="1:17" s="469" customFormat="1" ht="15.75" thickBot="1">
      <c r="A121" s="551"/>
      <c r="B121" s="533"/>
      <c r="C121" s="558">
        <v>100</v>
      </c>
      <c r="D121" s="534">
        <v>100</v>
      </c>
      <c r="E121" s="534">
        <v>99</v>
      </c>
      <c r="F121" s="534">
        <v>100</v>
      </c>
      <c r="G121" s="534"/>
      <c r="H121" s="534"/>
      <c r="I121" s="534"/>
      <c r="J121" s="534"/>
      <c r="K121" s="534"/>
      <c r="L121" s="534"/>
      <c r="M121" s="534"/>
      <c r="N121" s="1149"/>
      <c r="O121" s="1149"/>
      <c r="P121" s="2622"/>
      <c r="Q121" s="557"/>
    </row>
    <row r="122" spans="1:17" ht="15" thickTop="1">
      <c r="A122" s="597"/>
      <c r="B122" s="536" t="s">
        <v>2619</v>
      </c>
      <c r="C122" s="2926" t="s">
        <v>3184</v>
      </c>
      <c r="D122" s="2926" t="s">
        <v>3185</v>
      </c>
      <c r="E122" s="2926" t="s">
        <v>3186</v>
      </c>
      <c r="F122" s="2945" t="s">
        <v>3187</v>
      </c>
      <c r="G122" s="581"/>
      <c r="H122" s="581"/>
      <c r="I122" s="581"/>
      <c r="J122" s="581"/>
      <c r="K122" s="582"/>
      <c r="L122" s="583"/>
      <c r="M122" s="584"/>
      <c r="N122" s="1147"/>
      <c r="O122" s="1147"/>
      <c r="P122" s="2621"/>
      <c r="Q122" s="502"/>
    </row>
    <row r="123" spans="1:17" ht="15.75" thickBot="1">
      <c r="A123" s="532"/>
      <c r="B123" s="541"/>
      <c r="C123" s="542">
        <v>100</v>
      </c>
      <c r="D123" s="542">
        <f t="shared" ref="D123:M123" si="33">C123-$K42</f>
        <v>96</v>
      </c>
      <c r="E123" s="542">
        <f t="shared" si="33"/>
        <v>92</v>
      </c>
      <c r="F123" s="542">
        <f t="shared" si="33"/>
        <v>88</v>
      </c>
      <c r="G123" s="542">
        <f t="shared" si="33"/>
        <v>84</v>
      </c>
      <c r="H123" s="542">
        <f t="shared" si="33"/>
        <v>80</v>
      </c>
      <c r="I123" s="542">
        <f t="shared" si="33"/>
        <v>76</v>
      </c>
      <c r="J123" s="542">
        <f t="shared" si="33"/>
        <v>72</v>
      </c>
      <c r="K123" s="542">
        <f t="shared" si="33"/>
        <v>68</v>
      </c>
      <c r="L123" s="542">
        <f t="shared" si="33"/>
        <v>64</v>
      </c>
      <c r="M123" s="542">
        <f t="shared" si="33"/>
        <v>60</v>
      </c>
      <c r="N123" s="1148"/>
      <c r="O123" s="1148"/>
      <c r="P123" s="2621"/>
      <c r="Q123" s="502"/>
    </row>
    <row r="124" spans="1:17" ht="15" thickTop="1">
      <c r="A124" s="597"/>
      <c r="B124" s="536" t="s">
        <v>2620</v>
      </c>
      <c r="C124" s="576" t="s">
        <v>2596</v>
      </c>
      <c r="D124" s="576" t="s">
        <v>2597</v>
      </c>
      <c r="E124" s="576" t="s">
        <v>2598</v>
      </c>
      <c r="F124" s="576" t="s">
        <v>2599</v>
      </c>
      <c r="G124" s="576" t="s">
        <v>2600</v>
      </c>
      <c r="H124" s="537"/>
      <c r="I124" s="537"/>
      <c r="J124" s="537"/>
      <c r="K124" s="538"/>
      <c r="L124" s="539"/>
      <c r="M124" s="540"/>
      <c r="N124" s="1147"/>
      <c r="O124" s="1147"/>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1"/>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2"/>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2"/>
      <c r="Q127" s="557"/>
    </row>
    <row r="128" spans="1:17" ht="15" thickTop="1">
      <c r="A128" s="597"/>
      <c r="B128" s="536">
        <f>B45</f>
        <v>111</v>
      </c>
      <c r="C128" s="552"/>
      <c r="D128" s="552"/>
      <c r="E128" s="552"/>
      <c r="F128" s="552"/>
      <c r="G128" s="581"/>
      <c r="H128" s="581"/>
      <c r="I128" s="581"/>
      <c r="J128" s="581"/>
      <c r="K128" s="582"/>
      <c r="L128" s="583"/>
      <c r="M128" s="584"/>
      <c r="N128" s="1147"/>
      <c r="O128" s="1147"/>
      <c r="P128" s="2621"/>
      <c r="Q128" s="502"/>
    </row>
    <row r="129" spans="1:17" ht="15.75" thickBot="1">
      <c r="A129" s="532"/>
      <c r="B129" s="541"/>
      <c r="C129" s="558"/>
      <c r="D129" s="558"/>
      <c r="E129" s="558"/>
      <c r="F129" s="558"/>
      <c r="G129" s="534"/>
      <c r="H129" s="534"/>
      <c r="I129" s="534"/>
      <c r="J129" s="534"/>
      <c r="K129" s="534"/>
      <c r="L129" s="534"/>
      <c r="M129" s="535"/>
      <c r="N129" s="1148"/>
      <c r="O129" s="1148"/>
      <c r="P129" s="2621"/>
      <c r="Q129" s="502"/>
    </row>
    <row r="130" spans="1:17" ht="15" thickTop="1">
      <c r="A130" s="597"/>
      <c r="B130" s="544">
        <f>B46</f>
        <v>111</v>
      </c>
      <c r="C130" s="552"/>
      <c r="D130" s="552"/>
      <c r="E130" s="552"/>
      <c r="F130" s="552"/>
      <c r="G130" s="585"/>
      <c r="H130" s="585"/>
      <c r="I130" s="585"/>
      <c r="J130" s="585"/>
      <c r="K130" s="521"/>
      <c r="L130" s="522"/>
      <c r="M130" s="588"/>
      <c r="N130" s="1147"/>
      <c r="O130" s="1147"/>
      <c r="P130" s="2621"/>
      <c r="Q130" s="502"/>
    </row>
    <row r="131" spans="1:17" ht="15.75" thickBot="1">
      <c r="A131" s="2627"/>
      <c r="B131" s="567"/>
      <c r="C131" s="568"/>
      <c r="D131" s="568"/>
      <c r="E131" s="568"/>
      <c r="F131" s="568"/>
      <c r="G131" s="589"/>
      <c r="H131" s="589"/>
      <c r="I131" s="589"/>
      <c r="J131" s="589"/>
      <c r="K131" s="589"/>
      <c r="L131" s="589"/>
      <c r="M131" s="590"/>
      <c r="N131" s="1148"/>
      <c r="O131" s="1148"/>
      <c r="P131" s="2621"/>
      <c r="Q131" s="502"/>
    </row>
    <row r="136" spans="1:17" ht="15" thickBot="1">
      <c r="B136" s="2628" t="s">
        <v>2621</v>
      </c>
    </row>
    <row r="137" spans="1:17" ht="15">
      <c r="B137" s="2629" t="s">
        <v>2622</v>
      </c>
      <c r="C137" s="2630"/>
      <c r="D137" s="2630"/>
      <c r="E137" s="2630"/>
      <c r="F137" s="2630"/>
      <c r="G137" s="2631"/>
      <c r="H137" s="2632"/>
      <c r="I137" s="2633" t="s">
        <v>2623</v>
      </c>
      <c r="J137" s="2630"/>
      <c r="K137" s="2634"/>
    </row>
    <row r="138" spans="1:17" ht="15">
      <c r="B138" s="2635"/>
      <c r="C138" s="144" t="s">
        <v>2624</v>
      </c>
      <c r="D138" s="144" t="s">
        <v>2625</v>
      </c>
      <c r="E138" s="2636" t="s">
        <v>2626</v>
      </c>
      <c r="F138" s="2637" t="s">
        <v>2627</v>
      </c>
      <c r="G138" s="144" t="s">
        <v>2625</v>
      </c>
      <c r="H138" s="145" t="s">
        <v>2626</v>
      </c>
      <c r="I138" s="2638"/>
      <c r="J138" s="144" t="s">
        <v>2628</v>
      </c>
      <c r="K138" s="145" t="s">
        <v>2629</v>
      </c>
    </row>
    <row r="139" spans="1:17" ht="15">
      <c r="B139" s="1079">
        <v>6</v>
      </c>
      <c r="C139" s="1080">
        <v>96</v>
      </c>
      <c r="D139" s="2639" t="s">
        <v>2630</v>
      </c>
      <c r="E139" s="1081">
        <v>100</v>
      </c>
      <c r="F139" s="1082">
        <v>102.5</v>
      </c>
      <c r="G139" s="2639" t="s">
        <v>2630</v>
      </c>
      <c r="H139" s="1083">
        <v>105</v>
      </c>
      <c r="I139" s="2640" t="s">
        <v>2631</v>
      </c>
      <c r="J139" s="1080">
        <v>20</v>
      </c>
      <c r="K139" s="1084">
        <f>C145/(J139-2)</f>
        <v>4.0555555555555553E-3</v>
      </c>
    </row>
    <row r="140" spans="1:17" ht="15">
      <c r="B140" s="1085">
        <v>5</v>
      </c>
      <c r="C140" s="1086">
        <v>100</v>
      </c>
      <c r="D140" s="1086"/>
      <c r="E140" s="1087"/>
      <c r="F140" s="1088">
        <v>102</v>
      </c>
      <c r="G140" s="1086"/>
      <c r="H140" s="1089"/>
      <c r="I140" s="2641" t="s">
        <v>2632</v>
      </c>
      <c r="J140" s="313">
        <f>ROUNDUP((J139-1)/2,0)</f>
        <v>10</v>
      </c>
      <c r="K140" s="1090">
        <v>100</v>
      </c>
    </row>
    <row r="141" spans="1:17" ht="15">
      <c r="B141" s="1085">
        <v>4</v>
      </c>
      <c r="C141" s="1086">
        <v>102</v>
      </c>
      <c r="D141" s="1086"/>
      <c r="E141" s="1087"/>
      <c r="F141" s="1088">
        <v>101.5</v>
      </c>
      <c r="G141" s="1086"/>
      <c r="H141" s="1089"/>
      <c r="I141" s="2641" t="s">
        <v>2633</v>
      </c>
      <c r="J141" s="313">
        <v>1</v>
      </c>
      <c r="K141" s="1091">
        <f>ROUND(100+(J141-J140)*K139*100,1)</f>
        <v>96.4</v>
      </c>
    </row>
    <row r="142" spans="1:17" ht="15">
      <c r="B142" s="1085">
        <v>3</v>
      </c>
      <c r="C142" s="1086">
        <v>103</v>
      </c>
      <c r="D142" s="1086"/>
      <c r="E142" s="1087"/>
      <c r="F142" s="1088">
        <v>101</v>
      </c>
      <c r="G142" s="1086"/>
      <c r="H142" s="1089"/>
      <c r="I142" s="2641" t="s">
        <v>2634</v>
      </c>
      <c r="J142" s="313">
        <f>J139</f>
        <v>20</v>
      </c>
      <c r="K142" s="1092">
        <v>95</v>
      </c>
    </row>
    <row r="143" spans="1:17" ht="15">
      <c r="B143" s="1085">
        <v>2</v>
      </c>
      <c r="C143" s="1086">
        <v>100</v>
      </c>
      <c r="D143" s="1086"/>
      <c r="E143" s="1087"/>
      <c r="F143" s="1088">
        <v>100.5</v>
      </c>
      <c r="G143" s="1086"/>
      <c r="H143" s="1089"/>
      <c r="I143" s="2641" t="s">
        <v>2635</v>
      </c>
      <c r="J143" s="1086">
        <v>15</v>
      </c>
      <c r="K143" s="1091">
        <f>ROUND(100+(J143-J140)*K139*100,1)</f>
        <v>102</v>
      </c>
    </row>
    <row r="144" spans="1:17" ht="15">
      <c r="B144" s="1085">
        <v>1</v>
      </c>
      <c r="C144" s="1086">
        <v>98</v>
      </c>
      <c r="D144" s="2642" t="s">
        <v>2636</v>
      </c>
      <c r="E144" s="1087">
        <v>102</v>
      </c>
      <c r="F144" s="1093">
        <v>100</v>
      </c>
      <c r="G144" s="2642" t="s">
        <v>2636</v>
      </c>
      <c r="H144" s="1089">
        <v>105</v>
      </c>
      <c r="I144" s="2641" t="s">
        <v>2635</v>
      </c>
      <c r="J144" s="1086">
        <v>18</v>
      </c>
      <c r="K144" s="1091">
        <f>ROUND(100+(J144-J140)*K139*100,1)</f>
        <v>103.2</v>
      </c>
    </row>
    <row r="145" spans="2:11" ht="15.75" thickBot="1">
      <c r="B145" s="2643" t="s">
        <v>2637</v>
      </c>
      <c r="C145" s="1094">
        <f>ROUND(MAX(C139:C144)/MIN(C139:C144)-1,3)</f>
        <v>7.2999999999999995E-2</v>
      </c>
      <c r="D145" s="1095"/>
      <c r="E145" s="1095"/>
      <c r="F145" s="2644" t="s">
        <v>2638</v>
      </c>
      <c r="G145" s="2645"/>
      <c r="H145" s="2646"/>
      <c r="I145" s="2647" t="s">
        <v>2635</v>
      </c>
      <c r="J145" s="1096">
        <v>8</v>
      </c>
      <c r="K145" s="1097">
        <f>ROUND(100+(J145-J140)*K139*100,1)</f>
        <v>99.2</v>
      </c>
    </row>
    <row r="147" spans="2:11">
      <c r="B147" s="2628" t="s">
        <v>2639</v>
      </c>
    </row>
    <row r="148" spans="2:11">
      <c r="B148" s="2628"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1613</v>
      </c>
    </row>
    <row r="2" spans="1:1">
      <c r="A2" s="1942"/>
    </row>
    <row r="3" spans="1:1" ht="18">
      <c r="A3" s="1943" t="str">
        <f>项目基本情况!B5&amp;"："</f>
        <v>北京绿城中交房地产开发有限公司：</v>
      </c>
    </row>
    <row r="4" spans="1:1" ht="36">
      <c r="A4" s="1944" t="str">
        <f>"受贵公司委托，我公司对"&amp;项目基本情况!S1&amp;"进行了预评估。"</f>
        <v>受贵公司委托，我公司对北京市门头沟区永定镇MC00-0017-0620地块出让国有建设用地使用权及在建建筑物房地产抵押价值进行了预评估。</v>
      </c>
    </row>
    <row r="5" spans="1:1" ht="18.75">
      <c r="A5" s="1945" t="s">
        <v>1614</v>
      </c>
    </row>
    <row r="6" spans="1:1" ht="18.75">
      <c r="A6" s="1946" t="s">
        <v>1615</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永定镇MC00-0017-0620地块出让国有建设用地使用权及在建建筑物房地产，为北京绿城中交房地产开发有限公司所有。根据《国有土地使用证》[]，估价对象（分摊）出让国有建设用地使用权面积为35880.09平方米，建筑面积为136408.82平方米。</v>
      </c>
    </row>
    <row r="8" spans="1:1" ht="57.75">
      <c r="A8" s="1947" t="s">
        <v>1616</v>
      </c>
    </row>
    <row r="9" spans="1:1" ht="18.75">
      <c r="A9" s="1946" t="s">
        <v>1617</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35880.09平方米，规划建筑面积为136408.82平方米。</v>
      </c>
    </row>
    <row r="11" spans="1:1" ht="76.5">
      <c r="A11" s="1947" t="s">
        <v>1618</v>
      </c>
    </row>
    <row r="12" spans="1:1" ht="18.75">
      <c r="A12" s="1945" t="s">
        <v>1619</v>
      </c>
    </row>
    <row r="13" spans="1:1" ht="38.25" customHeight="1">
      <c r="A13" s="194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9" t="s">
        <v>1620</v>
      </c>
    </row>
    <row r="15" spans="1:1" ht="18">
      <c r="A15" s="1950" t="str">
        <f>TEXT(项目基本情况!D3,"yyyy年m月d日;;")&amp;IF(项目基本情况!D3=项目基本情况!B3,"（评估专业人员实地查勘之日）","")</f>
        <v>2018年1月26日（评估专业人员实地查勘之日）</v>
      </c>
    </row>
    <row r="16" spans="1:1" ht="18.75">
      <c r="A16" s="1949" t="s">
        <v>1621</v>
      </c>
    </row>
    <row r="17" spans="1:1" ht="75">
      <c r="A17" s="1944" t="s">
        <v>1622</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1611</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1612</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2527</v>
      </c>
      <c r="B1" s="2576" t="s">
        <v>2641</v>
      </c>
      <c r="C1" s="1630" t="s">
        <v>2529</v>
      </c>
      <c r="D1" s="1617"/>
      <c r="E1" s="2648"/>
      <c r="F1" s="2578"/>
      <c r="G1" s="1627" t="s">
        <v>2642</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6" customFormat="1" ht="28.5" customHeight="1" thickTop="1">
      <c r="A2" s="1613" t="s">
        <v>2329</v>
      </c>
      <c r="B2" s="1413" t="e">
        <f ca="1">IF(C2="——",ROUND(C49*D3/10000,0),ROUND(C49*D3/10000,0)-D2)</f>
        <v>#DIV/0!</v>
      </c>
      <c r="C2" s="2580"/>
      <c r="D2" s="1360" t="e">
        <f ca="1">SUMIF(INDIRECT("'"&amp;F2&amp;"'"&amp;"!A:A"),"承租人权益价值",INDIRECT("'"&amp;F2&amp;"'"&amp;"!c:c"))</f>
        <v>#REF!</v>
      </c>
      <c r="E2" s="2581" t="s">
        <v>2330</v>
      </c>
      <c r="F2" s="2582"/>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6" customFormat="1" ht="28.5" customHeight="1" thickBot="1">
      <c r="A3" s="245" t="s">
        <v>2331</v>
      </c>
      <c r="B3" s="607" t="e">
        <f ca="1">IF(C2="——",C49,ROUND(B2*10000/D3,0))</f>
        <v>#DIV/0!</v>
      </c>
      <c r="C3" s="398" t="s">
        <v>2643</v>
      </c>
      <c r="D3" s="397">
        <f>IF(D1="",'数据-汇总表'!E3,SUMIF('数据-汇总表'!$C19:$C33,D1,'数据-汇总表'!$E19:$E33))</f>
        <v>136408.82</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9" t="s">
        <v>2644</v>
      </c>
      <c r="B4" s="400"/>
      <c r="C4" s="3178" t="s">
        <v>2645</v>
      </c>
      <c r="D4" s="3179"/>
      <c r="E4" s="3180" t="s">
        <v>2646</v>
      </c>
      <c r="F4" s="3181"/>
      <c r="G4" s="3178" t="s">
        <v>2647</v>
      </c>
      <c r="H4" s="3179"/>
      <c r="I4" s="3178" t="s">
        <v>2648</v>
      </c>
      <c r="J4" s="3179"/>
      <c r="K4" s="608" t="s">
        <v>2649</v>
      </c>
      <c r="L4" s="1125"/>
      <c r="M4" s="1126"/>
      <c r="N4" s="1126"/>
      <c r="O4" s="1126"/>
      <c r="P4" s="3182" t="s">
        <v>2650</v>
      </c>
      <c r="Q4" s="3183"/>
      <c r="R4" s="3168" t="s">
        <v>2646</v>
      </c>
      <c r="S4" s="3169"/>
      <c r="T4" s="3168" t="s">
        <v>2647</v>
      </c>
      <c r="U4" s="3169"/>
      <c r="V4" s="3190" t="s">
        <v>2648</v>
      </c>
      <c r="W4" s="3190"/>
      <c r="X4" s="1809"/>
      <c r="Y4" s="3168" t="s">
        <v>2650</v>
      </c>
      <c r="Z4" s="3169"/>
      <c r="AA4" s="3163" t="s">
        <v>2646</v>
      </c>
      <c r="AB4" s="3190" t="s">
        <v>2647</v>
      </c>
      <c r="AC4" s="3163" t="s">
        <v>2648</v>
      </c>
    </row>
    <row r="5" spans="1:29" ht="15">
      <c r="A5" s="402"/>
      <c r="B5" s="403"/>
      <c r="C5" s="3248" t="s">
        <v>2541</v>
      </c>
      <c r="D5" s="3174"/>
      <c r="E5" s="3246" t="s">
        <v>2542</v>
      </c>
      <c r="F5" s="3247"/>
      <c r="G5" s="3248" t="s">
        <v>2543</v>
      </c>
      <c r="H5" s="3174"/>
      <c r="I5" s="3248" t="s">
        <v>2544</v>
      </c>
      <c r="J5" s="3174"/>
      <c r="K5" s="608"/>
      <c r="L5" s="1125"/>
      <c r="M5" s="1126"/>
      <c r="N5" s="1126"/>
      <c r="O5" s="1126"/>
      <c r="P5" s="3184"/>
      <c r="Q5" s="3185"/>
      <c r="R5" s="3170"/>
      <c r="S5" s="3171"/>
      <c r="T5" s="3170"/>
      <c r="U5" s="3171"/>
      <c r="V5" s="3190"/>
      <c r="W5" s="3190"/>
      <c r="X5" s="1809"/>
      <c r="Y5" s="3170"/>
      <c r="Z5" s="3171"/>
      <c r="AA5" s="3164"/>
      <c r="AB5" s="3190"/>
      <c r="AC5" s="3164"/>
    </row>
    <row r="6" spans="1:29" ht="15.75" thickBot="1">
      <c r="A6" s="404"/>
      <c r="B6" s="405"/>
      <c r="C6" s="3249" t="s">
        <v>2545</v>
      </c>
      <c r="D6" s="3176"/>
      <c r="E6" s="3250" t="s">
        <v>2545</v>
      </c>
      <c r="F6" s="3251"/>
      <c r="G6" s="3249" t="s">
        <v>2545</v>
      </c>
      <c r="H6" s="3176"/>
      <c r="I6" s="3249" t="s">
        <v>2545</v>
      </c>
      <c r="J6" s="3176"/>
      <c r="K6" s="608" t="s">
        <v>2546</v>
      </c>
      <c r="L6" s="1125"/>
      <c r="M6" s="1126"/>
      <c r="N6" s="1126"/>
      <c r="O6" s="1126"/>
      <c r="P6" s="3186"/>
      <c r="Q6" s="3187"/>
      <c r="R6" s="3170"/>
      <c r="S6" s="3171"/>
      <c r="T6" s="3188"/>
      <c r="U6" s="3189"/>
      <c r="V6" s="3190"/>
      <c r="W6" s="3190"/>
      <c r="X6" s="1809"/>
      <c r="Y6" s="3188"/>
      <c r="Z6" s="3189"/>
      <c r="AA6" s="3165"/>
      <c r="AB6" s="3190"/>
      <c r="AC6" s="3165"/>
    </row>
    <row r="7" spans="1:29" s="116" customFormat="1" ht="15.75" thickBot="1">
      <c r="A7" s="406" t="s">
        <v>2547</v>
      </c>
      <c r="B7" s="407"/>
      <c r="C7" s="408">
        <f>'数据-取费表'!B2</f>
        <v>43126</v>
      </c>
      <c r="D7" s="409">
        <v>100</v>
      </c>
      <c r="E7" s="410"/>
      <c r="F7" s="411">
        <f>SUMIF(58:58,YEAR(E7)&amp;"-"&amp;MONTH(E7),59:59)</f>
        <v>0</v>
      </c>
      <c r="G7" s="410"/>
      <c r="H7" s="409">
        <f>SUMIF(58:58,YEAR(G7)&amp;"-"&amp;MONTH(G7),59:59)</f>
        <v>0</v>
      </c>
      <c r="I7" s="410"/>
      <c r="J7" s="409">
        <f>SUMIF(58:58,YEAR(I7)&amp;"-"&amp;MONTH(I7),59:59)</f>
        <v>0</v>
      </c>
      <c r="K7" s="609"/>
      <c r="L7" s="1127"/>
      <c r="M7" s="1128"/>
      <c r="N7" s="1128"/>
      <c r="O7" s="1128"/>
      <c r="P7" s="3166" t="s">
        <v>2548</v>
      </c>
      <c r="Q7" s="3191"/>
      <c r="R7" s="767" t="s">
        <v>17</v>
      </c>
      <c r="S7" s="768">
        <f t="shared" ref="S7:S15" si="0">F7</f>
        <v>0</v>
      </c>
      <c r="T7" s="767" t="s">
        <v>17</v>
      </c>
      <c r="U7" s="768">
        <f t="shared" ref="U7:U15" si="1">H7</f>
        <v>0</v>
      </c>
      <c r="V7" s="767" t="s">
        <v>17</v>
      </c>
      <c r="W7" s="768">
        <f t="shared" ref="W7:W15" si="2">J7</f>
        <v>0</v>
      </c>
      <c r="X7" s="769"/>
      <c r="Y7" s="3166" t="s">
        <v>2548</v>
      </c>
      <c r="Z7" s="3167"/>
      <c r="AA7" s="770" t="e">
        <f>D7/F7</f>
        <v>#DIV/0!</v>
      </c>
      <c r="AB7" s="770" t="e">
        <f>D7/H7</f>
        <v>#DIV/0!</v>
      </c>
      <c r="AC7" s="770" t="e">
        <f>D7/J7</f>
        <v>#DIV/0!</v>
      </c>
    </row>
    <row r="8" spans="1:29" s="116" customFormat="1" ht="15.75" thickBot="1">
      <c r="A8" s="406" t="s">
        <v>2549</v>
      </c>
      <c r="B8" s="407"/>
      <c r="C8" s="412" t="s">
        <v>2651</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166" t="s">
        <v>2551</v>
      </c>
      <c r="Q8" s="3167"/>
      <c r="R8" s="767" t="s">
        <v>17</v>
      </c>
      <c r="S8" s="768">
        <f t="shared" si="0"/>
        <v>0</v>
      </c>
      <c r="T8" s="767" t="s">
        <v>17</v>
      </c>
      <c r="U8" s="768">
        <f t="shared" si="1"/>
        <v>0</v>
      </c>
      <c r="V8" s="767" t="s">
        <v>17</v>
      </c>
      <c r="W8" s="768">
        <f t="shared" si="2"/>
        <v>0</v>
      </c>
      <c r="X8" s="769"/>
      <c r="Y8" s="3166" t="s">
        <v>2551</v>
      </c>
      <c r="Z8" s="3167"/>
      <c r="AA8" s="770" t="e">
        <f t="shared" ref="AA8:AA46" si="3">D8/F8</f>
        <v>#DIV/0!</v>
      </c>
      <c r="AB8" s="770" t="e">
        <f t="shared" ref="AB8:AB46" si="4">D8/H8</f>
        <v>#DIV/0!</v>
      </c>
      <c r="AC8" s="770" t="e">
        <f t="shared" ref="AC8:AC46" si="5">D8/J8</f>
        <v>#DIV/0!</v>
      </c>
    </row>
    <row r="9" spans="1:29" s="116" customFormat="1">
      <c r="A9" s="413" t="s">
        <v>2552</v>
      </c>
      <c r="B9" s="70" t="s">
        <v>2553</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201" t="s">
        <v>2554</v>
      </c>
      <c r="Q9" s="1791" t="str">
        <f t="shared" ref="Q9:Q15" si="6">B9</f>
        <v>用途</v>
      </c>
      <c r="R9" s="767" t="s">
        <v>17</v>
      </c>
      <c r="S9" s="768">
        <f t="shared" si="0"/>
        <v>100</v>
      </c>
      <c r="T9" s="767" t="s">
        <v>17</v>
      </c>
      <c r="U9" s="768">
        <f t="shared" si="1"/>
        <v>100</v>
      </c>
      <c r="V9" s="767" t="s">
        <v>17</v>
      </c>
      <c r="W9" s="768">
        <f t="shared" si="2"/>
        <v>100</v>
      </c>
      <c r="X9" s="769"/>
      <c r="Y9" s="3043" t="s">
        <v>2555</v>
      </c>
      <c r="Z9" s="54" t="str">
        <f t="shared" ref="Z9:Z15" si="7">Q9</f>
        <v>用途</v>
      </c>
      <c r="AA9" s="770">
        <f t="shared" si="3"/>
        <v>1</v>
      </c>
      <c r="AB9" s="770">
        <f t="shared" si="4"/>
        <v>1</v>
      </c>
      <c r="AC9" s="770">
        <f t="shared" si="5"/>
        <v>1</v>
      </c>
    </row>
    <row r="10" spans="1:29" s="425" customFormat="1" ht="27">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201"/>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201"/>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770" t="e">
        <f t="shared" si="5"/>
        <v>#N/A</v>
      </c>
    </row>
    <row r="12" spans="1:29" s="116" customFormat="1" ht="15">
      <c r="A12" s="429"/>
      <c r="B12" s="2593">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201"/>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201"/>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201"/>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770">
        <f t="shared" si="5"/>
        <v>1</v>
      </c>
    </row>
    <row r="15" spans="1:29" ht="42.75">
      <c r="A15" s="438" t="s">
        <v>2558</v>
      </c>
      <c r="B15" s="68" t="s">
        <v>2652</v>
      </c>
      <c r="C15" s="2596" t="str">
        <f>估价对象房地状况!C4</f>
        <v>估价对象零星分布商业，商业繁华度一般</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244" t="s">
        <v>2559</v>
      </c>
      <c r="Q15" s="1806" t="str">
        <f t="shared" si="6"/>
        <v>商业繁华度</v>
      </c>
      <c r="R15" s="771" t="s">
        <v>17</v>
      </c>
      <c r="S15" s="772">
        <f t="shared" si="0"/>
        <v>100</v>
      </c>
      <c r="T15" s="771" t="s">
        <v>17</v>
      </c>
      <c r="U15" s="772">
        <f t="shared" si="1"/>
        <v>100</v>
      </c>
      <c r="V15" s="771" t="s">
        <v>17</v>
      </c>
      <c r="W15" s="772">
        <f t="shared" si="2"/>
        <v>100</v>
      </c>
      <c r="X15" s="1809"/>
      <c r="Y15" s="3192" t="s">
        <v>2559</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5"/>
      <c r="M16" s="1126"/>
      <c r="N16" s="1126"/>
      <c r="O16" s="1126"/>
      <c r="P16" s="3245"/>
      <c r="Q16" s="1806"/>
      <c r="R16" s="771"/>
      <c r="S16" s="772"/>
      <c r="T16" s="771"/>
      <c r="U16" s="772"/>
      <c r="V16" s="771"/>
      <c r="W16" s="772"/>
      <c r="X16" s="1809"/>
      <c r="Y16" s="3193"/>
      <c r="Z16" s="1810"/>
      <c r="AA16" s="1807">
        <v>1</v>
      </c>
      <c r="AB16" s="1807">
        <v>1</v>
      </c>
      <c r="AC16" s="1807">
        <v>1</v>
      </c>
    </row>
    <row r="17" spans="1:29" ht="57">
      <c r="A17" s="426"/>
      <c r="B17" s="449" t="s">
        <v>2099</v>
      </c>
      <c r="C17" s="2600" t="str">
        <f>估价对象房地状况!C6</f>
        <v>周边有941、981路等公交线路经过，交通便捷度一般</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245"/>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1807">
        <f t="shared" si="5"/>
        <v>1</v>
      </c>
    </row>
    <row r="18" spans="1:29" ht="15">
      <c r="A18" s="426"/>
      <c r="B18" s="454"/>
      <c r="C18" s="2601"/>
      <c r="D18" s="448"/>
      <c r="E18" s="2603"/>
      <c r="F18" s="451"/>
      <c r="G18" s="2602"/>
      <c r="H18" s="446"/>
      <c r="I18" s="2603"/>
      <c r="J18" s="446"/>
      <c r="K18" s="613"/>
      <c r="L18" s="1135"/>
      <c r="M18" s="1126"/>
      <c r="N18" s="1126"/>
      <c r="O18" s="1126"/>
      <c r="P18" s="3245"/>
      <c r="Q18" s="1806"/>
      <c r="R18" s="771"/>
      <c r="S18" s="772"/>
      <c r="T18" s="771"/>
      <c r="U18" s="772"/>
      <c r="V18" s="771"/>
      <c r="W18" s="772"/>
      <c r="X18" s="1809"/>
      <c r="Y18" s="3193"/>
      <c r="Z18" s="1810"/>
      <c r="AA18" s="1807">
        <v>1</v>
      </c>
      <c r="AB18" s="1807">
        <v>1</v>
      </c>
      <c r="AC18" s="1807">
        <v>1</v>
      </c>
    </row>
    <row r="19" spans="1:29" ht="42.75">
      <c r="A19" s="426"/>
      <c r="B19" s="449" t="s">
        <v>2653</v>
      </c>
      <c r="C19" s="2600" t="str">
        <f>估价对象房地状况!C7</f>
        <v>估价对象所在区域公共配套设施齐备较差</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245"/>
      <c r="Q19" s="1806" t="str">
        <f>B19</f>
        <v>公共配套设施</v>
      </c>
      <c r="R19" s="771" t="s">
        <v>17</v>
      </c>
      <c r="S19" s="772">
        <f>F19</f>
        <v>100</v>
      </c>
      <c r="T19" s="771" t="s">
        <v>17</v>
      </c>
      <c r="U19" s="772">
        <f>H19</f>
        <v>100</v>
      </c>
      <c r="V19" s="771" t="s">
        <v>17</v>
      </c>
      <c r="W19" s="772">
        <f>J19</f>
        <v>100</v>
      </c>
      <c r="X19" s="1809"/>
      <c r="Y19" s="3193"/>
      <c r="Z19" s="1810" t="str">
        <f>Q19</f>
        <v>公共配套设施</v>
      </c>
      <c r="AA19" s="1807">
        <f t="shared" si="3"/>
        <v>1</v>
      </c>
      <c r="AB19" s="1807">
        <f t="shared" si="4"/>
        <v>1</v>
      </c>
      <c r="AC19" s="1807">
        <f t="shared" si="5"/>
        <v>1</v>
      </c>
    </row>
    <row r="20" spans="1:29" ht="15">
      <c r="A20" s="426"/>
      <c r="B20" s="454"/>
      <c r="C20" s="445"/>
      <c r="D20" s="446"/>
      <c r="E20" s="2598"/>
      <c r="F20" s="447"/>
      <c r="G20" s="2597"/>
      <c r="H20" s="446"/>
      <c r="I20" s="2598"/>
      <c r="J20" s="446"/>
      <c r="K20" s="613"/>
      <c r="L20" s="1135"/>
      <c r="M20" s="1126"/>
      <c r="N20" s="1126"/>
      <c r="O20" s="1126"/>
      <c r="P20" s="3245"/>
      <c r="Q20" s="1806"/>
      <c r="R20" s="771"/>
      <c r="S20" s="772"/>
      <c r="T20" s="771"/>
      <c r="U20" s="772"/>
      <c r="V20" s="771"/>
      <c r="W20" s="772"/>
      <c r="X20" s="1809"/>
      <c r="Y20" s="3193"/>
      <c r="Z20" s="1810"/>
      <c r="AA20" s="1807">
        <v>1</v>
      </c>
      <c r="AB20" s="1807">
        <v>1</v>
      </c>
      <c r="AC20" s="1807">
        <v>1</v>
      </c>
    </row>
    <row r="21" spans="1:29" ht="15">
      <c r="A21" s="426"/>
      <c r="B21" s="1379" t="s">
        <v>2654</v>
      </c>
      <c r="C21" s="2600" t="str">
        <f>估价对象房地状况!C8</f>
        <v>基础设施为七通</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245"/>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1807">
        <f t="shared" ref="AC21" si="10">D21/J21</f>
        <v>1</v>
      </c>
    </row>
    <row r="22" spans="1:29" ht="15">
      <c r="A22" s="426"/>
      <c r="B22" s="1379"/>
      <c r="C22" s="2601"/>
      <c r="D22" s="446"/>
      <c r="E22" s="445"/>
      <c r="F22" s="447"/>
      <c r="G22" s="445"/>
      <c r="H22" s="446"/>
      <c r="I22" s="445"/>
      <c r="J22" s="446"/>
      <c r="K22" s="1378"/>
      <c r="L22" s="1135"/>
      <c r="M22" s="1126"/>
      <c r="N22" s="1126"/>
      <c r="O22" s="1126"/>
      <c r="P22" s="3245"/>
      <c r="Q22" s="1806"/>
      <c r="R22" s="771"/>
      <c r="S22" s="772"/>
      <c r="T22" s="771"/>
      <c r="U22" s="772"/>
      <c r="V22" s="771"/>
      <c r="W22" s="772"/>
      <c r="X22" s="1809"/>
      <c r="Y22" s="3193"/>
      <c r="Z22" s="1810"/>
      <c r="AA22" s="1807">
        <v>1</v>
      </c>
      <c r="AB22" s="1807">
        <v>1</v>
      </c>
      <c r="AC22" s="1807">
        <v>1</v>
      </c>
    </row>
    <row r="23" spans="1:29" ht="85.5">
      <c r="A23" s="426"/>
      <c r="B23" s="449" t="s">
        <v>2104</v>
      </c>
      <c r="C23" s="2655" t="str">
        <f>估价对象房地状况!C9</f>
        <v>周边无大学等教育配套设施，有石门营文化公园等绿化设施，自然及人文环境一般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245"/>
      <c r="Q23" s="1806" t="str">
        <f>B23</f>
        <v>自然及人文环境</v>
      </c>
      <c r="R23" s="771" t="s">
        <v>17</v>
      </c>
      <c r="S23" s="772">
        <f>F23</f>
        <v>100</v>
      </c>
      <c r="T23" s="771" t="s">
        <v>17</v>
      </c>
      <c r="U23" s="772">
        <f>H23</f>
        <v>100</v>
      </c>
      <c r="V23" s="771" t="s">
        <v>17</v>
      </c>
      <c r="W23" s="772">
        <f>J23</f>
        <v>100</v>
      </c>
      <c r="X23" s="1809"/>
      <c r="Y23" s="3193"/>
      <c r="Z23" s="1810" t="str">
        <f>Q23</f>
        <v>自然及人文环境</v>
      </c>
      <c r="AA23" s="1807">
        <f t="shared" si="3"/>
        <v>1</v>
      </c>
      <c r="AB23" s="1807">
        <f t="shared" si="4"/>
        <v>1</v>
      </c>
      <c r="AC23" s="1807">
        <f t="shared" si="5"/>
        <v>1</v>
      </c>
    </row>
    <row r="24" spans="1:29" ht="15">
      <c r="A24" s="426"/>
      <c r="B24" s="454"/>
      <c r="C24" s="445"/>
      <c r="D24" s="446"/>
      <c r="E24" s="2598"/>
      <c r="F24" s="447"/>
      <c r="G24" s="2597"/>
      <c r="H24" s="446"/>
      <c r="I24" s="2598"/>
      <c r="J24" s="446"/>
      <c r="K24" s="613"/>
      <c r="L24" s="1135"/>
      <c r="M24" s="1126"/>
      <c r="N24" s="1126"/>
      <c r="O24" s="1126"/>
      <c r="P24" s="3245"/>
      <c r="Q24" s="1806"/>
      <c r="R24" s="771"/>
      <c r="S24" s="772"/>
      <c r="T24" s="771"/>
      <c r="U24" s="772"/>
      <c r="V24" s="771"/>
      <c r="W24" s="772"/>
      <c r="X24" s="1809"/>
      <c r="Y24" s="3193"/>
      <c r="Z24" s="1810"/>
      <c r="AA24" s="1807">
        <v>1</v>
      </c>
      <c r="AB24" s="1807">
        <v>1</v>
      </c>
      <c r="AC24" s="1807">
        <v>1</v>
      </c>
    </row>
    <row r="25" spans="1:29" ht="15">
      <c r="A25" s="426"/>
      <c r="B25" s="420" t="s">
        <v>2655</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245"/>
      <c r="Q25" s="1806" t="str">
        <f t="shared" ref="Q25:Q46" si="11">B25</f>
        <v>临街状况</v>
      </c>
      <c r="R25" s="771" t="s">
        <v>17</v>
      </c>
      <c r="S25" s="772">
        <f>F25</f>
        <v>100</v>
      </c>
      <c r="T25" s="771" t="s">
        <v>17</v>
      </c>
      <c r="U25" s="772">
        <f>H25</f>
        <v>100</v>
      </c>
      <c r="V25" s="771" t="s">
        <v>17</v>
      </c>
      <c r="W25" s="772">
        <f>J25</f>
        <v>100</v>
      </c>
      <c r="X25" s="1809"/>
      <c r="Y25" s="3193"/>
      <c r="Z25" s="1810" t="str">
        <f>Q25</f>
        <v>临街状况</v>
      </c>
      <c r="AA25" s="1807">
        <f t="shared" si="3"/>
        <v>1</v>
      </c>
      <c r="AB25" s="1807">
        <f t="shared" si="4"/>
        <v>1</v>
      </c>
      <c r="AC25" s="1807">
        <f t="shared" si="5"/>
        <v>1</v>
      </c>
    </row>
    <row r="26" spans="1:29" ht="15">
      <c r="A26" s="426"/>
      <c r="B26" s="1381" t="s">
        <v>2656</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245"/>
      <c r="Q26" s="1806" t="str">
        <f t="shared" si="11"/>
        <v>平面位置/可视性</v>
      </c>
      <c r="R26" s="771" t="s">
        <v>17</v>
      </c>
      <c r="S26" s="772">
        <f>F26</f>
        <v>100</v>
      </c>
      <c r="T26" s="771" t="s">
        <v>17</v>
      </c>
      <c r="U26" s="772">
        <f>H26</f>
        <v>100</v>
      </c>
      <c r="V26" s="771" t="s">
        <v>17</v>
      </c>
      <c r="W26" s="772">
        <f>J26</f>
        <v>100</v>
      </c>
      <c r="X26" s="1809"/>
      <c r="Y26" s="3193"/>
      <c r="Z26" s="1810" t="str">
        <f>Q26</f>
        <v>平面位置/可视性</v>
      </c>
      <c r="AA26" s="1807">
        <f t="shared" si="3"/>
        <v>1</v>
      </c>
      <c r="AB26" s="1807">
        <f t="shared" si="4"/>
        <v>1</v>
      </c>
      <c r="AC26" s="1807">
        <f t="shared" si="5"/>
        <v>1</v>
      </c>
    </row>
    <row r="27" spans="1:29" s="116" customFormat="1" ht="15">
      <c r="A27" s="429"/>
      <c r="B27" s="449" t="s">
        <v>2657</v>
      </c>
      <c r="C27" s="2656"/>
      <c r="D27" s="460">
        <v>100</v>
      </c>
      <c r="E27" s="2656"/>
      <c r="F27" s="462">
        <f>SUMIF(90:90,E27,91:91)-SUMIF(90:90,C27,91:91)+100</f>
        <v>100</v>
      </c>
      <c r="G27" s="2656"/>
      <c r="H27" s="460">
        <f>SUMIF(90:90,G27,91:91)-SUMIF(90:90,C27,91:91)+100</f>
        <v>100</v>
      </c>
      <c r="I27" s="2656"/>
      <c r="J27" s="460">
        <f>SUMIF(90:90,I27,91:91)-SUMIF(90:90,C27,91:91)+100</f>
        <v>100</v>
      </c>
      <c r="K27" s="610"/>
      <c r="L27" s="1127"/>
      <c r="M27" s="1128"/>
      <c r="N27" s="1128"/>
      <c r="O27" s="1128"/>
      <c r="P27" s="3245"/>
      <c r="Q27" s="1791" t="str">
        <f t="shared" si="11"/>
        <v>人流量</v>
      </c>
      <c r="R27" s="767" t="s">
        <v>17</v>
      </c>
      <c r="S27" s="768">
        <f>F27</f>
        <v>100</v>
      </c>
      <c r="T27" s="767" t="s">
        <v>17</v>
      </c>
      <c r="U27" s="768">
        <f>H27</f>
        <v>100</v>
      </c>
      <c r="V27" s="767" t="s">
        <v>17</v>
      </c>
      <c r="W27" s="768">
        <f>J27</f>
        <v>100</v>
      </c>
      <c r="X27" s="769"/>
      <c r="Y27" s="3193"/>
      <c r="Z27" s="54" t="str">
        <f>Q27</f>
        <v>人流量</v>
      </c>
      <c r="AA27" s="1807">
        <f>D27/F27</f>
        <v>1</v>
      </c>
      <c r="AB27" s="1807">
        <f>D27/H27</f>
        <v>1</v>
      </c>
      <c r="AC27" s="1807">
        <f>D27/J27</f>
        <v>1</v>
      </c>
    </row>
    <row r="28" spans="1:29" ht="15">
      <c r="A28" s="426"/>
      <c r="B28" s="420" t="s">
        <v>2658</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245"/>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193"/>
      <c r="Z28" s="1810" t="str">
        <f t="shared" ref="Z28:Z46" si="15">Q28</f>
        <v>楼层</v>
      </c>
      <c r="AA28" s="1807">
        <f t="shared" si="3"/>
        <v>1</v>
      </c>
      <c r="AB28" s="1807">
        <f t="shared" si="4"/>
        <v>1</v>
      </c>
      <c r="AC28" s="1807">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245"/>
      <c r="Q29" s="1806">
        <f t="shared" si="11"/>
        <v>111</v>
      </c>
      <c r="R29" s="771" t="s">
        <v>17</v>
      </c>
      <c r="S29" s="772">
        <f t="shared" si="12"/>
        <v>100</v>
      </c>
      <c r="T29" s="771" t="s">
        <v>17</v>
      </c>
      <c r="U29" s="772">
        <f t="shared" si="13"/>
        <v>100</v>
      </c>
      <c r="V29" s="771" t="s">
        <v>17</v>
      </c>
      <c r="W29" s="772">
        <f t="shared" si="14"/>
        <v>100</v>
      </c>
      <c r="X29" s="1809"/>
      <c r="Y29" s="3193"/>
      <c r="Z29" s="1810">
        <f t="shared" si="15"/>
        <v>111</v>
      </c>
      <c r="AA29" s="1807">
        <f t="shared" si="3"/>
        <v>1</v>
      </c>
      <c r="AB29" s="1807">
        <f t="shared" si="4"/>
        <v>1</v>
      </c>
      <c r="AC29" s="1807">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245"/>
      <c r="Q30" s="1806">
        <f t="shared" si="11"/>
        <v>111</v>
      </c>
      <c r="R30" s="771" t="s">
        <v>17</v>
      </c>
      <c r="S30" s="772">
        <f t="shared" si="12"/>
        <v>100</v>
      </c>
      <c r="T30" s="771" t="s">
        <v>17</v>
      </c>
      <c r="U30" s="772">
        <f t="shared" si="13"/>
        <v>100</v>
      </c>
      <c r="V30" s="771" t="s">
        <v>17</v>
      </c>
      <c r="W30" s="772">
        <f t="shared" si="14"/>
        <v>100</v>
      </c>
      <c r="X30" s="1809"/>
      <c r="Y30" s="3193"/>
      <c r="Z30" s="1810">
        <f t="shared" si="15"/>
        <v>111</v>
      </c>
      <c r="AA30" s="1807">
        <f t="shared" si="3"/>
        <v>1</v>
      </c>
      <c r="AB30" s="1807">
        <f t="shared" si="4"/>
        <v>1</v>
      </c>
      <c r="AC30" s="1807">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245"/>
      <c r="Q31" s="1806">
        <f t="shared" si="11"/>
        <v>111</v>
      </c>
      <c r="R31" s="771" t="s">
        <v>17</v>
      </c>
      <c r="S31" s="772">
        <f t="shared" si="12"/>
        <v>100</v>
      </c>
      <c r="T31" s="771" t="s">
        <v>17</v>
      </c>
      <c r="U31" s="772">
        <f t="shared" si="13"/>
        <v>100</v>
      </c>
      <c r="V31" s="771" t="s">
        <v>17</v>
      </c>
      <c r="W31" s="772">
        <f t="shared" si="14"/>
        <v>100</v>
      </c>
      <c r="X31" s="1809"/>
      <c r="Y31" s="3193"/>
      <c r="Z31" s="1810">
        <f t="shared" si="15"/>
        <v>111</v>
      </c>
      <c r="AA31" s="1807">
        <f t="shared" si="3"/>
        <v>1</v>
      </c>
      <c r="AB31" s="1807">
        <f t="shared" si="4"/>
        <v>1</v>
      </c>
      <c r="AC31" s="1807">
        <f t="shared" si="5"/>
        <v>1</v>
      </c>
    </row>
    <row r="32" spans="1:29" ht="15">
      <c r="A32" s="438" t="s">
        <v>2562</v>
      </c>
      <c r="B32" s="70" t="s">
        <v>2659</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5"/>
      <c r="M32" s="1126"/>
      <c r="N32" s="1126"/>
      <c r="O32" s="1126"/>
      <c r="P32" s="3240" t="s">
        <v>2564</v>
      </c>
      <c r="Q32" s="1806" t="str">
        <f t="shared" si="11"/>
        <v>商业类型</v>
      </c>
      <c r="R32" s="771" t="s">
        <v>17</v>
      </c>
      <c r="S32" s="772">
        <f t="shared" si="12"/>
        <v>100</v>
      </c>
      <c r="T32" s="771" t="s">
        <v>17</v>
      </c>
      <c r="U32" s="772">
        <f t="shared" si="13"/>
        <v>100</v>
      </c>
      <c r="V32" s="771" t="s">
        <v>17</v>
      </c>
      <c r="W32" s="772">
        <f t="shared" si="14"/>
        <v>100</v>
      </c>
      <c r="X32" s="1809"/>
      <c r="Y32" s="3195" t="s">
        <v>2564</v>
      </c>
      <c r="Z32" s="1810" t="str">
        <f t="shared" si="15"/>
        <v>商业类型</v>
      </c>
      <c r="AA32" s="1807">
        <f t="shared" si="3"/>
        <v>1</v>
      </c>
      <c r="AB32" s="1807">
        <f t="shared" si="4"/>
        <v>1</v>
      </c>
      <c r="AC32" s="1807">
        <f t="shared" si="5"/>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241"/>
      <c r="Q33" s="773" t="str">
        <f t="shared" si="11"/>
        <v>项目建筑规模</v>
      </c>
      <c r="R33" s="774" t="s">
        <v>17</v>
      </c>
      <c r="S33" s="775" t="e">
        <f t="shared" si="12"/>
        <v>#N/A</v>
      </c>
      <c r="T33" s="774" t="s">
        <v>17</v>
      </c>
      <c r="U33" s="775" t="e">
        <f t="shared" si="13"/>
        <v>#N/A</v>
      </c>
      <c r="V33" s="774" t="s">
        <v>17</v>
      </c>
      <c r="W33" s="775" t="e">
        <f t="shared" si="14"/>
        <v>#N/A</v>
      </c>
      <c r="X33" s="776"/>
      <c r="Y33" s="3195"/>
      <c r="Z33" s="777" t="str">
        <f t="shared" si="15"/>
        <v>项目建筑规模</v>
      </c>
      <c r="AA33" s="1807" t="e">
        <f t="shared" si="3"/>
        <v>#N/A</v>
      </c>
      <c r="AB33" s="1807" t="e">
        <f t="shared" si="4"/>
        <v>#N/A</v>
      </c>
      <c r="AC33" s="1807" t="e">
        <f t="shared" si="5"/>
        <v>#N/A</v>
      </c>
    </row>
    <row r="34" spans="1:29" ht="15">
      <c r="A34" s="470"/>
      <c r="B34" s="420" t="s">
        <v>2566</v>
      </c>
      <c r="C34" s="2611"/>
      <c r="D34" s="433">
        <v>100</v>
      </c>
      <c r="E34" s="2611"/>
      <c r="F34" s="459">
        <f>SUMIF(105:105,E34,106:106)-SUMIF(105:105,C34,106:106)+100</f>
        <v>100</v>
      </c>
      <c r="G34" s="2611"/>
      <c r="H34" s="433">
        <f>SUMIF(105:105,G34,106:106)-SUMIF(105:105,C34,106:106)+100</f>
        <v>100</v>
      </c>
      <c r="I34" s="2611"/>
      <c r="J34" s="433">
        <f>SUMIF(105:105,I34,106:106)-SUMIF(105:105,C34,106:106)+100</f>
        <v>100</v>
      </c>
      <c r="K34" s="610"/>
      <c r="L34" s="1135"/>
      <c r="M34" s="1126"/>
      <c r="N34" s="1126"/>
      <c r="O34" s="1126"/>
      <c r="P34" s="3241"/>
      <c r="Q34" s="1806" t="str">
        <f t="shared" si="11"/>
        <v>建筑结构</v>
      </c>
      <c r="R34" s="771" t="s">
        <v>17</v>
      </c>
      <c r="S34" s="772">
        <f t="shared" si="12"/>
        <v>100</v>
      </c>
      <c r="T34" s="771" t="s">
        <v>17</v>
      </c>
      <c r="U34" s="772">
        <f t="shared" si="13"/>
        <v>100</v>
      </c>
      <c r="V34" s="771" t="s">
        <v>17</v>
      </c>
      <c r="W34" s="772">
        <f t="shared" si="14"/>
        <v>100</v>
      </c>
      <c r="X34" s="1809"/>
      <c r="Y34" s="3195"/>
      <c r="Z34" s="1810" t="str">
        <f t="shared" si="15"/>
        <v>建筑结构</v>
      </c>
      <c r="AA34" s="1807">
        <f t="shared" si="3"/>
        <v>1</v>
      </c>
      <c r="AB34" s="1807">
        <f t="shared" si="4"/>
        <v>1</v>
      </c>
      <c r="AC34" s="1807">
        <f t="shared" si="5"/>
        <v>1</v>
      </c>
    </row>
    <row r="35" spans="1:29" ht="15">
      <c r="A35" s="470"/>
      <c r="B35" s="420" t="s">
        <v>2660</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5"/>
      <c r="M35" s="1126"/>
      <c r="N35" s="1126"/>
      <c r="O35" s="1126"/>
      <c r="P35" s="3241"/>
      <c r="Q35" s="1806" t="str">
        <f t="shared" si="11"/>
        <v>公共部分装修</v>
      </c>
      <c r="R35" s="771" t="s">
        <v>17</v>
      </c>
      <c r="S35" s="772">
        <f t="shared" si="12"/>
        <v>100</v>
      </c>
      <c r="T35" s="771" t="s">
        <v>17</v>
      </c>
      <c r="U35" s="772">
        <f t="shared" si="13"/>
        <v>100</v>
      </c>
      <c r="V35" s="771" t="s">
        <v>17</v>
      </c>
      <c r="W35" s="772">
        <f t="shared" si="14"/>
        <v>100</v>
      </c>
      <c r="X35" s="1809"/>
      <c r="Y35" s="3195"/>
      <c r="Z35" s="1810" t="str">
        <f t="shared" si="15"/>
        <v>公共部分装修</v>
      </c>
      <c r="AA35" s="1807">
        <f t="shared" si="3"/>
        <v>1</v>
      </c>
      <c r="AB35" s="1807">
        <f t="shared" si="4"/>
        <v>1</v>
      </c>
      <c r="AC35" s="1807">
        <f t="shared" si="5"/>
        <v>1</v>
      </c>
    </row>
    <row r="36" spans="1:29" ht="15">
      <c r="A36" s="470"/>
      <c r="B36" s="420" t="s">
        <v>2661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241"/>
      <c r="Q36" s="1806" t="str">
        <f t="shared" si="11"/>
        <v>成新度</v>
      </c>
      <c r="R36" s="771" t="s">
        <v>17</v>
      </c>
      <c r="S36" s="772" t="e">
        <f t="shared" si="12"/>
        <v>#N/A</v>
      </c>
      <c r="T36" s="771" t="s">
        <v>17</v>
      </c>
      <c r="U36" s="772" t="e">
        <f t="shared" si="13"/>
        <v>#N/A</v>
      </c>
      <c r="V36" s="771" t="s">
        <v>17</v>
      </c>
      <c r="W36" s="772" t="e">
        <f t="shared" si="14"/>
        <v>#N/A</v>
      </c>
      <c r="X36" s="1809"/>
      <c r="Y36" s="3195"/>
      <c r="Z36" s="1810" t="str">
        <f t="shared" si="15"/>
        <v>成新度</v>
      </c>
      <c r="AA36" s="1807" t="e">
        <f t="shared" si="3"/>
        <v>#N/A</v>
      </c>
      <c r="AB36" s="1807" t="e">
        <f t="shared" si="4"/>
        <v>#N/A</v>
      </c>
      <c r="AC36" s="1807" t="e">
        <f t="shared" si="5"/>
        <v>#N/A</v>
      </c>
    </row>
    <row r="37" spans="1:29" s="116" customFormat="1" ht="15">
      <c r="A37" s="471"/>
      <c r="B37" s="420" t="s">
        <v>2662</v>
      </c>
      <c r="C37" s="2606"/>
      <c r="D37" s="134">
        <v>100</v>
      </c>
      <c r="E37" s="2606"/>
      <c r="F37" s="459">
        <f>SUMIF(112:112,E37,113:113)-SUMIF(112:112,C37,113:113)+100</f>
        <v>100</v>
      </c>
      <c r="G37" s="2606"/>
      <c r="H37" s="433">
        <f>SUMIF(112:112,G37,113:113)-SUMIF(112:112,C37,113:113)+100</f>
        <v>100</v>
      </c>
      <c r="I37" s="2606"/>
      <c r="J37" s="433">
        <f>SUMIF(112:112,I37,113:113)-SUMIF(112:112,C37,113:113)+100</f>
        <v>100</v>
      </c>
      <c r="K37" s="610"/>
      <c r="L37" s="1127"/>
      <c r="M37" s="1128"/>
      <c r="N37" s="1128"/>
      <c r="O37" s="1128"/>
      <c r="P37" s="3241"/>
      <c r="Q37" s="1791" t="str">
        <f t="shared" si="11"/>
        <v>市政基础设施</v>
      </c>
      <c r="R37" s="767" t="s">
        <v>17</v>
      </c>
      <c r="S37" s="768">
        <f t="shared" si="12"/>
        <v>100</v>
      </c>
      <c r="T37" s="767" t="s">
        <v>17</v>
      </c>
      <c r="U37" s="768">
        <f t="shared" si="13"/>
        <v>100</v>
      </c>
      <c r="V37" s="767" t="s">
        <v>17</v>
      </c>
      <c r="W37" s="768">
        <f t="shared" si="14"/>
        <v>100</v>
      </c>
      <c r="X37" s="769"/>
      <c r="Y37" s="3195"/>
      <c r="Z37" s="54" t="str">
        <f t="shared" si="15"/>
        <v>市政基础设施</v>
      </c>
      <c r="AA37" s="770">
        <f t="shared" si="3"/>
        <v>1</v>
      </c>
      <c r="AB37" s="770">
        <f t="shared" si="4"/>
        <v>1</v>
      </c>
      <c r="AC37" s="770">
        <f t="shared" si="5"/>
        <v>1</v>
      </c>
    </row>
    <row r="38" spans="1:29" ht="15">
      <c r="A38" s="470"/>
      <c r="B38" s="420" t="s">
        <v>2663</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5"/>
      <c r="M38" s="1126"/>
      <c r="N38" s="1126"/>
      <c r="O38" s="1126"/>
      <c r="P38" s="3241" t="s">
        <v>2564</v>
      </c>
      <c r="Q38" s="1806" t="str">
        <f t="shared" si="11"/>
        <v>业态</v>
      </c>
      <c r="R38" s="771" t="s">
        <v>17</v>
      </c>
      <c r="S38" s="772">
        <f t="shared" si="12"/>
        <v>100</v>
      </c>
      <c r="T38" s="771" t="s">
        <v>17</v>
      </c>
      <c r="U38" s="772">
        <f t="shared" si="13"/>
        <v>100</v>
      </c>
      <c r="V38" s="771" t="s">
        <v>17</v>
      </c>
      <c r="W38" s="772">
        <f t="shared" si="14"/>
        <v>100</v>
      </c>
      <c r="X38" s="1809"/>
      <c r="Y38" s="3195" t="s">
        <v>2564</v>
      </c>
      <c r="Z38" s="1810" t="str">
        <f t="shared" si="15"/>
        <v>业态</v>
      </c>
      <c r="AA38" s="1807">
        <f t="shared" si="3"/>
        <v>1</v>
      </c>
      <c r="AB38" s="1807">
        <f t="shared" si="4"/>
        <v>1</v>
      </c>
      <c r="AC38" s="1807">
        <f t="shared" si="5"/>
        <v>1</v>
      </c>
    </row>
    <row r="39" spans="1:29" ht="15">
      <c r="A39" s="470"/>
      <c r="B39" s="420" t="s">
        <v>2664</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5"/>
      <c r="M39" s="1126"/>
      <c r="N39" s="1126"/>
      <c r="O39" s="1126"/>
      <c r="P39" s="3241"/>
      <c r="Q39" s="1806" t="str">
        <f t="shared" si="11"/>
        <v>层高</v>
      </c>
      <c r="R39" s="771" t="s">
        <v>17</v>
      </c>
      <c r="S39" s="772">
        <f t="shared" si="12"/>
        <v>100</v>
      </c>
      <c r="T39" s="771" t="s">
        <v>17</v>
      </c>
      <c r="U39" s="772">
        <f t="shared" si="13"/>
        <v>100</v>
      </c>
      <c r="V39" s="771" t="s">
        <v>17</v>
      </c>
      <c r="W39" s="772">
        <f t="shared" si="14"/>
        <v>100</v>
      </c>
      <c r="X39" s="1809"/>
      <c r="Y39" s="3195"/>
      <c r="Z39" s="1810" t="str">
        <f t="shared" si="15"/>
        <v>层高</v>
      </c>
      <c r="AA39" s="1807">
        <f t="shared" si="3"/>
        <v>1</v>
      </c>
      <c r="AB39" s="1807">
        <f t="shared" si="4"/>
        <v>1</v>
      </c>
      <c r="AC39" s="1807">
        <f t="shared" si="5"/>
        <v>1</v>
      </c>
    </row>
    <row r="40" spans="1:29" ht="15">
      <c r="A40" s="470"/>
      <c r="B40" s="420" t="s">
        <v>2665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241"/>
      <c r="Q40" s="1806" t="str">
        <f t="shared" si="11"/>
        <v>单套建筑面积</v>
      </c>
      <c r="R40" s="771" t="s">
        <v>17</v>
      </c>
      <c r="S40" s="772">
        <f t="shared" si="12"/>
        <v>100</v>
      </c>
      <c r="T40" s="771" t="s">
        <v>17</v>
      </c>
      <c r="U40" s="772">
        <f t="shared" si="13"/>
        <v>100</v>
      </c>
      <c r="V40" s="771" t="s">
        <v>17</v>
      </c>
      <c r="W40" s="772">
        <f t="shared" si="14"/>
        <v>100</v>
      </c>
      <c r="X40" s="1809"/>
      <c r="Y40" s="3195"/>
      <c r="Z40" s="1810" t="str">
        <f t="shared" si="15"/>
        <v>单套建筑面积</v>
      </c>
      <c r="AA40" s="1807">
        <f t="shared" si="3"/>
        <v>1</v>
      </c>
      <c r="AB40" s="1807">
        <f t="shared" si="4"/>
        <v>1</v>
      </c>
      <c r="AC40" s="1807">
        <f t="shared" si="5"/>
        <v>1</v>
      </c>
    </row>
    <row r="41" spans="1:29" s="469" customFormat="1" ht="15">
      <c r="A41" s="466"/>
      <c r="B41" s="1808" t="s">
        <v>2666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241"/>
      <c r="Q41" s="773" t="str">
        <f t="shared" si="11"/>
        <v>进深比</v>
      </c>
      <c r="R41" s="774" t="s">
        <v>17</v>
      </c>
      <c r="S41" s="775">
        <f t="shared" si="12"/>
        <v>100</v>
      </c>
      <c r="T41" s="774" t="s">
        <v>17</v>
      </c>
      <c r="U41" s="775">
        <f t="shared" si="13"/>
        <v>100</v>
      </c>
      <c r="V41" s="774" t="s">
        <v>17</v>
      </c>
      <c r="W41" s="775">
        <f t="shared" si="14"/>
        <v>100</v>
      </c>
      <c r="X41" s="776"/>
      <c r="Y41" s="3195"/>
      <c r="Z41" s="777" t="str">
        <f t="shared" si="15"/>
        <v>进深比</v>
      </c>
      <c r="AA41" s="1807">
        <f t="shared" si="3"/>
        <v>1</v>
      </c>
      <c r="AB41" s="1807">
        <f t="shared" si="4"/>
        <v>1</v>
      </c>
      <c r="AC41" s="1807">
        <f t="shared" si="5"/>
        <v>1</v>
      </c>
    </row>
    <row r="42" spans="1:29" ht="15">
      <c r="A42" s="470"/>
      <c r="B42" s="420" t="s">
        <v>2667</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5"/>
      <c r="M42" s="1126"/>
      <c r="N42" s="1126"/>
      <c r="O42" s="1126"/>
      <c r="P42" s="3241"/>
      <c r="Q42" s="1806" t="str">
        <f t="shared" si="11"/>
        <v>内部装修</v>
      </c>
      <c r="R42" s="771" t="s">
        <v>17</v>
      </c>
      <c r="S42" s="772">
        <f t="shared" si="12"/>
        <v>100</v>
      </c>
      <c r="T42" s="771" t="s">
        <v>17</v>
      </c>
      <c r="U42" s="772">
        <f t="shared" si="13"/>
        <v>100</v>
      </c>
      <c r="V42" s="771" t="s">
        <v>17</v>
      </c>
      <c r="W42" s="772">
        <f t="shared" si="14"/>
        <v>100</v>
      </c>
      <c r="X42" s="1809"/>
      <c r="Y42" s="3195"/>
      <c r="Z42" s="1810" t="str">
        <f t="shared" si="15"/>
        <v>内部装修</v>
      </c>
      <c r="AA42" s="1807">
        <f t="shared" si="3"/>
        <v>1</v>
      </c>
      <c r="AB42" s="1807">
        <f t="shared" si="4"/>
        <v>1</v>
      </c>
      <c r="AC42" s="1807">
        <f t="shared" si="5"/>
        <v>1</v>
      </c>
    </row>
    <row r="43" spans="1:29" ht="15">
      <c r="A43" s="470"/>
      <c r="B43" s="420" t="s">
        <v>2575</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5"/>
      <c r="M43" s="1126"/>
      <c r="N43" s="1126"/>
      <c r="O43" s="1126"/>
      <c r="P43" s="3241"/>
      <c r="Q43" s="1806" t="str">
        <f t="shared" si="11"/>
        <v>内部装修维护情况</v>
      </c>
      <c r="R43" s="771" t="s">
        <v>17</v>
      </c>
      <c r="S43" s="772">
        <f t="shared" si="12"/>
        <v>100</v>
      </c>
      <c r="T43" s="771" t="s">
        <v>17</v>
      </c>
      <c r="U43" s="772">
        <f t="shared" si="13"/>
        <v>100</v>
      </c>
      <c r="V43" s="771" t="s">
        <v>17</v>
      </c>
      <c r="W43" s="772">
        <f t="shared" si="14"/>
        <v>100</v>
      </c>
      <c r="X43" s="1809"/>
      <c r="Y43" s="3195"/>
      <c r="Z43" s="1810" t="str">
        <f t="shared" si="15"/>
        <v>内部装修维护情况</v>
      </c>
      <c r="AA43" s="1807">
        <f t="shared" si="3"/>
        <v>1</v>
      </c>
      <c r="AB43" s="1807">
        <f t="shared" si="4"/>
        <v>1</v>
      </c>
      <c r="AC43" s="1807">
        <f t="shared" si="5"/>
        <v>1</v>
      </c>
    </row>
    <row r="44" spans="1:29" s="116"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241"/>
      <c r="Q44" s="1791">
        <f t="shared" si="11"/>
        <v>111</v>
      </c>
      <c r="R44" s="767" t="s">
        <v>17</v>
      </c>
      <c r="S44" s="768">
        <f t="shared" si="12"/>
        <v>100</v>
      </c>
      <c r="T44" s="767" t="s">
        <v>17</v>
      </c>
      <c r="U44" s="768">
        <f t="shared" si="13"/>
        <v>100</v>
      </c>
      <c r="V44" s="767" t="s">
        <v>17</v>
      </c>
      <c r="W44" s="768">
        <f t="shared" si="14"/>
        <v>100</v>
      </c>
      <c r="X44" s="769"/>
      <c r="Y44" s="3195"/>
      <c r="Z44" s="54">
        <f t="shared" si="15"/>
        <v>111</v>
      </c>
      <c r="AA44" s="770">
        <f t="shared" si="3"/>
        <v>1</v>
      </c>
      <c r="AB44" s="770">
        <f t="shared" si="4"/>
        <v>1</v>
      </c>
      <c r="AC44" s="770">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241"/>
      <c r="Q45" s="1806">
        <f t="shared" si="11"/>
        <v>111</v>
      </c>
      <c r="R45" s="771" t="s">
        <v>17</v>
      </c>
      <c r="S45" s="772">
        <f t="shared" si="12"/>
        <v>100</v>
      </c>
      <c r="T45" s="771" t="s">
        <v>17</v>
      </c>
      <c r="U45" s="772">
        <f t="shared" si="13"/>
        <v>100</v>
      </c>
      <c r="V45" s="771" t="s">
        <v>17</v>
      </c>
      <c r="W45" s="772">
        <f t="shared" si="14"/>
        <v>100</v>
      </c>
      <c r="X45" s="1809"/>
      <c r="Y45" s="3195"/>
      <c r="Z45" s="1810">
        <f t="shared" si="15"/>
        <v>111</v>
      </c>
      <c r="AA45" s="1807">
        <f t="shared" si="3"/>
        <v>1</v>
      </c>
      <c r="AB45" s="1807">
        <f t="shared" si="4"/>
        <v>1</v>
      </c>
      <c r="AC45" s="1807">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242"/>
      <c r="Q46" s="1806">
        <f t="shared" si="11"/>
        <v>111</v>
      </c>
      <c r="R46" s="771" t="s">
        <v>17</v>
      </c>
      <c r="S46" s="772">
        <f t="shared" si="12"/>
        <v>100</v>
      </c>
      <c r="T46" s="771" t="s">
        <v>17</v>
      </c>
      <c r="U46" s="772">
        <f t="shared" si="13"/>
        <v>100</v>
      </c>
      <c r="V46" s="771" t="s">
        <v>17</v>
      </c>
      <c r="W46" s="772">
        <f t="shared" si="14"/>
        <v>100</v>
      </c>
      <c r="X46" s="1809"/>
      <c r="Y46" s="3243"/>
      <c r="Z46" s="1810">
        <f t="shared" si="15"/>
        <v>111</v>
      </c>
      <c r="AA46" s="1807">
        <f t="shared" si="3"/>
        <v>1</v>
      </c>
      <c r="AB46" s="1807">
        <f t="shared" si="4"/>
        <v>1</v>
      </c>
      <c r="AC46" s="1807">
        <f t="shared" si="5"/>
        <v>1</v>
      </c>
    </row>
    <row r="47" spans="1:29" ht="15">
      <c r="A47" s="477" t="s">
        <v>2576</v>
      </c>
      <c r="B47" s="478"/>
      <c r="C47" s="1402" t="s">
        <v>1</v>
      </c>
      <c r="D47" s="1403"/>
      <c r="E47" s="1404"/>
      <c r="F47" s="1405"/>
      <c r="G47" s="1406"/>
      <c r="H47" s="1407"/>
      <c r="I47" s="1404"/>
      <c r="J47" s="1407"/>
      <c r="K47" s="780"/>
      <c r="L47" s="1138"/>
      <c r="M47" s="1139"/>
      <c r="N47" s="1126"/>
      <c r="O47" s="1139"/>
      <c r="P47" s="3177" t="str">
        <f>A47</f>
        <v>成交单价（元/平方米）</v>
      </c>
      <c r="Q47" s="3177"/>
      <c r="R47" s="3190">
        <f>E47</f>
        <v>0</v>
      </c>
      <c r="S47" s="3190"/>
      <c r="T47" s="3190">
        <f>G47</f>
        <v>0</v>
      </c>
      <c r="U47" s="3190"/>
      <c r="V47" s="3190">
        <f>I47</f>
        <v>0</v>
      </c>
      <c r="W47" s="3190"/>
      <c r="X47" s="756"/>
      <c r="Y47" s="778"/>
      <c r="Z47" s="756"/>
      <c r="AA47" s="756"/>
      <c r="AB47" s="756"/>
      <c r="AC47" s="756"/>
    </row>
    <row r="48" spans="1:29" ht="15.75" thickBot="1">
      <c r="A48" s="484" t="s">
        <v>2668</v>
      </c>
      <c r="B48" s="485"/>
      <c r="C48" s="1408" t="e">
        <f>R49</f>
        <v>#DIV/0!</v>
      </c>
      <c r="D48" s="1409"/>
      <c r="E48" s="1410" t="e">
        <f>R48</f>
        <v>#DIV/0!</v>
      </c>
      <c r="F48" s="1410"/>
      <c r="G48" s="1408" t="e">
        <f>T48</f>
        <v>#DIV/0!</v>
      </c>
      <c r="H48" s="1409"/>
      <c r="I48" s="1410" t="e">
        <f>V48</f>
        <v>#DIV/0!</v>
      </c>
      <c r="J48" s="1409"/>
      <c r="K48" s="781"/>
      <c r="L48" s="1138"/>
      <c r="M48" s="1139"/>
      <c r="N48" s="1126"/>
      <c r="O48" s="1139"/>
      <c r="P48" s="3177" t="str">
        <f>A48</f>
        <v>比较价值（元/平方米）</v>
      </c>
      <c r="Q48" s="3177"/>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6"/>
      <c r="Y48" s="756"/>
      <c r="Z48" s="756"/>
      <c r="AA48" s="756"/>
      <c r="AB48" s="756"/>
      <c r="AC48" s="756"/>
    </row>
    <row r="49" spans="1:29" ht="15.75" thickBot="1">
      <c r="A49" s="490" t="s">
        <v>2669</v>
      </c>
      <c r="B49" s="491"/>
      <c r="C49" s="1412" t="e">
        <f>R49</f>
        <v>#DIV/0!</v>
      </c>
      <c r="D49" s="1412"/>
      <c r="E49" s="1412"/>
      <c r="F49" s="1412"/>
      <c r="G49" s="1412"/>
      <c r="H49" s="1412"/>
      <c r="I49" s="1412"/>
      <c r="J49" s="1412"/>
      <c r="K49" s="782"/>
      <c r="L49" s="1138"/>
      <c r="M49" s="1139"/>
      <c r="N49" s="1126"/>
      <c r="O49" s="1139"/>
      <c r="P49" s="3197" t="str">
        <f>A49</f>
        <v>估价对象XX用房的比较价值（楼面单价，元/平方米）</v>
      </c>
      <c r="Q49" s="3198"/>
      <c r="R49" s="3238" t="e">
        <f>IF(F1="售价",ROUND(AVERAGE(R48:V48),0),ROUND(AVERAGE(R48:V48),1))</f>
        <v>#DIV/0!</v>
      </c>
      <c r="S49" s="3238"/>
      <c r="T49" s="3238"/>
      <c r="U49" s="3238"/>
      <c r="V49" s="3238"/>
      <c r="W49" s="3238"/>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3"/>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3"/>
      <c r="Q51" s="756"/>
      <c r="R51" s="756"/>
      <c r="S51" s="756"/>
      <c r="T51" s="756"/>
      <c r="U51" s="756"/>
      <c r="V51" s="756"/>
      <c r="W51" s="756"/>
      <c r="X51" s="756"/>
      <c r="Y51" s="756"/>
      <c r="Z51" s="756"/>
      <c r="AA51" s="756"/>
      <c r="AB51" s="756"/>
      <c r="AC51" s="756"/>
    </row>
    <row r="52" spans="1:29" ht="13.5" customHeight="1">
      <c r="A52" s="1139"/>
      <c r="B52" s="1139"/>
      <c r="C52" s="495" t="s">
        <v>2670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3"/>
      <c r="Q52" s="756"/>
      <c r="R52" s="756"/>
      <c r="S52" s="756"/>
      <c r="T52" s="756"/>
      <c r="U52" s="756"/>
      <c r="V52" s="756"/>
      <c r="W52" s="756"/>
      <c r="X52" s="756"/>
      <c r="Y52" s="756"/>
      <c r="Z52" s="756"/>
      <c r="AA52" s="756"/>
      <c r="AB52" s="756"/>
      <c r="AC52" s="756"/>
    </row>
    <row r="53" spans="1:29" ht="13.5" customHeight="1">
      <c r="A53" s="1139"/>
      <c r="B53" s="1139"/>
      <c r="C53" s="495" t="s">
        <v>2671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3"/>
      <c r="Q53" s="756"/>
      <c r="R53" s="756"/>
      <c r="S53" s="756"/>
      <c r="T53" s="756"/>
      <c r="U53" s="756"/>
      <c r="V53" s="756"/>
      <c r="W53" s="756"/>
      <c r="X53" s="756"/>
      <c r="Y53" s="756"/>
      <c r="Z53" s="756"/>
      <c r="AA53" s="756"/>
      <c r="AB53" s="756"/>
      <c r="AC53" s="756"/>
    </row>
    <row r="54" spans="1:29" s="500" customFormat="1" ht="13.5" customHeight="1">
      <c r="A54" s="1140"/>
      <c r="B54" s="1140"/>
      <c r="C54" s="495" t="s">
        <v>2672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500"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3"/>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6" customFormat="1" ht="15">
      <c r="A58" s="503" t="s">
        <v>2547</v>
      </c>
      <c r="B58" s="504"/>
      <c r="C58" s="1570" t="str">
        <f>YEAR(C7)&amp;"-"&amp;MONTH(C7)</f>
        <v>2018-1</v>
      </c>
      <c r="D58" s="1571">
        <f>EDATE(C58,-1)</f>
        <v>43070</v>
      </c>
      <c r="E58" s="1571">
        <f t="shared" ref="E58:N58" si="16">EDATE(D58,-1)</f>
        <v>43040</v>
      </c>
      <c r="F58" s="1571">
        <f t="shared" si="16"/>
        <v>43009</v>
      </c>
      <c r="G58" s="1571">
        <f t="shared" si="16"/>
        <v>42979</v>
      </c>
      <c r="H58" s="1571">
        <f t="shared" si="16"/>
        <v>42948</v>
      </c>
      <c r="I58" s="1571">
        <f t="shared" si="16"/>
        <v>42917</v>
      </c>
      <c r="J58" s="1571">
        <f t="shared" si="16"/>
        <v>42887</v>
      </c>
      <c r="K58" s="1571">
        <f t="shared" si="16"/>
        <v>42856</v>
      </c>
      <c r="L58" s="1571">
        <f t="shared" si="16"/>
        <v>42826</v>
      </c>
      <c r="M58" s="1571">
        <f t="shared" si="16"/>
        <v>42795</v>
      </c>
      <c r="N58" s="1571">
        <f t="shared" si="16"/>
        <v>42767</v>
      </c>
      <c r="O58" s="1571">
        <f>EDATE(N58,-1)</f>
        <v>42736</v>
      </c>
      <c r="P58" s="1566"/>
    </row>
    <row r="59" spans="1:29" s="116" customFormat="1" ht="15">
      <c r="A59" s="507"/>
      <c r="B59" s="508"/>
      <c r="C59" s="1569">
        <v>100</v>
      </c>
      <c r="D59" s="510"/>
      <c r="E59" s="510"/>
      <c r="F59" s="510"/>
      <c r="G59" s="510"/>
      <c r="H59" s="510"/>
      <c r="I59" s="510"/>
      <c r="J59" s="510"/>
      <c r="K59" s="510"/>
      <c r="L59" s="510"/>
      <c r="M59" s="511"/>
      <c r="N59" s="510"/>
      <c r="O59" s="511"/>
      <c r="P59" s="2619"/>
    </row>
    <row r="60" spans="1:29" s="116" customFormat="1" ht="15.75" thickBot="1">
      <c r="A60" s="513" t="s">
        <v>2584</v>
      </c>
      <c r="B60" s="514"/>
      <c r="C60" s="515"/>
      <c r="D60" s="516"/>
      <c r="E60" s="516"/>
      <c r="F60" s="516"/>
      <c r="G60" s="516"/>
      <c r="H60" s="516"/>
      <c r="I60" s="516"/>
      <c r="J60" s="516"/>
      <c r="K60" s="516"/>
      <c r="L60" s="516"/>
      <c r="M60" s="517"/>
      <c r="N60" s="516"/>
      <c r="O60" s="517"/>
      <c r="P60" s="2619"/>
      <c r="Q60" s="502"/>
    </row>
    <row r="61" spans="1:29" s="116" customFormat="1" ht="15">
      <c r="A61" s="519" t="s">
        <v>2549</v>
      </c>
      <c r="B61" s="508"/>
      <c r="C61" s="520" t="s">
        <v>2651</v>
      </c>
      <c r="D61" s="521"/>
      <c r="E61" s="521"/>
      <c r="F61" s="521"/>
      <c r="G61" s="521"/>
      <c r="H61" s="521"/>
      <c r="I61" s="521"/>
      <c r="J61" s="521"/>
      <c r="K61" s="521"/>
      <c r="L61" s="522"/>
      <c r="M61" s="523"/>
      <c r="N61" s="1146"/>
      <c r="O61" s="1146"/>
      <c r="P61" s="2620"/>
      <c r="Q61" s="502"/>
    </row>
    <row r="62" spans="1:29" s="116" customFormat="1" ht="15.75" thickBot="1">
      <c r="A62" s="519"/>
      <c r="B62" s="508"/>
      <c r="C62" s="509">
        <v>100</v>
      </c>
      <c r="D62" s="510"/>
      <c r="E62" s="510"/>
      <c r="F62" s="510"/>
      <c r="G62" s="510"/>
      <c r="H62" s="510"/>
      <c r="I62" s="510"/>
      <c r="J62" s="510"/>
      <c r="K62" s="510"/>
      <c r="L62" s="510"/>
      <c r="M62" s="512"/>
      <c r="N62" s="1146"/>
      <c r="O62" s="1146"/>
      <c r="P62" s="2619"/>
      <c r="Q62" s="502"/>
    </row>
    <row r="63" spans="1:29">
      <c r="A63" s="525" t="s">
        <v>2587</v>
      </c>
      <c r="B63" s="526" t="s">
        <v>2553</v>
      </c>
      <c r="C63" s="527">
        <f>C9</f>
        <v>0</v>
      </c>
      <c r="D63" s="528"/>
      <c r="E63" s="528"/>
      <c r="F63" s="528"/>
      <c r="G63" s="528"/>
      <c r="H63" s="528"/>
      <c r="I63" s="528"/>
      <c r="J63" s="528"/>
      <c r="K63" s="529"/>
      <c r="L63" s="530"/>
      <c r="M63" s="531"/>
      <c r="N63" s="1147"/>
      <c r="O63" s="1147"/>
      <c r="P63" s="2621"/>
      <c r="Q63" s="502"/>
    </row>
    <row r="64" spans="1:29" ht="15.75" thickBot="1">
      <c r="A64" s="532"/>
      <c r="B64" s="533"/>
      <c r="C64" s="534">
        <v>100</v>
      </c>
      <c r="D64" s="534"/>
      <c r="E64" s="534"/>
      <c r="F64" s="534"/>
      <c r="G64" s="534"/>
      <c r="H64" s="534"/>
      <c r="I64" s="534"/>
      <c r="J64" s="534"/>
      <c r="K64" s="534"/>
      <c r="L64" s="534"/>
      <c r="M64" s="535"/>
      <c r="N64" s="1148"/>
      <c r="O64" s="1148"/>
      <c r="P64" s="2621"/>
      <c r="Q64" s="502"/>
    </row>
    <row r="65" spans="1:17" ht="27.75" thickTop="1">
      <c r="A65" s="532"/>
      <c r="B65" s="536" t="s">
        <v>2556</v>
      </c>
      <c r="C65" s="537" t="s">
        <v>2588</v>
      </c>
      <c r="D65" s="537" t="s">
        <v>2589</v>
      </c>
      <c r="E65" s="537" t="s">
        <v>2590</v>
      </c>
      <c r="F65" s="537" t="s">
        <v>2591</v>
      </c>
      <c r="G65" s="537" t="s">
        <v>2592</v>
      </c>
      <c r="H65" s="537" t="s">
        <v>2593</v>
      </c>
      <c r="I65" s="537" t="s">
        <v>2594</v>
      </c>
      <c r="J65" s="537"/>
      <c r="K65" s="538"/>
      <c r="L65" s="539"/>
      <c r="M65" s="540"/>
      <c r="N65" s="1147"/>
      <c r="O65" s="1147"/>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1"/>
      <c r="Q66" s="502"/>
    </row>
    <row r="67" spans="1:17" ht="15.75" thickTop="1">
      <c r="A67" s="532"/>
      <c r="B67" s="544" t="s">
        <v>2557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1"/>
      <c r="Q67" s="502"/>
    </row>
    <row r="68" spans="1:17" ht="15">
      <c r="A68" s="532"/>
      <c r="B68" s="546"/>
      <c r="C68" s="547"/>
      <c r="D68" s="547"/>
      <c r="E68" s="547"/>
      <c r="F68" s="547"/>
      <c r="G68" s="547"/>
      <c r="H68" s="547"/>
      <c r="I68" s="547"/>
      <c r="J68" s="547"/>
      <c r="K68" s="548"/>
      <c r="L68" s="549"/>
      <c r="M68" s="550"/>
      <c r="N68" s="1147"/>
      <c r="O68" s="1147"/>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1"/>
      <c r="Q69" s="502"/>
    </row>
    <row r="70" spans="1:17" s="469" customFormat="1" ht="15.75" thickTop="1">
      <c r="A70" s="551"/>
      <c r="B70" s="536">
        <f>B12</f>
        <v>111</v>
      </c>
      <c r="C70" s="552"/>
      <c r="D70" s="552"/>
      <c r="E70" s="552"/>
      <c r="F70" s="552"/>
      <c r="G70" s="552"/>
      <c r="H70" s="553"/>
      <c r="I70" s="553"/>
      <c r="J70" s="553"/>
      <c r="K70" s="553"/>
      <c r="L70" s="554"/>
      <c r="M70" s="555"/>
      <c r="N70" s="1149"/>
      <c r="O70" s="1149"/>
      <c r="P70" s="2622"/>
      <c r="Q70" s="557"/>
    </row>
    <row r="71" spans="1:17" s="469" customFormat="1" ht="15.75" thickBot="1">
      <c r="A71" s="551"/>
      <c r="B71" s="541"/>
      <c r="C71" s="558"/>
      <c r="D71" s="534"/>
      <c r="E71" s="534"/>
      <c r="F71" s="534"/>
      <c r="G71" s="534"/>
      <c r="H71" s="534"/>
      <c r="I71" s="534"/>
      <c r="J71" s="534"/>
      <c r="K71" s="534"/>
      <c r="L71" s="534"/>
      <c r="M71" s="535"/>
      <c r="N71" s="1148"/>
      <c r="O71" s="1148"/>
      <c r="P71" s="2622"/>
      <c r="Q71" s="557"/>
    </row>
    <row r="72" spans="1:17" s="469" customFormat="1" ht="15.75" thickTop="1">
      <c r="A72" s="551"/>
      <c r="B72" s="536">
        <f>B13</f>
        <v>111</v>
      </c>
      <c r="C72" s="552"/>
      <c r="D72" s="552"/>
      <c r="E72" s="552"/>
      <c r="F72" s="552"/>
      <c r="G72" s="552"/>
      <c r="H72" s="553"/>
      <c r="I72" s="553"/>
      <c r="J72" s="553"/>
      <c r="K72" s="553"/>
      <c r="L72" s="554"/>
      <c r="M72" s="555"/>
      <c r="N72" s="1149"/>
      <c r="O72" s="1149"/>
      <c r="P72" s="2623"/>
      <c r="Q72" s="559"/>
    </row>
    <row r="73" spans="1:17" s="469" customFormat="1" ht="15.75" thickBot="1">
      <c r="A73" s="551"/>
      <c r="B73" s="541"/>
      <c r="C73" s="558"/>
      <c r="D73" s="534"/>
      <c r="E73" s="534"/>
      <c r="F73" s="534"/>
      <c r="G73" s="558"/>
      <c r="H73" s="560"/>
      <c r="I73" s="560"/>
      <c r="J73" s="560"/>
      <c r="K73" s="560"/>
      <c r="L73" s="560"/>
      <c r="M73" s="561"/>
      <c r="N73" s="1149"/>
      <c r="O73" s="1149"/>
      <c r="P73" s="2622"/>
      <c r="Q73" s="557"/>
    </row>
    <row r="74" spans="1:17" s="469" customFormat="1" ht="15.75" thickTop="1">
      <c r="A74" s="551"/>
      <c r="B74" s="544">
        <f>B14</f>
        <v>111</v>
      </c>
      <c r="C74" s="552"/>
      <c r="D74" s="552"/>
      <c r="E74" s="552"/>
      <c r="F74" s="552"/>
      <c r="G74" s="521"/>
      <c r="H74" s="562"/>
      <c r="I74" s="562"/>
      <c r="J74" s="562"/>
      <c r="K74" s="562"/>
      <c r="L74" s="563"/>
      <c r="M74" s="564"/>
      <c r="N74" s="1149"/>
      <c r="O74" s="1149"/>
      <c r="P74" s="2624"/>
      <c r="Q74" s="557"/>
    </row>
    <row r="75" spans="1:17" s="469" customFormat="1" ht="15.75" thickBot="1">
      <c r="A75" s="566"/>
      <c r="B75" s="567"/>
      <c r="C75" s="568"/>
      <c r="D75" s="568"/>
      <c r="E75" s="568"/>
      <c r="F75" s="568"/>
      <c r="G75" s="568"/>
      <c r="H75" s="569"/>
      <c r="I75" s="569"/>
      <c r="J75" s="569"/>
      <c r="K75" s="569"/>
      <c r="L75" s="569"/>
      <c r="M75" s="570"/>
      <c r="N75" s="1149"/>
      <c r="O75" s="1149"/>
      <c r="P75" s="2622"/>
      <c r="Q75" s="557"/>
    </row>
    <row r="76" spans="1:17">
      <c r="A76" s="525" t="s">
        <v>2558</v>
      </c>
      <c r="B76" s="526" t="s">
        <v>2595</v>
      </c>
      <c r="C76" s="571" t="s">
        <v>2596</v>
      </c>
      <c r="D76" s="571" t="s">
        <v>2597</v>
      </c>
      <c r="E76" s="571" t="s">
        <v>2598</v>
      </c>
      <c r="F76" s="571" t="s">
        <v>2599</v>
      </c>
      <c r="G76" s="571" t="s">
        <v>2600</v>
      </c>
      <c r="H76" s="527"/>
      <c r="I76" s="527"/>
      <c r="J76" s="527"/>
      <c r="K76" s="572"/>
      <c r="L76" s="573"/>
      <c r="M76" s="574"/>
      <c r="N76" s="1147"/>
      <c r="O76" s="1147"/>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1"/>
      <c r="Q77" s="502"/>
    </row>
    <row r="78" spans="1:17" ht="15.75" thickTop="1">
      <c r="A78" s="532"/>
      <c r="B78" s="536" t="s">
        <v>2601</v>
      </c>
      <c r="C78" s="576" t="s">
        <v>2596</v>
      </c>
      <c r="D78" s="576" t="s">
        <v>2597</v>
      </c>
      <c r="E78" s="576" t="s">
        <v>2598</v>
      </c>
      <c r="F78" s="576" t="s">
        <v>2599</v>
      </c>
      <c r="G78" s="576" t="s">
        <v>2600</v>
      </c>
      <c r="H78" s="537"/>
      <c r="I78" s="537"/>
      <c r="J78" s="537"/>
      <c r="K78" s="538"/>
      <c r="L78" s="539"/>
      <c r="M78" s="540"/>
      <c r="N78" s="1147"/>
      <c r="O78" s="1147"/>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1"/>
      <c r="Q79" s="502"/>
    </row>
    <row r="80" spans="1:17" ht="15.75" thickTop="1">
      <c r="A80" s="532"/>
      <c r="B80" s="536" t="s">
        <v>2602</v>
      </c>
      <c r="C80" s="576" t="s">
        <v>2596</v>
      </c>
      <c r="D80" s="576" t="s">
        <v>2597</v>
      </c>
      <c r="E80" s="576" t="s">
        <v>2598</v>
      </c>
      <c r="F80" s="576" t="s">
        <v>2599</v>
      </c>
      <c r="G80" s="576" t="s">
        <v>2600</v>
      </c>
      <c r="H80" s="537"/>
      <c r="I80" s="537"/>
      <c r="J80" s="537"/>
      <c r="K80" s="538"/>
      <c r="L80" s="539"/>
      <c r="M80" s="540"/>
      <c r="N80" s="1147"/>
      <c r="O80" s="1147"/>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1"/>
      <c r="Q81" s="502"/>
    </row>
    <row r="82" spans="1:17" ht="15.75" thickTop="1">
      <c r="A82" s="532"/>
      <c r="B82" s="544" t="s">
        <v>2654</v>
      </c>
      <c r="C82" s="658" t="s">
        <v>2674</v>
      </c>
      <c r="D82" s="658" t="s">
        <v>2675</v>
      </c>
      <c r="E82" s="658" t="s">
        <v>2676</v>
      </c>
      <c r="F82" s="658" t="s">
        <v>2677</v>
      </c>
      <c r="G82" s="658" t="s">
        <v>2678</v>
      </c>
      <c r="H82" s="537"/>
      <c r="I82" s="537"/>
      <c r="J82" s="537"/>
      <c r="K82" s="537"/>
      <c r="L82" s="537"/>
      <c r="M82" s="1377"/>
      <c r="N82" s="1148"/>
      <c r="O82" s="1148"/>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8"/>
      <c r="O83" s="1148"/>
      <c r="P83" s="2621"/>
      <c r="Q83" s="502"/>
    </row>
    <row r="84" spans="1:17" ht="15.75" thickTop="1">
      <c r="A84" s="532"/>
      <c r="B84" s="536" t="s">
        <v>2608</v>
      </c>
      <c r="C84" s="576" t="s">
        <v>2596</v>
      </c>
      <c r="D84" s="576" t="s">
        <v>2597</v>
      </c>
      <c r="E84" s="576" t="s">
        <v>2598</v>
      </c>
      <c r="F84" s="576" t="s">
        <v>2599</v>
      </c>
      <c r="G84" s="576" t="s">
        <v>2600</v>
      </c>
      <c r="H84" s="537"/>
      <c r="I84" s="537"/>
      <c r="J84" s="537"/>
      <c r="K84" s="538"/>
      <c r="L84" s="539"/>
      <c r="M84" s="540"/>
      <c r="N84" s="1147"/>
      <c r="O84" s="1147"/>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1"/>
      <c r="Q85" s="502"/>
    </row>
    <row r="86" spans="1:17" s="116" customFormat="1" ht="15.75" thickTop="1">
      <c r="A86" s="577"/>
      <c r="B86" s="536" t="s">
        <v>2679</v>
      </c>
      <c r="C86" s="552"/>
      <c r="D86" s="552"/>
      <c r="E86" s="552"/>
      <c r="F86" s="552"/>
      <c r="G86" s="552"/>
      <c r="H86" s="552"/>
      <c r="I86" s="552"/>
      <c r="J86" s="552"/>
      <c r="K86" s="552"/>
      <c r="L86" s="578"/>
      <c r="M86" s="579"/>
      <c r="N86" s="1146"/>
      <c r="O86" s="1146"/>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46"/>
      <c r="O88" s="1146"/>
      <c r="P88" s="2621"/>
      <c r="Q88" s="502"/>
    </row>
    <row r="89" spans="1:17" s="116" customFormat="1" ht="15.75" thickBot="1">
      <c r="A89" s="577"/>
      <c r="B89" s="541"/>
      <c r="C89" s="558"/>
      <c r="D89" s="534"/>
      <c r="E89" s="534"/>
      <c r="F89" s="534"/>
      <c r="G89" s="534"/>
      <c r="H89" s="534"/>
      <c r="I89" s="534"/>
      <c r="J89" s="534"/>
      <c r="K89" s="534"/>
      <c r="L89" s="534"/>
      <c r="M89" s="534"/>
      <c r="N89" s="1148"/>
      <c r="O89" s="1148"/>
      <c r="P89" s="2621"/>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2"/>
      <c r="Q91" s="557"/>
    </row>
    <row r="92" spans="1:17" ht="15.75" thickTop="1">
      <c r="A92" s="532"/>
      <c r="B92" s="536" t="str">
        <f>B28</f>
        <v>楼层</v>
      </c>
      <c r="C92" s="552"/>
      <c r="D92" s="552"/>
      <c r="E92" s="552"/>
      <c r="F92" s="552"/>
      <c r="G92" s="552"/>
      <c r="H92" s="552"/>
      <c r="I92" s="552"/>
      <c r="J92" s="552"/>
      <c r="K92" s="552"/>
      <c r="L92" s="578"/>
      <c r="M92" s="579"/>
      <c r="N92" s="1147"/>
      <c r="O92" s="1147"/>
      <c r="P92" s="2621"/>
      <c r="Q92" s="502"/>
    </row>
    <row r="93" spans="1:17" ht="15.75" thickBot="1">
      <c r="A93" s="532"/>
      <c r="B93" s="541"/>
      <c r="C93" s="534"/>
      <c r="D93" s="534"/>
      <c r="E93" s="534"/>
      <c r="F93" s="534"/>
      <c r="G93" s="534"/>
      <c r="H93" s="534"/>
      <c r="I93" s="534"/>
      <c r="J93" s="534"/>
      <c r="K93" s="534"/>
      <c r="L93" s="534"/>
      <c r="M93" s="535"/>
      <c r="N93" s="1148"/>
      <c r="O93" s="1148"/>
      <c r="P93" s="2621"/>
      <c r="Q93" s="502"/>
    </row>
    <row r="94" spans="1:17" ht="15.75" thickTop="1">
      <c r="A94" s="532"/>
      <c r="B94" s="536">
        <f>B29</f>
        <v>111</v>
      </c>
      <c r="C94" s="552"/>
      <c r="D94" s="552"/>
      <c r="E94" s="552"/>
      <c r="F94" s="552"/>
      <c r="G94" s="581"/>
      <c r="H94" s="581"/>
      <c r="I94" s="581"/>
      <c r="J94" s="581"/>
      <c r="K94" s="582"/>
      <c r="L94" s="583"/>
      <c r="M94" s="584"/>
      <c r="N94" s="1147"/>
      <c r="O94" s="1147"/>
      <c r="P94" s="2621"/>
      <c r="Q94" s="502"/>
    </row>
    <row r="95" spans="1:17" ht="15.75" thickBot="1">
      <c r="A95" s="532"/>
      <c r="B95" s="541"/>
      <c r="C95" s="558"/>
      <c r="D95" s="534"/>
      <c r="E95" s="534"/>
      <c r="F95" s="534"/>
      <c r="G95" s="534"/>
      <c r="H95" s="534"/>
      <c r="I95" s="534"/>
      <c r="J95" s="534"/>
      <c r="K95" s="534"/>
      <c r="L95" s="534"/>
      <c r="M95" s="535"/>
      <c r="N95" s="1148"/>
      <c r="O95" s="1148"/>
      <c r="P95" s="2621"/>
      <c r="Q95" s="502"/>
    </row>
    <row r="96" spans="1:17" ht="15.75" thickTop="1">
      <c r="A96" s="532"/>
      <c r="B96" s="536">
        <f>B30</f>
        <v>111</v>
      </c>
      <c r="C96" s="552"/>
      <c r="D96" s="552"/>
      <c r="E96" s="552"/>
      <c r="F96" s="552"/>
      <c r="G96" s="581"/>
      <c r="H96" s="581"/>
      <c r="I96" s="581"/>
      <c r="J96" s="581"/>
      <c r="K96" s="582"/>
      <c r="L96" s="583"/>
      <c r="M96" s="584"/>
      <c r="N96" s="1147"/>
      <c r="O96" s="1147"/>
      <c r="P96" s="2621"/>
      <c r="Q96" s="502"/>
    </row>
    <row r="97" spans="1:17" ht="15.75" thickBot="1">
      <c r="A97" s="532"/>
      <c r="B97" s="541"/>
      <c r="C97" s="558"/>
      <c r="D97" s="534"/>
      <c r="E97" s="534"/>
      <c r="F97" s="534"/>
      <c r="G97" s="534"/>
      <c r="H97" s="534"/>
      <c r="I97" s="534"/>
      <c r="J97" s="534"/>
      <c r="K97" s="534"/>
      <c r="L97" s="534"/>
      <c r="M97" s="535"/>
      <c r="N97" s="1148"/>
      <c r="O97" s="1148"/>
      <c r="P97" s="2621"/>
      <c r="Q97" s="502"/>
    </row>
    <row r="98" spans="1:17" ht="15.75" thickTop="1">
      <c r="A98" s="532"/>
      <c r="B98" s="544">
        <f>B31</f>
        <v>111</v>
      </c>
      <c r="C98" s="552"/>
      <c r="D98" s="552"/>
      <c r="E98" s="552"/>
      <c r="F98" s="552"/>
      <c r="G98" s="585"/>
      <c r="H98" s="585"/>
      <c r="I98" s="585"/>
      <c r="J98" s="585"/>
      <c r="K98" s="586"/>
      <c r="L98" s="587"/>
      <c r="M98" s="588"/>
      <c r="N98" s="1147"/>
      <c r="O98" s="1147"/>
      <c r="P98" s="2621"/>
      <c r="Q98" s="502"/>
    </row>
    <row r="99" spans="1:17" ht="15.75" thickBot="1">
      <c r="A99" s="2627"/>
      <c r="B99" s="567"/>
      <c r="C99" s="568"/>
      <c r="D99" s="568"/>
      <c r="E99" s="568"/>
      <c r="F99" s="568"/>
      <c r="G99" s="589"/>
      <c r="H99" s="589"/>
      <c r="I99" s="589"/>
      <c r="J99" s="589"/>
      <c r="K99" s="589"/>
      <c r="L99" s="589"/>
      <c r="M99" s="590"/>
      <c r="N99" s="1148"/>
      <c r="O99" s="1148"/>
      <c r="P99" s="2621"/>
      <c r="Q99" s="502"/>
    </row>
    <row r="100" spans="1:17">
      <c r="A100" s="525" t="s">
        <v>2562</v>
      </c>
      <c r="B100" s="526" t="s">
        <v>2680</v>
      </c>
      <c r="C100" s="528"/>
      <c r="D100" s="528"/>
      <c r="E100" s="528"/>
      <c r="F100" s="528"/>
      <c r="G100" s="528"/>
      <c r="H100" s="528"/>
      <c r="I100" s="528"/>
      <c r="J100" s="528"/>
      <c r="K100" s="529"/>
      <c r="L100" s="530"/>
      <c r="M100" s="531"/>
      <c r="N100" s="1147"/>
      <c r="O100" s="1147"/>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1"/>
      <c r="Q101" s="502"/>
    </row>
    <row r="102" spans="1:17" ht="15.75" thickTop="1">
      <c r="A102" s="532"/>
      <c r="B102" s="536" t="s">
        <v>2612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1"/>
      <c r="Q102" s="502"/>
    </row>
    <row r="103" spans="1:17" s="469" customFormat="1">
      <c r="A103" s="591"/>
      <c r="B103" s="592"/>
      <c r="C103" s="593"/>
      <c r="D103" s="593"/>
      <c r="E103" s="593"/>
      <c r="F103" s="593"/>
      <c r="G103" s="593"/>
      <c r="H103" s="593"/>
      <c r="I103" s="593"/>
      <c r="J103" s="594"/>
      <c r="K103" s="594"/>
      <c r="L103" s="595"/>
      <c r="M103" s="596"/>
      <c r="N103" s="1149"/>
      <c r="O103" s="1149"/>
      <c r="P103" s="2622"/>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2"/>
      <c r="Q104" s="557"/>
    </row>
    <row r="105" spans="1:17" ht="15" thickTop="1">
      <c r="A105" s="597"/>
      <c r="B105" s="536" t="s">
        <v>2613</v>
      </c>
      <c r="C105" s="552"/>
      <c r="D105" s="552"/>
      <c r="E105" s="581"/>
      <c r="F105" s="581"/>
      <c r="G105" s="581"/>
      <c r="H105" s="581"/>
      <c r="I105" s="581"/>
      <c r="J105" s="581"/>
      <c r="K105" s="582"/>
      <c r="L105" s="583"/>
      <c r="M105" s="584"/>
      <c r="N105" s="1147"/>
      <c r="O105" s="1147"/>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1"/>
      <c r="Q106" s="502"/>
    </row>
    <row r="107" spans="1:17" ht="15" thickTop="1">
      <c r="A107" s="597"/>
      <c r="B107" s="536" t="s">
        <v>2615</v>
      </c>
      <c r="C107" s="552"/>
      <c r="D107" s="552"/>
      <c r="E107" s="552"/>
      <c r="F107" s="581"/>
      <c r="G107" s="581"/>
      <c r="H107" s="581"/>
      <c r="I107" s="581"/>
      <c r="J107" s="581"/>
      <c r="K107" s="582"/>
      <c r="L107" s="583"/>
      <c r="M107" s="584"/>
      <c r="N107" s="1147"/>
      <c r="O107" s="1147"/>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1"/>
      <c r="Q108" s="502"/>
    </row>
    <row r="109" spans="1:17" ht="15" thickTop="1">
      <c r="A109" s="597"/>
      <c r="B109" s="536" t="s">
        <v>2000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1"/>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1"/>
      <c r="Q111" s="502"/>
    </row>
    <row r="112" spans="1:17" s="469" customFormat="1" ht="15" thickTop="1">
      <c r="A112" s="591"/>
      <c r="B112" s="536" t="s">
        <v>2617</v>
      </c>
      <c r="C112" s="552"/>
      <c r="D112" s="552"/>
      <c r="E112" s="552"/>
      <c r="F112" s="552"/>
      <c r="G112" s="552"/>
      <c r="H112" s="581"/>
      <c r="I112" s="581"/>
      <c r="J112" s="581"/>
      <c r="K112" s="582"/>
      <c r="L112" s="583"/>
      <c r="M112" s="584"/>
      <c r="N112" s="1149"/>
      <c r="O112" s="1149"/>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2"/>
      <c r="Q113" s="557"/>
    </row>
    <row r="114" spans="1:17" ht="15" thickTop="1">
      <c r="A114" s="597"/>
      <c r="B114" s="536" t="s">
        <v>2681</v>
      </c>
      <c r="C114" s="552"/>
      <c r="D114" s="552"/>
      <c r="E114" s="581"/>
      <c r="F114" s="581"/>
      <c r="G114" s="581"/>
      <c r="H114" s="581"/>
      <c r="I114" s="581"/>
      <c r="J114" s="581"/>
      <c r="K114" s="582"/>
      <c r="L114" s="583"/>
      <c r="M114" s="584"/>
      <c r="N114" s="1147"/>
      <c r="O114" s="1147"/>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1"/>
      <c r="Q115" s="502"/>
    </row>
    <row r="116" spans="1:17" ht="15" thickTop="1">
      <c r="A116" s="597"/>
      <c r="B116" s="536" t="s">
        <v>2682</v>
      </c>
      <c r="C116" s="552"/>
      <c r="D116" s="552"/>
      <c r="E116" s="552"/>
      <c r="F116" s="552"/>
      <c r="G116" s="552"/>
      <c r="H116" s="581"/>
      <c r="I116" s="581"/>
      <c r="J116" s="581"/>
      <c r="K116" s="582"/>
      <c r="L116" s="583"/>
      <c r="M116" s="584"/>
      <c r="N116" s="1147"/>
      <c r="O116" s="1147"/>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1"/>
      <c r="Q117" s="502"/>
    </row>
    <row r="118" spans="1:17" ht="15" thickTop="1">
      <c r="A118" s="597"/>
      <c r="B118" s="536" t="s">
        <v>2683</v>
      </c>
      <c r="C118" s="625"/>
      <c r="D118" s="625"/>
      <c r="E118" s="625"/>
      <c r="F118" s="625"/>
      <c r="G118" s="625"/>
      <c r="H118" s="553"/>
      <c r="I118" s="553"/>
      <c r="J118" s="553"/>
      <c r="K118" s="553"/>
      <c r="L118" s="554"/>
      <c r="M118" s="555"/>
      <c r="N118" s="1147"/>
      <c r="O118" s="1147"/>
      <c r="P118" s="2621"/>
      <c r="Q118" s="502"/>
    </row>
    <row r="119" spans="1:17" ht="15.75" thickBot="1">
      <c r="A119" s="532"/>
      <c r="B119" s="541"/>
      <c r="C119" s="558"/>
      <c r="D119" s="534"/>
      <c r="E119" s="534"/>
      <c r="F119" s="534"/>
      <c r="G119" s="534"/>
      <c r="H119" s="534"/>
      <c r="I119" s="534"/>
      <c r="J119" s="534"/>
      <c r="K119" s="534"/>
      <c r="L119" s="534"/>
      <c r="M119" s="535"/>
      <c r="N119" s="1148"/>
      <c r="O119" s="1148"/>
      <c r="P119" s="2621"/>
      <c r="Q119" s="502"/>
    </row>
    <row r="120" spans="1:17" s="469" customFormat="1" ht="15" thickTop="1">
      <c r="A120" s="591"/>
      <c r="B120" s="536" t="s">
        <v>2684</v>
      </c>
      <c r="C120" s="581"/>
      <c r="D120" s="581"/>
      <c r="E120" s="581"/>
      <c r="F120" s="581"/>
      <c r="G120" s="553"/>
      <c r="H120" s="553"/>
      <c r="I120" s="553"/>
      <c r="J120" s="553"/>
      <c r="K120" s="553"/>
      <c r="L120" s="554"/>
      <c r="M120" s="555"/>
      <c r="N120" s="1149"/>
      <c r="O120" s="1149"/>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2"/>
      <c r="Q121" s="557"/>
    </row>
    <row r="122" spans="1:17" ht="15" thickTop="1">
      <c r="A122" s="597"/>
      <c r="B122" s="536" t="s">
        <v>2619</v>
      </c>
      <c r="C122" s="552"/>
      <c r="D122" s="552"/>
      <c r="E122" s="552"/>
      <c r="F122" s="581"/>
      <c r="G122" s="581"/>
      <c r="H122" s="581"/>
      <c r="I122" s="581"/>
      <c r="J122" s="581"/>
      <c r="K122" s="582"/>
      <c r="L122" s="583"/>
      <c r="M122" s="584"/>
      <c r="N122" s="1147"/>
      <c r="O122" s="1147"/>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1"/>
      <c r="Q123" s="502"/>
    </row>
    <row r="124" spans="1:17" ht="15" thickTop="1">
      <c r="A124" s="597"/>
      <c r="B124" s="536" t="s">
        <v>2620</v>
      </c>
      <c r="C124" s="576" t="s">
        <v>2596</v>
      </c>
      <c r="D124" s="576" t="s">
        <v>2597</v>
      </c>
      <c r="E124" s="576" t="s">
        <v>2598</v>
      </c>
      <c r="F124" s="576" t="s">
        <v>2599</v>
      </c>
      <c r="G124" s="576" t="s">
        <v>2600</v>
      </c>
      <c r="H124" s="537"/>
      <c r="I124" s="537"/>
      <c r="J124" s="537"/>
      <c r="K124" s="538"/>
      <c r="L124" s="539"/>
      <c r="M124" s="540"/>
      <c r="N124" s="1147"/>
      <c r="O124" s="1147"/>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1"/>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2"/>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2"/>
      <c r="Q127" s="557"/>
    </row>
    <row r="128" spans="1:17" ht="15" thickTop="1">
      <c r="A128" s="597"/>
      <c r="B128" s="536">
        <f>B45</f>
        <v>111</v>
      </c>
      <c r="C128" s="552"/>
      <c r="D128" s="552"/>
      <c r="E128" s="552"/>
      <c r="F128" s="552"/>
      <c r="G128" s="581"/>
      <c r="H128" s="581"/>
      <c r="I128" s="581"/>
      <c r="J128" s="581"/>
      <c r="K128" s="582"/>
      <c r="L128" s="583"/>
      <c r="M128" s="584"/>
      <c r="N128" s="1147"/>
      <c r="O128" s="1147"/>
      <c r="P128" s="2621"/>
      <c r="Q128" s="502"/>
    </row>
    <row r="129" spans="1:17" ht="15.75" thickBot="1">
      <c r="A129" s="532"/>
      <c r="B129" s="541"/>
      <c r="C129" s="558"/>
      <c r="D129" s="534"/>
      <c r="E129" s="534"/>
      <c r="F129" s="534"/>
      <c r="G129" s="534"/>
      <c r="H129" s="534"/>
      <c r="I129" s="534"/>
      <c r="J129" s="534"/>
      <c r="K129" s="534"/>
      <c r="L129" s="534"/>
      <c r="M129" s="535"/>
      <c r="N129" s="1148"/>
      <c r="O129" s="1148"/>
      <c r="P129" s="2621"/>
      <c r="Q129" s="502"/>
    </row>
    <row r="130" spans="1:17" ht="15" thickTop="1">
      <c r="A130" s="597"/>
      <c r="B130" s="544">
        <f>B46</f>
        <v>111</v>
      </c>
      <c r="C130" s="552"/>
      <c r="D130" s="552"/>
      <c r="E130" s="552"/>
      <c r="F130" s="552"/>
      <c r="G130" s="585"/>
      <c r="H130" s="585"/>
      <c r="I130" s="585"/>
      <c r="J130" s="585"/>
      <c r="K130" s="521"/>
      <c r="L130" s="522"/>
      <c r="M130" s="588"/>
      <c r="N130" s="1147"/>
      <c r="O130" s="1147"/>
      <c r="P130" s="2621"/>
      <c r="Q130" s="502"/>
    </row>
    <row r="131" spans="1:17" ht="15.75" thickBot="1">
      <c r="A131" s="2627"/>
      <c r="B131" s="567"/>
      <c r="C131" s="568"/>
      <c r="D131" s="568"/>
      <c r="E131" s="568"/>
      <c r="F131" s="568"/>
      <c r="G131" s="589"/>
      <c r="H131" s="589"/>
      <c r="I131" s="589"/>
      <c r="J131" s="589"/>
      <c r="K131" s="589"/>
      <c r="L131" s="589"/>
      <c r="M131" s="590"/>
      <c r="N131" s="1148"/>
      <c r="O131" s="1148"/>
      <c r="P131" s="262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2527</v>
      </c>
      <c r="B1" s="2660" t="s">
        <v>2685</v>
      </c>
      <c r="C1" s="1616" t="s">
        <v>2529</v>
      </c>
      <c r="D1" s="1617"/>
      <c r="E1" s="1626"/>
      <c r="F1" s="2578"/>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2329</v>
      </c>
      <c r="B2" s="1413" t="e">
        <f ca="1">IF(C2="——",ROUND(C50*D3/10000,0),ROUND(C50*D3/10000,0)-D2)</f>
        <v>#DIV/0!</v>
      </c>
      <c r="C2" s="2580"/>
      <c r="D2" s="1360" t="e">
        <f ca="1">SUMIF(INDIRECT("'"&amp;F2&amp;"'"&amp;"!A:A"),"承租人权益价值",INDIRECT("'"&amp;F2&amp;"'"&amp;"!c:c"))</f>
        <v>#REF!</v>
      </c>
      <c r="E2" s="2581" t="s">
        <v>2330</v>
      </c>
      <c r="F2" s="2582"/>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2331</v>
      </c>
      <c r="B3" s="607" t="e">
        <f ca="1">IF(C2="——",C50,ROUND(B2*10000/D3,0))</f>
        <v>#DIV/0!</v>
      </c>
      <c r="C3" s="398" t="s">
        <v>2643</v>
      </c>
      <c r="D3" s="397">
        <f>IF(D1="",'数据-汇总表'!E3,SUMIF('数据-汇总表'!$C19:$C33,D1,'数据-汇总表'!$E19:$E33))</f>
        <v>136408.82</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9" t="s">
        <v>2644</v>
      </c>
      <c r="B4" s="400"/>
      <c r="C4" s="3178" t="s">
        <v>2645</v>
      </c>
      <c r="D4" s="3179"/>
      <c r="E4" s="3180" t="s">
        <v>2646</v>
      </c>
      <c r="F4" s="3181"/>
      <c r="G4" s="3178" t="s">
        <v>2647</v>
      </c>
      <c r="H4" s="3179"/>
      <c r="I4" s="3178" t="s">
        <v>2648</v>
      </c>
      <c r="J4" s="3179"/>
      <c r="K4" s="608" t="s">
        <v>2649</v>
      </c>
      <c r="L4" s="1125"/>
      <c r="M4" s="1126"/>
      <c r="N4" s="1126"/>
      <c r="O4" s="1126"/>
      <c r="P4" s="3258" t="s">
        <v>2650</v>
      </c>
      <c r="Q4" s="3259"/>
      <c r="R4" s="3253" t="s">
        <v>2646</v>
      </c>
      <c r="S4" s="3254"/>
      <c r="T4" s="3253" t="s">
        <v>2647</v>
      </c>
      <c r="U4" s="3254"/>
      <c r="V4" s="3262" t="s">
        <v>2648</v>
      </c>
      <c r="W4" s="3262"/>
      <c r="X4" s="2661"/>
      <c r="Y4" s="3253" t="s">
        <v>2650</v>
      </c>
      <c r="Z4" s="3254"/>
      <c r="AA4" s="3252" t="s">
        <v>2646</v>
      </c>
      <c r="AB4" s="3252" t="s">
        <v>2647</v>
      </c>
      <c r="AC4" s="3255" t="s">
        <v>2648</v>
      </c>
    </row>
    <row r="5" spans="1:29" ht="15">
      <c r="A5" s="402"/>
      <c r="B5" s="403"/>
      <c r="C5" s="3248" t="s">
        <v>2541</v>
      </c>
      <c r="D5" s="3174"/>
      <c r="E5" s="3246" t="s">
        <v>2542</v>
      </c>
      <c r="F5" s="3247"/>
      <c r="G5" s="3248" t="s">
        <v>2543</v>
      </c>
      <c r="H5" s="3174"/>
      <c r="I5" s="3248" t="s">
        <v>2544</v>
      </c>
      <c r="J5" s="3174"/>
      <c r="K5" s="608"/>
      <c r="L5" s="1125"/>
      <c r="M5" s="1126"/>
      <c r="N5" s="1126"/>
      <c r="O5" s="1126"/>
      <c r="P5" s="3260"/>
      <c r="Q5" s="3185"/>
      <c r="R5" s="3170"/>
      <c r="S5" s="3171"/>
      <c r="T5" s="3170"/>
      <c r="U5" s="3171"/>
      <c r="V5" s="3190"/>
      <c r="W5" s="3190"/>
      <c r="X5" s="1809"/>
      <c r="Y5" s="3170"/>
      <c r="Z5" s="3171"/>
      <c r="AA5" s="3164"/>
      <c r="AB5" s="3164"/>
      <c r="AC5" s="3256"/>
    </row>
    <row r="6" spans="1:29" ht="15.75" thickBot="1">
      <c r="A6" s="404"/>
      <c r="B6" s="405"/>
      <c r="C6" s="3249" t="s">
        <v>2545</v>
      </c>
      <c r="D6" s="3176"/>
      <c r="E6" s="3250" t="s">
        <v>2545</v>
      </c>
      <c r="F6" s="3251"/>
      <c r="G6" s="3249" t="s">
        <v>2545</v>
      </c>
      <c r="H6" s="3176"/>
      <c r="I6" s="3249" t="s">
        <v>2545</v>
      </c>
      <c r="J6" s="3176"/>
      <c r="K6" s="608" t="s">
        <v>2546</v>
      </c>
      <c r="L6" s="1125"/>
      <c r="M6" s="1126"/>
      <c r="N6" s="1126"/>
      <c r="O6" s="1126"/>
      <c r="P6" s="3261"/>
      <c r="Q6" s="3187"/>
      <c r="R6" s="3170"/>
      <c r="S6" s="3171"/>
      <c r="T6" s="3188"/>
      <c r="U6" s="3189"/>
      <c r="V6" s="3190"/>
      <c r="W6" s="3190"/>
      <c r="X6" s="1809"/>
      <c r="Y6" s="3188"/>
      <c r="Z6" s="3189"/>
      <c r="AA6" s="3165"/>
      <c r="AB6" s="3165"/>
      <c r="AC6" s="3257"/>
    </row>
    <row r="7" spans="1:29" s="116" customFormat="1" ht="15.75" thickBot="1">
      <c r="A7" s="406" t="s">
        <v>2547</v>
      </c>
      <c r="B7" s="407"/>
      <c r="C7" s="408">
        <f>'数据-取费表'!B2</f>
        <v>43126</v>
      </c>
      <c r="D7" s="409">
        <v>100</v>
      </c>
      <c r="E7" s="410"/>
      <c r="F7" s="411">
        <f>SUMIF(59:59,YEAR(E7)&amp;"-"&amp;MONTH(E7),60:60)</f>
        <v>0</v>
      </c>
      <c r="G7" s="410"/>
      <c r="H7" s="409">
        <f>SUMIF(59:59,YEAR(G7)&amp;"-"&amp;MONTH(G7),60:60)</f>
        <v>0</v>
      </c>
      <c r="I7" s="410"/>
      <c r="J7" s="409">
        <f>SUMIF(59:59,YEAR(I7)&amp;"-"&amp;MONTH(I7),60:60)</f>
        <v>0</v>
      </c>
      <c r="K7" s="609"/>
      <c r="L7" s="1127"/>
      <c r="M7" s="1128"/>
      <c r="N7" s="1128"/>
      <c r="O7" s="1128"/>
      <c r="P7" s="3263" t="s">
        <v>2548</v>
      </c>
      <c r="Q7" s="3191"/>
      <c r="R7" s="767" t="s">
        <v>17</v>
      </c>
      <c r="S7" s="768">
        <f t="shared" ref="S7:S15" si="0">F7</f>
        <v>0</v>
      </c>
      <c r="T7" s="767" t="s">
        <v>17</v>
      </c>
      <c r="U7" s="768">
        <f t="shared" ref="U7:U15" si="1">H7</f>
        <v>0</v>
      </c>
      <c r="V7" s="767" t="s">
        <v>17</v>
      </c>
      <c r="W7" s="768">
        <f t="shared" ref="W7:W15" si="2">J7</f>
        <v>0</v>
      </c>
      <c r="X7" s="769"/>
      <c r="Y7" s="3166" t="s">
        <v>2548</v>
      </c>
      <c r="Z7" s="3167"/>
      <c r="AA7" s="770" t="e">
        <f>D7/F7</f>
        <v>#DIV/0!</v>
      </c>
      <c r="AB7" s="770" t="e">
        <f>D7/H7</f>
        <v>#DIV/0!</v>
      </c>
      <c r="AC7" s="2662" t="e">
        <f>D7/J7</f>
        <v>#DIV/0!</v>
      </c>
    </row>
    <row r="8" spans="1:29" s="116" customFormat="1" ht="15.75" thickBot="1">
      <c r="A8" s="406" t="s">
        <v>2549</v>
      </c>
      <c r="B8" s="407"/>
      <c r="C8" s="412" t="s">
        <v>2651</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263" t="s">
        <v>2551</v>
      </c>
      <c r="Q8" s="3167"/>
      <c r="R8" s="767" t="s">
        <v>17</v>
      </c>
      <c r="S8" s="768">
        <f t="shared" si="0"/>
        <v>0</v>
      </c>
      <c r="T8" s="767" t="s">
        <v>17</v>
      </c>
      <c r="U8" s="768">
        <f t="shared" si="1"/>
        <v>0</v>
      </c>
      <c r="V8" s="767" t="s">
        <v>17</v>
      </c>
      <c r="W8" s="768">
        <f t="shared" si="2"/>
        <v>0</v>
      </c>
      <c r="X8" s="769"/>
      <c r="Y8" s="3166" t="s">
        <v>2551</v>
      </c>
      <c r="Z8" s="3167"/>
      <c r="AA8" s="770" t="e">
        <f t="shared" ref="AA8:AA47" si="3">D8/F8</f>
        <v>#DIV/0!</v>
      </c>
      <c r="AB8" s="770" t="e">
        <f t="shared" ref="AB8:AB47" si="4">D8/H8</f>
        <v>#DIV/0!</v>
      </c>
      <c r="AC8" s="2662" t="e">
        <f t="shared" ref="AC8:AC47" si="5">D8/J8</f>
        <v>#DIV/0!</v>
      </c>
    </row>
    <row r="9" spans="1:29" s="116" customFormat="1">
      <c r="A9" s="413" t="s">
        <v>2552</v>
      </c>
      <c r="B9" s="70" t="s">
        <v>2553</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201" t="s">
        <v>2554</v>
      </c>
      <c r="Q9" s="1791" t="str">
        <f t="shared" ref="Q9:Q15" si="6">B9</f>
        <v>用途</v>
      </c>
      <c r="R9" s="767" t="s">
        <v>17</v>
      </c>
      <c r="S9" s="768">
        <f t="shared" si="0"/>
        <v>100</v>
      </c>
      <c r="T9" s="767" t="s">
        <v>17</v>
      </c>
      <c r="U9" s="768">
        <f t="shared" si="1"/>
        <v>100</v>
      </c>
      <c r="V9" s="767" t="s">
        <v>17</v>
      </c>
      <c r="W9" s="768">
        <f t="shared" si="2"/>
        <v>100</v>
      </c>
      <c r="X9" s="769"/>
      <c r="Y9" s="3043" t="s">
        <v>2555</v>
      </c>
      <c r="Z9" s="54" t="str">
        <f t="shared" ref="Z9:Z15" si="7">Q9</f>
        <v>用途</v>
      </c>
      <c r="AA9" s="770">
        <f t="shared" si="3"/>
        <v>1</v>
      </c>
      <c r="AB9" s="770">
        <f t="shared" si="4"/>
        <v>1</v>
      </c>
      <c r="AC9" s="2662">
        <f t="shared" si="5"/>
        <v>1</v>
      </c>
    </row>
    <row r="10" spans="1:29" s="425" customFormat="1" ht="27">
      <c r="A10" s="419"/>
      <c r="B10" s="420" t="s">
        <v>2556</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201"/>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2662">
        <f t="shared" si="5"/>
        <v>1</v>
      </c>
    </row>
    <row r="11" spans="1:29" ht="15">
      <c r="A11" s="426"/>
      <c r="B11" s="420" t="s">
        <v>2557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201"/>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2662" t="e">
        <f t="shared" si="5"/>
        <v>#N/A</v>
      </c>
    </row>
    <row r="12" spans="1:29" s="116" customFormat="1" ht="15">
      <c r="A12" s="429"/>
      <c r="B12" s="2593">
        <v>111</v>
      </c>
      <c r="C12" s="430"/>
      <c r="D12" s="431">
        <v>100</v>
      </c>
      <c r="E12" s="430"/>
      <c r="F12" s="134">
        <f>SUMIF(71:71,E12,72:72)-SUMIF(71:71,C12,72:72)+100</f>
        <v>100</v>
      </c>
      <c r="G12" s="2663"/>
      <c r="H12" s="134">
        <f>SUMIF(71:71,G12,72:72)-SUMIF(71:71,C12,72:72)+100</f>
        <v>100</v>
      </c>
      <c r="I12" s="430"/>
      <c r="J12" s="134">
        <f>SUMIF(71:71,I12,72:72)-SUMIF(71:71,C12,72:72)+100</f>
        <v>100</v>
      </c>
      <c r="K12" s="611"/>
      <c r="L12" s="1127"/>
      <c r="M12" s="1128"/>
      <c r="N12" s="1128"/>
      <c r="O12" s="1128"/>
      <c r="P12" s="3201"/>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2662">
        <f>D12/J12</f>
        <v>1</v>
      </c>
    </row>
    <row r="13" spans="1:29" ht="15">
      <c r="A13" s="426"/>
      <c r="B13" s="2593">
        <v>111</v>
      </c>
      <c r="C13" s="432"/>
      <c r="D13" s="433">
        <v>100</v>
      </c>
      <c r="E13" s="430"/>
      <c r="F13" s="134">
        <f>SUMIF(73:73,E13,74:74)-SUMIF(73:73,C13,74:74)+100</f>
        <v>100</v>
      </c>
      <c r="G13" s="2663"/>
      <c r="H13" s="433">
        <f>SUMIF(73:73,G13,74:74)-SUMIF(73:73,C13,74:74)+100</f>
        <v>100</v>
      </c>
      <c r="I13" s="430"/>
      <c r="J13" s="433">
        <f>SUMIF(73:73,I13,74:74)-SUMIF(73:73,C13,74:74)+100</f>
        <v>100</v>
      </c>
      <c r="K13" s="611"/>
      <c r="L13" s="1135"/>
      <c r="M13" s="1126"/>
      <c r="N13" s="1126"/>
      <c r="O13" s="1126"/>
      <c r="P13" s="3201"/>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2662">
        <f t="shared" si="5"/>
        <v>1</v>
      </c>
    </row>
    <row r="14" spans="1:29" ht="15.75" thickBot="1">
      <c r="A14" s="434"/>
      <c r="B14" s="2595">
        <v>111</v>
      </c>
      <c r="C14" s="435"/>
      <c r="D14" s="436">
        <v>100</v>
      </c>
      <c r="E14" s="626"/>
      <c r="F14" s="436">
        <f>SUMIF(75:75,E14,76:76)-SUMIF(75:75,C14,76:76)+100</f>
        <v>100</v>
      </c>
      <c r="G14" s="2663"/>
      <c r="H14" s="436">
        <f>SUMIF(75:75,G14,76:76)-SUMIF(75:75,C14,76:76)+100</f>
        <v>100</v>
      </c>
      <c r="I14" s="430"/>
      <c r="J14" s="436">
        <f>SUMIF(75:75,I14,76:76)-SUMIF(75:75,C14,76:76)+100</f>
        <v>100</v>
      </c>
      <c r="K14" s="611"/>
      <c r="L14" s="1135"/>
      <c r="M14" s="1126"/>
      <c r="N14" s="1126"/>
      <c r="O14" s="1126"/>
      <c r="P14" s="3201"/>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2662">
        <f t="shared" si="5"/>
        <v>1</v>
      </c>
    </row>
    <row r="15" spans="1:29" ht="42.75">
      <c r="A15" s="438" t="s">
        <v>2558</v>
      </c>
      <c r="B15" s="627" t="s">
        <v>2686</v>
      </c>
      <c r="C15" s="2664" t="str">
        <f>估价对象房地状况!C5</f>
        <v>估价对象周边办公楼项目较少，办公集聚程度一般</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244" t="s">
        <v>2559</v>
      </c>
      <c r="Q15" s="1806" t="str">
        <f t="shared" si="6"/>
        <v>办公集聚程度</v>
      </c>
      <c r="R15" s="771" t="s">
        <v>17</v>
      </c>
      <c r="S15" s="772">
        <f t="shared" si="0"/>
        <v>100</v>
      </c>
      <c r="T15" s="771" t="s">
        <v>17</v>
      </c>
      <c r="U15" s="772">
        <f t="shared" si="1"/>
        <v>100</v>
      </c>
      <c r="V15" s="771" t="s">
        <v>17</v>
      </c>
      <c r="W15" s="772">
        <f t="shared" si="2"/>
        <v>100</v>
      </c>
      <c r="X15" s="1809"/>
      <c r="Y15" s="3192" t="s">
        <v>2559</v>
      </c>
      <c r="Z15" s="1810" t="str">
        <f t="shared" si="7"/>
        <v>办公集聚程度</v>
      </c>
      <c r="AA15" s="1807">
        <f t="shared" si="3"/>
        <v>1</v>
      </c>
      <c r="AB15" s="1807">
        <f t="shared" si="4"/>
        <v>1</v>
      </c>
      <c r="AC15" s="2665">
        <f t="shared" si="5"/>
        <v>1</v>
      </c>
    </row>
    <row r="16" spans="1:29" ht="15">
      <c r="A16" s="426"/>
      <c r="B16" s="628"/>
      <c r="C16" s="2604"/>
      <c r="D16" s="446"/>
      <c r="E16" s="445"/>
      <c r="F16" s="446"/>
      <c r="G16" s="2604"/>
      <c r="H16" s="448"/>
      <c r="I16" s="445"/>
      <c r="J16" s="446"/>
      <c r="K16" s="613"/>
      <c r="L16" s="1135"/>
      <c r="M16" s="1126"/>
      <c r="N16" s="1126"/>
      <c r="O16" s="1126"/>
      <c r="P16" s="3245"/>
      <c r="Q16" s="1806"/>
      <c r="R16" s="771"/>
      <c r="S16" s="772"/>
      <c r="T16" s="771"/>
      <c r="U16" s="772"/>
      <c r="V16" s="771"/>
      <c r="W16" s="772"/>
      <c r="X16" s="1809"/>
      <c r="Y16" s="3193"/>
      <c r="Z16" s="1810"/>
      <c r="AA16" s="1807">
        <v>1</v>
      </c>
      <c r="AB16" s="1807">
        <v>1</v>
      </c>
      <c r="AC16" s="2665">
        <v>1</v>
      </c>
    </row>
    <row r="17" spans="1:29" ht="57">
      <c r="A17" s="426"/>
      <c r="B17" s="629" t="s">
        <v>2099</v>
      </c>
      <c r="C17" s="2666" t="str">
        <f>估价对象房地状况!C6</f>
        <v>周边有941、981路等公交线路经过，交通便捷度一般</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245"/>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2665">
        <f t="shared" si="5"/>
        <v>1</v>
      </c>
    </row>
    <row r="18" spans="1:29" ht="15">
      <c r="A18" s="426"/>
      <c r="B18" s="630"/>
      <c r="C18" s="2667"/>
      <c r="D18" s="448"/>
      <c r="E18" s="2602"/>
      <c r="F18" s="448"/>
      <c r="G18" s="2603"/>
      <c r="H18" s="446"/>
      <c r="I18" s="2603"/>
      <c r="J18" s="446"/>
      <c r="K18" s="613"/>
      <c r="L18" s="1135"/>
      <c r="M18" s="1126"/>
      <c r="N18" s="1126"/>
      <c r="O18" s="1126"/>
      <c r="P18" s="3245"/>
      <c r="Q18" s="1806"/>
      <c r="R18" s="771"/>
      <c r="S18" s="772"/>
      <c r="T18" s="771"/>
      <c r="U18" s="772"/>
      <c r="V18" s="771"/>
      <c r="W18" s="772"/>
      <c r="X18" s="1809"/>
      <c r="Y18" s="3193"/>
      <c r="Z18" s="1810"/>
      <c r="AA18" s="1807">
        <v>1</v>
      </c>
      <c r="AB18" s="1807">
        <v>1</v>
      </c>
      <c r="AC18" s="2665">
        <v>1</v>
      </c>
    </row>
    <row r="19" spans="1:29" ht="42.75">
      <c r="A19" s="426"/>
      <c r="B19" s="629" t="s">
        <v>2687</v>
      </c>
      <c r="C19" s="2666" t="str">
        <f>估价对象房地状况!C7</f>
        <v>估价对象所在区域公共配套设施齐备较差</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245"/>
      <c r="Q19" s="1806" t="str">
        <f>B19</f>
        <v>公共配套设施</v>
      </c>
      <c r="R19" s="771" t="s">
        <v>17</v>
      </c>
      <c r="S19" s="772">
        <f>F19</f>
        <v>100</v>
      </c>
      <c r="T19" s="771" t="s">
        <v>17</v>
      </c>
      <c r="U19" s="772">
        <f>H19</f>
        <v>100</v>
      </c>
      <c r="V19" s="771" t="s">
        <v>17</v>
      </c>
      <c r="W19" s="772">
        <f>J19</f>
        <v>100</v>
      </c>
      <c r="X19" s="1809"/>
      <c r="Y19" s="3193"/>
      <c r="Z19" s="1810" t="str">
        <f>Q19</f>
        <v>公共配套设施</v>
      </c>
      <c r="AA19" s="1807">
        <f t="shared" si="3"/>
        <v>1</v>
      </c>
      <c r="AB19" s="1807">
        <f t="shared" si="4"/>
        <v>1</v>
      </c>
      <c r="AC19" s="2665">
        <f t="shared" si="5"/>
        <v>1</v>
      </c>
    </row>
    <row r="20" spans="1:29" ht="15">
      <c r="A20" s="426"/>
      <c r="B20" s="630"/>
      <c r="C20" s="2604"/>
      <c r="D20" s="446"/>
      <c r="E20" s="2597"/>
      <c r="F20" s="446"/>
      <c r="G20" s="2598"/>
      <c r="H20" s="446"/>
      <c r="I20" s="2598"/>
      <c r="J20" s="446"/>
      <c r="K20" s="613"/>
      <c r="L20" s="1135"/>
      <c r="M20" s="1126"/>
      <c r="N20" s="1126"/>
      <c r="O20" s="1126"/>
      <c r="P20" s="3245"/>
      <c r="Q20" s="1806"/>
      <c r="R20" s="771"/>
      <c r="S20" s="772"/>
      <c r="T20" s="771"/>
      <c r="U20" s="772"/>
      <c r="V20" s="771"/>
      <c r="W20" s="772"/>
      <c r="X20" s="1809"/>
      <c r="Y20" s="3193"/>
      <c r="Z20" s="1810"/>
      <c r="AA20" s="1807">
        <v>1</v>
      </c>
      <c r="AB20" s="1807">
        <v>1</v>
      </c>
      <c r="AC20" s="2665">
        <v>1</v>
      </c>
    </row>
    <row r="21" spans="1:29" ht="15">
      <c r="A21" s="426"/>
      <c r="B21" s="631" t="s">
        <v>2688</v>
      </c>
      <c r="C21" s="2666" t="str">
        <f>估价对象房地状况!C8</f>
        <v>基础设施为七通</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245"/>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2665">
        <f t="shared" ref="AC21" si="10">D21/J21</f>
        <v>1</v>
      </c>
    </row>
    <row r="22" spans="1:29" ht="15">
      <c r="A22" s="426"/>
      <c r="B22" s="631"/>
      <c r="C22" s="2667"/>
      <c r="D22" s="446"/>
      <c r="E22" s="445"/>
      <c r="F22" s="446"/>
      <c r="G22" s="2604"/>
      <c r="H22" s="446"/>
      <c r="I22" s="2604"/>
      <c r="J22" s="446"/>
      <c r="K22" s="1378"/>
      <c r="L22" s="1135"/>
      <c r="M22" s="1126"/>
      <c r="N22" s="1126"/>
      <c r="O22" s="1126"/>
      <c r="P22" s="3245"/>
      <c r="Q22" s="1806"/>
      <c r="R22" s="771"/>
      <c r="S22" s="772"/>
      <c r="T22" s="771"/>
      <c r="U22" s="772"/>
      <c r="V22" s="771"/>
      <c r="W22" s="772"/>
      <c r="X22" s="1809"/>
      <c r="Y22" s="3193"/>
      <c r="Z22" s="1810"/>
      <c r="AA22" s="1807">
        <v>1</v>
      </c>
      <c r="AB22" s="1807">
        <v>1</v>
      </c>
      <c r="AC22" s="2665">
        <v>1</v>
      </c>
    </row>
    <row r="23" spans="1:29" ht="71.25">
      <c r="A23" s="426"/>
      <c r="B23" s="629" t="s">
        <v>2689</v>
      </c>
      <c r="C23" s="2666" t="str">
        <f>估价对象房地状况!C9</f>
        <v>周边无大学等教育配套设施，有石门营文化公园等绿化设施，自然及人文环境一般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245"/>
      <c r="Q23" s="1806" t="str">
        <f>B23</f>
        <v>环境质量</v>
      </c>
      <c r="R23" s="771" t="s">
        <v>17</v>
      </c>
      <c r="S23" s="772">
        <f>F23</f>
        <v>100</v>
      </c>
      <c r="T23" s="771" t="s">
        <v>17</v>
      </c>
      <c r="U23" s="772">
        <f>H23</f>
        <v>100</v>
      </c>
      <c r="V23" s="771" t="s">
        <v>17</v>
      </c>
      <c r="W23" s="772">
        <f>J23</f>
        <v>100</v>
      </c>
      <c r="X23" s="1809"/>
      <c r="Y23" s="3193"/>
      <c r="Z23" s="1810" t="str">
        <f>Q23</f>
        <v>环境质量</v>
      </c>
      <c r="AA23" s="1807">
        <f t="shared" si="3"/>
        <v>1</v>
      </c>
      <c r="AB23" s="1807">
        <f t="shared" si="4"/>
        <v>1</v>
      </c>
      <c r="AC23" s="2665">
        <f t="shared" si="5"/>
        <v>1</v>
      </c>
    </row>
    <row r="24" spans="1:29" ht="15">
      <c r="A24" s="426"/>
      <c r="B24" s="631"/>
      <c r="C24" s="2604"/>
      <c r="D24" s="446"/>
      <c r="E24" s="2597"/>
      <c r="F24" s="446"/>
      <c r="G24" s="2598"/>
      <c r="H24" s="446"/>
      <c r="I24" s="2598"/>
      <c r="J24" s="446"/>
      <c r="K24" s="613"/>
      <c r="L24" s="1135"/>
      <c r="M24" s="1126"/>
      <c r="N24" s="1126"/>
      <c r="O24" s="1126"/>
      <c r="P24" s="3245"/>
      <c r="Q24" s="1806"/>
      <c r="R24" s="771"/>
      <c r="S24" s="772"/>
      <c r="T24" s="771"/>
      <c r="U24" s="772"/>
      <c r="V24" s="771"/>
      <c r="W24" s="772"/>
      <c r="X24" s="1809"/>
      <c r="Y24" s="3193"/>
      <c r="Z24" s="1810"/>
      <c r="AA24" s="1807">
        <v>1</v>
      </c>
      <c r="AB24" s="1807">
        <v>1</v>
      </c>
      <c r="AC24" s="2665">
        <v>1</v>
      </c>
    </row>
    <row r="25" spans="1:29" ht="27">
      <c r="A25" s="402"/>
      <c r="B25" s="629" t="s">
        <v>2690</v>
      </c>
      <c r="C25" s="2608"/>
      <c r="D25" s="433">
        <v>100</v>
      </c>
      <c r="E25" s="432"/>
      <c r="F25" s="433">
        <f>SUMIF(87:87,E26,88:88)-SUMIF(87:87,C26,88:88)+100</f>
        <v>100</v>
      </c>
      <c r="G25" s="2608"/>
      <c r="H25" s="433">
        <f>SUMIF(87:87,G26,88:88)-SUMIF(87:87,C26,88:88)+100</f>
        <v>100</v>
      </c>
      <c r="I25" s="432"/>
      <c r="J25" s="433">
        <f>SUMIF(87:87,I26,88:88)-SUMIF(87:87,C26,88:88)+100</f>
        <v>100</v>
      </c>
      <c r="K25" s="612"/>
      <c r="L25" s="1135"/>
      <c r="M25" s="1126"/>
      <c r="N25" s="1126"/>
      <c r="O25" s="1126"/>
      <c r="P25" s="3245"/>
      <c r="Q25" s="1806" t="str">
        <f>B25</f>
        <v>毗邻道路的类型与等级</v>
      </c>
      <c r="R25" s="771" t="s">
        <v>17</v>
      </c>
      <c r="S25" s="772">
        <f>F25</f>
        <v>100</v>
      </c>
      <c r="T25" s="771" t="s">
        <v>17</v>
      </c>
      <c r="U25" s="772">
        <f>H25</f>
        <v>100</v>
      </c>
      <c r="V25" s="771" t="s">
        <v>17</v>
      </c>
      <c r="W25" s="772">
        <f>J25</f>
        <v>100</v>
      </c>
      <c r="X25" s="1809"/>
      <c r="Y25" s="3193"/>
      <c r="Z25" s="1810" t="str">
        <f>Q25</f>
        <v>毗邻道路的类型与等级</v>
      </c>
      <c r="AA25" s="1807">
        <f t="shared" si="3"/>
        <v>1</v>
      </c>
      <c r="AB25" s="1807">
        <f t="shared" si="4"/>
        <v>1</v>
      </c>
      <c r="AC25" s="2665">
        <f t="shared" si="5"/>
        <v>1</v>
      </c>
    </row>
    <row r="26" spans="1:29" ht="15">
      <c r="A26" s="402"/>
      <c r="B26" s="630"/>
      <c r="C26" s="632"/>
      <c r="D26" s="433"/>
      <c r="E26" s="614"/>
      <c r="F26" s="433"/>
      <c r="G26" s="632"/>
      <c r="H26" s="433"/>
      <c r="I26" s="614"/>
      <c r="J26" s="433"/>
      <c r="K26" s="613"/>
      <c r="L26" s="1135"/>
      <c r="M26" s="1126"/>
      <c r="N26" s="1126"/>
      <c r="O26" s="1126"/>
      <c r="P26" s="3245"/>
      <c r="Q26" s="1806"/>
      <c r="R26" s="771"/>
      <c r="S26" s="772"/>
      <c r="T26" s="771"/>
      <c r="U26" s="772"/>
      <c r="V26" s="771"/>
      <c r="W26" s="772"/>
      <c r="X26" s="1809"/>
      <c r="Y26" s="3193"/>
      <c r="Z26" s="1810"/>
      <c r="AA26" s="1807">
        <v>1</v>
      </c>
      <c r="AB26" s="1807">
        <v>1</v>
      </c>
      <c r="AC26" s="2665">
        <v>1</v>
      </c>
    </row>
    <row r="27" spans="1:29" ht="15">
      <c r="A27" s="426"/>
      <c r="B27" s="630" t="s">
        <v>2658</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245"/>
      <c r="Q27" s="1806" t="str">
        <f t="shared" ref="Q27:Q47" si="11">B27</f>
        <v>楼层</v>
      </c>
      <c r="R27" s="771" t="s">
        <v>17</v>
      </c>
      <c r="S27" s="772">
        <f>F27</f>
        <v>100</v>
      </c>
      <c r="T27" s="771" t="s">
        <v>17</v>
      </c>
      <c r="U27" s="772">
        <f>H27</f>
        <v>100</v>
      </c>
      <c r="V27" s="771" t="s">
        <v>17</v>
      </c>
      <c r="W27" s="772">
        <f>J27</f>
        <v>100</v>
      </c>
      <c r="X27" s="1809"/>
      <c r="Y27" s="3193"/>
      <c r="Z27" s="1810" t="str">
        <f>Q27</f>
        <v>楼层</v>
      </c>
      <c r="AA27" s="1807">
        <f t="shared" si="3"/>
        <v>1</v>
      </c>
      <c r="AB27" s="1807">
        <f t="shared" si="4"/>
        <v>1</v>
      </c>
      <c r="AC27" s="2665">
        <f t="shared" si="5"/>
        <v>1</v>
      </c>
    </row>
    <row r="28" spans="1:29" s="116" customFormat="1" ht="15">
      <c r="A28" s="429"/>
      <c r="B28" s="629" t="s">
        <v>2691</v>
      </c>
      <c r="C28" s="2668"/>
      <c r="D28" s="460">
        <v>100</v>
      </c>
      <c r="E28" s="2656"/>
      <c r="F28" s="460">
        <f>SUMIF(91:91,E28,92:92)-SUMIF(91:91,C28,92:92)+100</f>
        <v>100</v>
      </c>
      <c r="G28" s="2668"/>
      <c r="H28" s="460">
        <f>SUMIF(91:91,G28,92:92)-SUMIF(91:91,C28,92:92)+100</f>
        <v>100</v>
      </c>
      <c r="I28" s="2656"/>
      <c r="J28" s="460">
        <f>SUMIF(91:91,I28,92:92)-SUMIF(91:91,C28,92:92)+100</f>
        <v>100</v>
      </c>
      <c r="K28" s="610"/>
      <c r="L28" s="1127"/>
      <c r="M28" s="1128"/>
      <c r="N28" s="1128"/>
      <c r="O28" s="1128"/>
      <c r="P28" s="3245"/>
      <c r="Q28" s="1791" t="str">
        <f t="shared" si="11"/>
        <v>朝向</v>
      </c>
      <c r="R28" s="767" t="s">
        <v>17</v>
      </c>
      <c r="S28" s="768">
        <f>F28</f>
        <v>100</v>
      </c>
      <c r="T28" s="767" t="s">
        <v>17</v>
      </c>
      <c r="U28" s="768">
        <f>H28</f>
        <v>100</v>
      </c>
      <c r="V28" s="767" t="s">
        <v>17</v>
      </c>
      <c r="W28" s="768">
        <f>J28</f>
        <v>100</v>
      </c>
      <c r="X28" s="769"/>
      <c r="Y28" s="3193"/>
      <c r="Z28" s="54" t="str">
        <f>Q28</f>
        <v>朝向</v>
      </c>
      <c r="AA28" s="1807">
        <f>D28/F28</f>
        <v>1</v>
      </c>
      <c r="AB28" s="1807">
        <f>D28/H28</f>
        <v>1</v>
      </c>
      <c r="AC28" s="2665">
        <f>D28/J28</f>
        <v>1</v>
      </c>
    </row>
    <row r="29" spans="1:29" ht="15">
      <c r="A29" s="426"/>
      <c r="B29" s="2669">
        <v>111</v>
      </c>
      <c r="C29" s="2608"/>
      <c r="D29" s="433">
        <v>100</v>
      </c>
      <c r="E29" s="430"/>
      <c r="F29" s="433">
        <f>SUMIF(93:93,E29,94:94)-SUMIF(93:93,C29,94:94)+100</f>
        <v>100</v>
      </c>
      <c r="G29" s="2663"/>
      <c r="H29" s="433">
        <f>SUMIF(93:93,G29,94:94)-SUMIF(93:93,C29,94:94)+100</f>
        <v>100</v>
      </c>
      <c r="I29" s="430"/>
      <c r="J29" s="433">
        <f>SUMIF(93:93,I29,94:94)-SUMIF(93:93,C29,94:94)+100</f>
        <v>100</v>
      </c>
      <c r="K29" s="611"/>
      <c r="L29" s="1135"/>
      <c r="M29" s="1126"/>
      <c r="N29" s="1126"/>
      <c r="O29" s="1126"/>
      <c r="P29" s="3245"/>
      <c r="Q29" s="1806">
        <f t="shared" si="11"/>
        <v>111</v>
      </c>
      <c r="R29" s="771" t="s">
        <v>17</v>
      </c>
      <c r="S29" s="772">
        <f t="shared" ref="S29:S47" si="12">F29</f>
        <v>100</v>
      </c>
      <c r="T29" s="771" t="s">
        <v>17</v>
      </c>
      <c r="U29" s="772">
        <f t="shared" ref="U29:U47" si="13">H29</f>
        <v>100</v>
      </c>
      <c r="V29" s="771" t="s">
        <v>17</v>
      </c>
      <c r="W29" s="772">
        <f t="shared" ref="W29:W47" si="14">J29</f>
        <v>100</v>
      </c>
      <c r="X29" s="1809"/>
      <c r="Y29" s="3193"/>
      <c r="Z29" s="1810">
        <f t="shared" ref="Z29:Z47" si="15">Q29</f>
        <v>111</v>
      </c>
      <c r="AA29" s="1807">
        <f t="shared" si="3"/>
        <v>1</v>
      </c>
      <c r="AB29" s="1807">
        <f t="shared" si="4"/>
        <v>1</v>
      </c>
      <c r="AC29" s="2665">
        <f t="shared" si="5"/>
        <v>1</v>
      </c>
    </row>
    <row r="30" spans="1:29" ht="15">
      <c r="A30" s="426"/>
      <c r="B30" s="2669">
        <v>111</v>
      </c>
      <c r="C30" s="2608"/>
      <c r="D30" s="433">
        <v>100</v>
      </c>
      <c r="E30" s="430"/>
      <c r="F30" s="433">
        <f>SUMIF(95:95,E30,96:96)-SUMIF(95:95,C30,96:96)+100</f>
        <v>100</v>
      </c>
      <c r="G30" s="2663"/>
      <c r="H30" s="433">
        <f>SUMIF(95:95,G30,96:96)-SUMIF(95:95,C30,96:96)+100</f>
        <v>100</v>
      </c>
      <c r="I30" s="430"/>
      <c r="J30" s="433">
        <f>SUMIF(95:95,I30,96:96)-SUMIF(95:95,C30,96:96)+100</f>
        <v>100</v>
      </c>
      <c r="K30" s="611"/>
      <c r="L30" s="1135"/>
      <c r="M30" s="1126"/>
      <c r="N30" s="1126"/>
      <c r="O30" s="1126"/>
      <c r="P30" s="3245"/>
      <c r="Q30" s="1806">
        <f t="shared" si="11"/>
        <v>111</v>
      </c>
      <c r="R30" s="771" t="s">
        <v>17</v>
      </c>
      <c r="S30" s="772">
        <f t="shared" si="12"/>
        <v>100</v>
      </c>
      <c r="T30" s="771" t="s">
        <v>17</v>
      </c>
      <c r="U30" s="772">
        <f t="shared" si="13"/>
        <v>100</v>
      </c>
      <c r="V30" s="771" t="s">
        <v>17</v>
      </c>
      <c r="W30" s="772">
        <f t="shared" si="14"/>
        <v>100</v>
      </c>
      <c r="X30" s="1809"/>
      <c r="Y30" s="3193"/>
      <c r="Z30" s="1810">
        <f t="shared" si="15"/>
        <v>111</v>
      </c>
      <c r="AA30" s="1807">
        <f t="shared" si="3"/>
        <v>1</v>
      </c>
      <c r="AB30" s="1807">
        <f t="shared" si="4"/>
        <v>1</v>
      </c>
      <c r="AC30" s="2665">
        <f t="shared" si="5"/>
        <v>1</v>
      </c>
    </row>
    <row r="31" spans="1:29" ht="15">
      <c r="A31" s="426"/>
      <c r="B31" s="2669">
        <v>111</v>
      </c>
      <c r="C31" s="2608"/>
      <c r="D31" s="433">
        <v>100</v>
      </c>
      <c r="E31" s="430"/>
      <c r="F31" s="433">
        <f>SUMIF(97:97,E31,98:98)-SUMIF(97:97,C31,98:98)+100</f>
        <v>100</v>
      </c>
      <c r="G31" s="2663"/>
      <c r="H31" s="433">
        <f>SUMIF(97:97,G31,98:98)-SUMIF(97:97,C31,98:98)+100</f>
        <v>100</v>
      </c>
      <c r="I31" s="430"/>
      <c r="J31" s="433">
        <f>SUMIF(97:97,I31,98:98)-SUMIF(97:97,C31,98:98)+100</f>
        <v>100</v>
      </c>
      <c r="K31" s="611"/>
      <c r="L31" s="1135"/>
      <c r="M31" s="1126"/>
      <c r="N31" s="1126"/>
      <c r="O31" s="1126"/>
      <c r="P31" s="3245"/>
      <c r="Q31" s="1806">
        <f t="shared" si="11"/>
        <v>111</v>
      </c>
      <c r="R31" s="771" t="s">
        <v>17</v>
      </c>
      <c r="S31" s="772">
        <f t="shared" si="12"/>
        <v>100</v>
      </c>
      <c r="T31" s="771" t="s">
        <v>17</v>
      </c>
      <c r="U31" s="772">
        <f t="shared" si="13"/>
        <v>100</v>
      </c>
      <c r="V31" s="771" t="s">
        <v>17</v>
      </c>
      <c r="W31" s="772">
        <f t="shared" si="14"/>
        <v>100</v>
      </c>
      <c r="X31" s="1809"/>
      <c r="Y31" s="3193"/>
      <c r="Z31" s="1810">
        <f t="shared" si="15"/>
        <v>111</v>
      </c>
      <c r="AA31" s="1807">
        <f t="shared" si="3"/>
        <v>1</v>
      </c>
      <c r="AB31" s="1807">
        <f t="shared" si="4"/>
        <v>1</v>
      </c>
      <c r="AC31" s="2665">
        <f t="shared" si="5"/>
        <v>1</v>
      </c>
    </row>
    <row r="32" spans="1:29" ht="15.75" thickBot="1">
      <c r="A32" s="434"/>
      <c r="B32" s="633">
        <v>111</v>
      </c>
      <c r="C32" s="2609"/>
      <c r="D32" s="436">
        <v>100</v>
      </c>
      <c r="E32" s="626"/>
      <c r="F32" s="436">
        <f>SUMIF(99:99,E32,100:100)-SUMIF(99:99,C32,100:100)+100</f>
        <v>100</v>
      </c>
      <c r="G32" s="2663"/>
      <c r="H32" s="436">
        <f>SUMIF(99:99,G32,100:100)-SUMIF(99:99,C32,100:100)+100</f>
        <v>100</v>
      </c>
      <c r="I32" s="430"/>
      <c r="J32" s="436">
        <f>SUMIF(99:99,I32,100:100)-SUMIF(99:99,C32,100:100)+100</f>
        <v>100</v>
      </c>
      <c r="K32" s="611"/>
      <c r="L32" s="1135"/>
      <c r="M32" s="1126"/>
      <c r="N32" s="1126"/>
      <c r="O32" s="1126"/>
      <c r="P32" s="3245"/>
      <c r="Q32" s="1806">
        <f t="shared" si="11"/>
        <v>111</v>
      </c>
      <c r="R32" s="771" t="s">
        <v>17</v>
      </c>
      <c r="S32" s="772">
        <f t="shared" si="12"/>
        <v>100</v>
      </c>
      <c r="T32" s="771" t="s">
        <v>17</v>
      </c>
      <c r="U32" s="772">
        <f t="shared" si="13"/>
        <v>100</v>
      </c>
      <c r="V32" s="771" t="s">
        <v>17</v>
      </c>
      <c r="W32" s="772">
        <f t="shared" si="14"/>
        <v>100</v>
      </c>
      <c r="X32" s="1809"/>
      <c r="Y32" s="3193"/>
      <c r="Z32" s="1810">
        <f t="shared" si="15"/>
        <v>111</v>
      </c>
      <c r="AA32" s="1807">
        <f t="shared" si="3"/>
        <v>1</v>
      </c>
      <c r="AB32" s="1807">
        <f t="shared" si="4"/>
        <v>1</v>
      </c>
      <c r="AC32" s="2665">
        <f t="shared" si="5"/>
        <v>1</v>
      </c>
    </row>
    <row r="33" spans="1:29" ht="15">
      <c r="A33" s="438" t="s">
        <v>2562</v>
      </c>
      <c r="B33" s="70" t="s">
        <v>2692</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5"/>
      <c r="M33" s="1126"/>
      <c r="N33" s="1126"/>
      <c r="O33" s="1126"/>
      <c r="P33" s="3240" t="s">
        <v>2564</v>
      </c>
      <c r="Q33" s="1806" t="str">
        <f t="shared" si="11"/>
        <v>建筑类型</v>
      </c>
      <c r="R33" s="771" t="s">
        <v>17</v>
      </c>
      <c r="S33" s="772">
        <f t="shared" si="12"/>
        <v>100</v>
      </c>
      <c r="T33" s="771" t="s">
        <v>17</v>
      </c>
      <c r="U33" s="772">
        <f t="shared" si="13"/>
        <v>100</v>
      </c>
      <c r="V33" s="771" t="s">
        <v>17</v>
      </c>
      <c r="W33" s="772">
        <f t="shared" si="14"/>
        <v>100</v>
      </c>
      <c r="X33" s="1809"/>
      <c r="Y33" s="3195" t="s">
        <v>2564</v>
      </c>
      <c r="Z33" s="1810" t="str">
        <f t="shared" si="15"/>
        <v>建筑类型</v>
      </c>
      <c r="AA33" s="1807">
        <f t="shared" si="3"/>
        <v>1</v>
      </c>
      <c r="AB33" s="1807">
        <f t="shared" si="4"/>
        <v>1</v>
      </c>
      <c r="AC33" s="2665">
        <f t="shared" si="5"/>
        <v>1</v>
      </c>
    </row>
    <row r="34" spans="1:29" s="469" customFormat="1" ht="15">
      <c r="A34" s="466"/>
      <c r="B34" s="420" t="s">
        <v>2565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241"/>
      <c r="Q34" s="773" t="str">
        <f t="shared" si="11"/>
        <v>项目建筑规模</v>
      </c>
      <c r="R34" s="774" t="s">
        <v>17</v>
      </c>
      <c r="S34" s="775" t="e">
        <f t="shared" si="12"/>
        <v>#N/A</v>
      </c>
      <c r="T34" s="774" t="s">
        <v>17</v>
      </c>
      <c r="U34" s="775" t="e">
        <f t="shared" si="13"/>
        <v>#N/A</v>
      </c>
      <c r="V34" s="774" t="s">
        <v>17</v>
      </c>
      <c r="W34" s="775" t="e">
        <f t="shared" si="14"/>
        <v>#N/A</v>
      </c>
      <c r="X34" s="776"/>
      <c r="Y34" s="3195"/>
      <c r="Z34" s="777" t="str">
        <f t="shared" si="15"/>
        <v>项目建筑规模</v>
      </c>
      <c r="AA34" s="1807" t="e">
        <f t="shared" si="3"/>
        <v>#N/A</v>
      </c>
      <c r="AB34" s="1807" t="e">
        <f t="shared" si="4"/>
        <v>#N/A</v>
      </c>
      <c r="AC34" s="2665" t="e">
        <f t="shared" si="5"/>
        <v>#N/A</v>
      </c>
    </row>
    <row r="35" spans="1:29" ht="15">
      <c r="A35" s="470"/>
      <c r="B35" s="420" t="s">
        <v>2566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241"/>
      <c r="Q35" s="1806" t="str">
        <f t="shared" si="11"/>
        <v>建筑结构</v>
      </c>
      <c r="R35" s="771" t="s">
        <v>17</v>
      </c>
      <c r="S35" s="772">
        <f t="shared" si="12"/>
        <v>100</v>
      </c>
      <c r="T35" s="771" t="s">
        <v>17</v>
      </c>
      <c r="U35" s="772">
        <f t="shared" si="13"/>
        <v>100</v>
      </c>
      <c r="V35" s="771" t="s">
        <v>17</v>
      </c>
      <c r="W35" s="772">
        <f t="shared" si="14"/>
        <v>100</v>
      </c>
      <c r="X35" s="1809"/>
      <c r="Y35" s="3195"/>
      <c r="Z35" s="1810" t="str">
        <f t="shared" si="15"/>
        <v>建筑结构</v>
      </c>
      <c r="AA35" s="1807">
        <f t="shared" si="3"/>
        <v>1</v>
      </c>
      <c r="AB35" s="1807">
        <f t="shared" si="4"/>
        <v>1</v>
      </c>
      <c r="AC35" s="2665">
        <f t="shared" si="5"/>
        <v>1</v>
      </c>
    </row>
    <row r="36" spans="1:29" ht="15">
      <c r="A36" s="470"/>
      <c r="B36" s="420" t="s">
        <v>2660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241"/>
      <c r="Q36" s="1806" t="str">
        <f t="shared" si="11"/>
        <v>公共部分装修</v>
      </c>
      <c r="R36" s="771" t="s">
        <v>17</v>
      </c>
      <c r="S36" s="772">
        <f t="shared" si="12"/>
        <v>100</v>
      </c>
      <c r="T36" s="771" t="s">
        <v>17</v>
      </c>
      <c r="U36" s="772">
        <f t="shared" si="13"/>
        <v>100</v>
      </c>
      <c r="V36" s="771" t="s">
        <v>17</v>
      </c>
      <c r="W36" s="772">
        <f t="shared" si="14"/>
        <v>100</v>
      </c>
      <c r="X36" s="1809"/>
      <c r="Y36" s="3195"/>
      <c r="Z36" s="1810" t="str">
        <f t="shared" si="15"/>
        <v>公共部分装修</v>
      </c>
      <c r="AA36" s="1807">
        <f t="shared" si="3"/>
        <v>1</v>
      </c>
      <c r="AB36" s="1807">
        <f t="shared" si="4"/>
        <v>1</v>
      </c>
      <c r="AC36" s="2665">
        <f t="shared" si="5"/>
        <v>1</v>
      </c>
    </row>
    <row r="37" spans="1:29" ht="15">
      <c r="A37" s="470"/>
      <c r="B37" s="420" t="s">
        <v>2661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241"/>
      <c r="Q37" s="1806" t="str">
        <f t="shared" si="11"/>
        <v>成新度</v>
      </c>
      <c r="R37" s="771" t="s">
        <v>17</v>
      </c>
      <c r="S37" s="772" t="e">
        <f t="shared" si="12"/>
        <v>#N/A</v>
      </c>
      <c r="T37" s="771" t="s">
        <v>17</v>
      </c>
      <c r="U37" s="772" t="e">
        <f t="shared" si="13"/>
        <v>#N/A</v>
      </c>
      <c r="V37" s="771" t="s">
        <v>17</v>
      </c>
      <c r="W37" s="772" t="e">
        <f t="shared" si="14"/>
        <v>#N/A</v>
      </c>
      <c r="X37" s="1809"/>
      <c r="Y37" s="3195"/>
      <c r="Z37" s="1810" t="str">
        <f t="shared" si="15"/>
        <v>成新度</v>
      </c>
      <c r="AA37" s="1807" t="e">
        <f t="shared" si="3"/>
        <v>#N/A</v>
      </c>
      <c r="AB37" s="1807" t="e">
        <f t="shared" si="4"/>
        <v>#N/A</v>
      </c>
      <c r="AC37" s="2665" t="e">
        <f t="shared" si="5"/>
        <v>#N/A</v>
      </c>
    </row>
    <row r="38" spans="1:29" s="116" customFormat="1" ht="15">
      <c r="A38" s="471"/>
      <c r="B38" s="420" t="s">
        <v>2693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241"/>
      <c r="Q38" s="1791" t="str">
        <f t="shared" si="11"/>
        <v>写字楼等级</v>
      </c>
      <c r="R38" s="767" t="s">
        <v>17</v>
      </c>
      <c r="S38" s="768">
        <f t="shared" si="12"/>
        <v>100</v>
      </c>
      <c r="T38" s="767" t="s">
        <v>17</v>
      </c>
      <c r="U38" s="768">
        <f t="shared" si="13"/>
        <v>100</v>
      </c>
      <c r="V38" s="767" t="s">
        <v>17</v>
      </c>
      <c r="W38" s="768">
        <f t="shared" si="14"/>
        <v>100</v>
      </c>
      <c r="X38" s="769"/>
      <c r="Y38" s="3195"/>
      <c r="Z38" s="54" t="str">
        <f t="shared" si="15"/>
        <v>写字楼等级</v>
      </c>
      <c r="AA38" s="770">
        <f t="shared" si="3"/>
        <v>1</v>
      </c>
      <c r="AB38" s="770">
        <f t="shared" si="4"/>
        <v>1</v>
      </c>
      <c r="AC38" s="2662">
        <f t="shared" si="5"/>
        <v>1</v>
      </c>
    </row>
    <row r="39" spans="1:29" ht="15">
      <c r="A39" s="470"/>
      <c r="B39" s="420" t="s">
        <v>2694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241" t="s">
        <v>2564</v>
      </c>
      <c r="Q39" s="1806" t="str">
        <f t="shared" si="11"/>
        <v>物业管理</v>
      </c>
      <c r="R39" s="771" t="s">
        <v>17</v>
      </c>
      <c r="S39" s="772">
        <f t="shared" si="12"/>
        <v>100</v>
      </c>
      <c r="T39" s="771" t="s">
        <v>17</v>
      </c>
      <c r="U39" s="772">
        <f t="shared" si="13"/>
        <v>100</v>
      </c>
      <c r="V39" s="771" t="s">
        <v>17</v>
      </c>
      <c r="W39" s="772">
        <f t="shared" si="14"/>
        <v>100</v>
      </c>
      <c r="X39" s="1809"/>
      <c r="Y39" s="3195" t="s">
        <v>2564</v>
      </c>
      <c r="Z39" s="1810" t="str">
        <f t="shared" si="15"/>
        <v>物业管理</v>
      </c>
      <c r="AA39" s="1807">
        <f t="shared" si="3"/>
        <v>1</v>
      </c>
      <c r="AB39" s="1807">
        <f t="shared" si="4"/>
        <v>1</v>
      </c>
      <c r="AC39" s="2665">
        <f t="shared" si="5"/>
        <v>1</v>
      </c>
    </row>
    <row r="40" spans="1:29" ht="15">
      <c r="A40" s="470"/>
      <c r="B40" s="420" t="s">
        <v>2662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241"/>
      <c r="Q40" s="1806" t="str">
        <f t="shared" si="11"/>
        <v>市政基础设施</v>
      </c>
      <c r="R40" s="771" t="s">
        <v>17</v>
      </c>
      <c r="S40" s="772">
        <f t="shared" si="12"/>
        <v>100</v>
      </c>
      <c r="T40" s="771" t="s">
        <v>17</v>
      </c>
      <c r="U40" s="772">
        <f t="shared" si="13"/>
        <v>100</v>
      </c>
      <c r="V40" s="771" t="s">
        <v>17</v>
      </c>
      <c r="W40" s="772">
        <f t="shared" si="14"/>
        <v>100</v>
      </c>
      <c r="X40" s="1809"/>
      <c r="Y40" s="3195"/>
      <c r="Z40" s="1810" t="str">
        <f t="shared" si="15"/>
        <v>市政基础设施</v>
      </c>
      <c r="AA40" s="1807">
        <f t="shared" si="3"/>
        <v>1</v>
      </c>
      <c r="AB40" s="1807">
        <f t="shared" si="4"/>
        <v>1</v>
      </c>
      <c r="AC40" s="2665">
        <f t="shared" si="5"/>
        <v>1</v>
      </c>
    </row>
    <row r="41" spans="1:29" ht="15">
      <c r="A41" s="470"/>
      <c r="B41" s="420" t="s">
        <v>2664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241"/>
      <c r="Q41" s="1806" t="str">
        <f t="shared" si="11"/>
        <v>层高</v>
      </c>
      <c r="R41" s="771" t="s">
        <v>17</v>
      </c>
      <c r="S41" s="772">
        <f t="shared" si="12"/>
        <v>100</v>
      </c>
      <c r="T41" s="771" t="s">
        <v>17</v>
      </c>
      <c r="U41" s="772">
        <f t="shared" si="13"/>
        <v>100</v>
      </c>
      <c r="V41" s="771" t="s">
        <v>17</v>
      </c>
      <c r="W41" s="772">
        <f t="shared" si="14"/>
        <v>100</v>
      </c>
      <c r="X41" s="1809"/>
      <c r="Y41" s="3195"/>
      <c r="Z41" s="1810" t="str">
        <f t="shared" si="15"/>
        <v>层高</v>
      </c>
      <c r="AA41" s="1807">
        <f t="shared" si="3"/>
        <v>1</v>
      </c>
      <c r="AB41" s="1807">
        <f t="shared" si="4"/>
        <v>1</v>
      </c>
      <c r="AC41" s="2665">
        <f t="shared" si="5"/>
        <v>1</v>
      </c>
    </row>
    <row r="42" spans="1:29" s="469" customFormat="1" ht="15">
      <c r="A42" s="466"/>
      <c r="B42" s="1808" t="s">
        <v>2695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241"/>
      <c r="Q42" s="773" t="str">
        <f t="shared" si="11"/>
        <v>单套建筑面积</v>
      </c>
      <c r="R42" s="774" t="s">
        <v>17</v>
      </c>
      <c r="S42" s="775">
        <f t="shared" si="12"/>
        <v>100</v>
      </c>
      <c r="T42" s="774" t="s">
        <v>17</v>
      </c>
      <c r="U42" s="775">
        <f t="shared" si="13"/>
        <v>100</v>
      </c>
      <c r="V42" s="774" t="s">
        <v>17</v>
      </c>
      <c r="W42" s="775">
        <f t="shared" si="14"/>
        <v>100</v>
      </c>
      <c r="X42" s="776"/>
      <c r="Y42" s="3195"/>
      <c r="Z42" s="777" t="str">
        <f t="shared" si="15"/>
        <v>单套建筑面积</v>
      </c>
      <c r="AA42" s="1807">
        <f t="shared" si="3"/>
        <v>1</v>
      </c>
      <c r="AB42" s="1807">
        <f t="shared" si="4"/>
        <v>1</v>
      </c>
      <c r="AC42" s="2665">
        <f t="shared" si="5"/>
        <v>1</v>
      </c>
    </row>
    <row r="43" spans="1:29" ht="15">
      <c r="A43" s="470"/>
      <c r="B43" s="420" t="s">
        <v>2667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241"/>
      <c r="Q43" s="1806" t="str">
        <f t="shared" si="11"/>
        <v>内部装修</v>
      </c>
      <c r="R43" s="771" t="s">
        <v>17</v>
      </c>
      <c r="S43" s="772">
        <f t="shared" si="12"/>
        <v>100</v>
      </c>
      <c r="T43" s="771" t="s">
        <v>17</v>
      </c>
      <c r="U43" s="772">
        <f t="shared" si="13"/>
        <v>100</v>
      </c>
      <c r="V43" s="771" t="s">
        <v>17</v>
      </c>
      <c r="W43" s="772">
        <f t="shared" si="14"/>
        <v>100</v>
      </c>
      <c r="X43" s="1809"/>
      <c r="Y43" s="3195"/>
      <c r="Z43" s="1810" t="str">
        <f t="shared" si="15"/>
        <v>内部装修</v>
      </c>
      <c r="AA43" s="1807">
        <f t="shared" si="3"/>
        <v>1</v>
      </c>
      <c r="AB43" s="1807">
        <f t="shared" si="4"/>
        <v>1</v>
      </c>
      <c r="AC43" s="2665">
        <f t="shared" si="5"/>
        <v>1</v>
      </c>
    </row>
    <row r="44" spans="1:29" ht="15">
      <c r="A44" s="470"/>
      <c r="B44" s="420" t="s">
        <v>2575</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5"/>
      <c r="M44" s="1126"/>
      <c r="N44" s="1126"/>
      <c r="O44" s="1126"/>
      <c r="P44" s="3241"/>
      <c r="Q44" s="1806" t="str">
        <f t="shared" si="11"/>
        <v>内部装修维护情况</v>
      </c>
      <c r="R44" s="771" t="s">
        <v>17</v>
      </c>
      <c r="S44" s="772">
        <f t="shared" si="12"/>
        <v>100</v>
      </c>
      <c r="T44" s="771" t="s">
        <v>17</v>
      </c>
      <c r="U44" s="772">
        <f t="shared" si="13"/>
        <v>100</v>
      </c>
      <c r="V44" s="771" t="s">
        <v>17</v>
      </c>
      <c r="W44" s="772">
        <f t="shared" si="14"/>
        <v>100</v>
      </c>
      <c r="X44" s="1809"/>
      <c r="Y44" s="3195"/>
      <c r="Z44" s="1810" t="str">
        <f t="shared" si="15"/>
        <v>内部装修维护情况</v>
      </c>
      <c r="AA44" s="1807">
        <f t="shared" si="3"/>
        <v>1</v>
      </c>
      <c r="AB44" s="1807">
        <f t="shared" si="4"/>
        <v>1</v>
      </c>
      <c r="AC44" s="2665">
        <f t="shared" si="5"/>
        <v>1</v>
      </c>
    </row>
    <row r="45" spans="1:29" s="116"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241"/>
      <c r="Q45" s="1791">
        <f t="shared" si="11"/>
        <v>111</v>
      </c>
      <c r="R45" s="767" t="s">
        <v>17</v>
      </c>
      <c r="S45" s="768">
        <f t="shared" si="12"/>
        <v>100</v>
      </c>
      <c r="T45" s="767" t="s">
        <v>17</v>
      </c>
      <c r="U45" s="768">
        <f t="shared" si="13"/>
        <v>100</v>
      </c>
      <c r="V45" s="767" t="s">
        <v>17</v>
      </c>
      <c r="W45" s="768">
        <f t="shared" si="14"/>
        <v>100</v>
      </c>
      <c r="X45" s="769"/>
      <c r="Y45" s="3195"/>
      <c r="Z45" s="54">
        <f t="shared" si="15"/>
        <v>111</v>
      </c>
      <c r="AA45" s="770">
        <f t="shared" si="3"/>
        <v>1</v>
      </c>
      <c r="AB45" s="770">
        <f t="shared" si="4"/>
        <v>1</v>
      </c>
      <c r="AC45" s="2662">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241"/>
      <c r="Q46" s="1806">
        <f t="shared" si="11"/>
        <v>111</v>
      </c>
      <c r="R46" s="771" t="s">
        <v>17</v>
      </c>
      <c r="S46" s="772">
        <f t="shared" si="12"/>
        <v>100</v>
      </c>
      <c r="T46" s="771" t="s">
        <v>17</v>
      </c>
      <c r="U46" s="772">
        <f t="shared" si="13"/>
        <v>100</v>
      </c>
      <c r="V46" s="771" t="s">
        <v>17</v>
      </c>
      <c r="W46" s="772">
        <f t="shared" si="14"/>
        <v>100</v>
      </c>
      <c r="X46" s="1809"/>
      <c r="Y46" s="3195"/>
      <c r="Z46" s="1810">
        <f t="shared" si="15"/>
        <v>111</v>
      </c>
      <c r="AA46" s="1807">
        <f t="shared" si="3"/>
        <v>1</v>
      </c>
      <c r="AB46" s="1807">
        <f t="shared" si="4"/>
        <v>1</v>
      </c>
      <c r="AC46" s="2665">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242"/>
      <c r="Q47" s="1806">
        <f t="shared" si="11"/>
        <v>111</v>
      </c>
      <c r="R47" s="771" t="s">
        <v>17</v>
      </c>
      <c r="S47" s="772">
        <f t="shared" si="12"/>
        <v>100</v>
      </c>
      <c r="T47" s="771" t="s">
        <v>17</v>
      </c>
      <c r="U47" s="772">
        <f t="shared" si="13"/>
        <v>100</v>
      </c>
      <c r="V47" s="771" t="s">
        <v>17</v>
      </c>
      <c r="W47" s="772">
        <f t="shared" si="14"/>
        <v>100</v>
      </c>
      <c r="X47" s="1809"/>
      <c r="Y47" s="3243"/>
      <c r="Z47" s="1810">
        <f t="shared" si="15"/>
        <v>111</v>
      </c>
      <c r="AA47" s="1807">
        <f t="shared" si="3"/>
        <v>1</v>
      </c>
      <c r="AB47" s="1807">
        <f t="shared" si="4"/>
        <v>1</v>
      </c>
      <c r="AC47" s="2665">
        <f t="shared" si="5"/>
        <v>1</v>
      </c>
    </row>
    <row r="48" spans="1:29" ht="15">
      <c r="A48" s="477" t="s">
        <v>2576</v>
      </c>
      <c r="B48" s="478"/>
      <c r="C48" s="1402" t="s">
        <v>1</v>
      </c>
      <c r="D48" s="1403"/>
      <c r="E48" s="1404"/>
      <c r="F48" s="1405"/>
      <c r="G48" s="1406"/>
      <c r="H48" s="1407"/>
      <c r="I48" s="1404"/>
      <c r="J48" s="483"/>
      <c r="K48" s="780"/>
      <c r="L48" s="1138"/>
      <c r="M48" s="1126"/>
      <c r="N48" s="1126"/>
      <c r="O48" s="1126"/>
      <c r="P48" s="3201" t="str">
        <f>A48</f>
        <v>成交单价（元/平方米）</v>
      </c>
      <c r="Q48" s="3177"/>
      <c r="R48" s="3239">
        <f>E48</f>
        <v>0</v>
      </c>
      <c r="S48" s="3239"/>
      <c r="T48" s="3239">
        <f>G48</f>
        <v>0</v>
      </c>
      <c r="U48" s="3239"/>
      <c r="V48" s="3239">
        <f>I48</f>
        <v>0</v>
      </c>
      <c r="W48" s="3239"/>
      <c r="X48" s="444"/>
      <c r="Y48" s="778"/>
      <c r="Z48" s="444"/>
      <c r="AA48" s="444"/>
      <c r="AB48" s="444"/>
      <c r="AC48" s="628"/>
    </row>
    <row r="49" spans="1:29" ht="15.75" thickBot="1">
      <c r="A49" s="484" t="s">
        <v>2668</v>
      </c>
      <c r="B49" s="485"/>
      <c r="C49" s="1408" t="e">
        <f>R50</f>
        <v>#DIV/0!</v>
      </c>
      <c r="D49" s="1409"/>
      <c r="E49" s="1410" t="e">
        <f>R49</f>
        <v>#DIV/0!</v>
      </c>
      <c r="F49" s="1410"/>
      <c r="G49" s="1408" t="e">
        <f>T49</f>
        <v>#DIV/0!</v>
      </c>
      <c r="H49" s="1409"/>
      <c r="I49" s="1410" t="e">
        <f>V49</f>
        <v>#DIV/0!</v>
      </c>
      <c r="J49" s="487"/>
      <c r="K49" s="781"/>
      <c r="L49" s="1138"/>
      <c r="M49" s="1126"/>
      <c r="N49" s="1126"/>
      <c r="O49" s="1126"/>
      <c r="P49" s="3201" t="str">
        <f>A49</f>
        <v>比较价值（元/平方米）</v>
      </c>
      <c r="Q49" s="3177"/>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4"/>
      <c r="Y49" s="444"/>
      <c r="Z49" s="444"/>
      <c r="AA49" s="444"/>
      <c r="AB49" s="444"/>
      <c r="AC49" s="628"/>
    </row>
    <row r="50" spans="1:29" ht="15.75" thickBot="1">
      <c r="A50" s="490" t="s">
        <v>2669</v>
      </c>
      <c r="B50" s="491"/>
      <c r="C50" s="1412" t="e">
        <f>R50</f>
        <v>#DIV/0!</v>
      </c>
      <c r="D50" s="1412"/>
      <c r="E50" s="1412"/>
      <c r="F50" s="1412"/>
      <c r="G50" s="1412"/>
      <c r="H50" s="1412"/>
      <c r="I50" s="1412"/>
      <c r="J50" s="492"/>
      <c r="K50" s="782"/>
      <c r="L50" s="1138"/>
      <c r="M50" s="1126"/>
      <c r="N50" s="1126"/>
      <c r="O50" s="1126"/>
      <c r="P50" s="3264" t="str">
        <f>A50</f>
        <v>估价对象XX用房的比较价值（楼面单价，元/平方米）</v>
      </c>
      <c r="Q50" s="3265"/>
      <c r="R50" s="3266" t="e">
        <f>IF(F1="售价",ROUND(AVERAGE(R49:V49),0),ROUND(AVERAGE(R49:V49),1))</f>
        <v>#DIV/0!</v>
      </c>
      <c r="S50" s="3266"/>
      <c r="T50" s="3266"/>
      <c r="U50" s="3266"/>
      <c r="V50" s="3266"/>
      <c r="W50" s="3266"/>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2670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2671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2672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1"/>
    </row>
    <row r="56" spans="1:29" s="500"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2673</v>
      </c>
      <c r="B58" s="756"/>
      <c r="C58" s="761"/>
      <c r="D58" s="761"/>
      <c r="E58" s="761"/>
      <c r="F58" s="762"/>
      <c r="G58" s="762"/>
      <c r="H58" s="761"/>
      <c r="I58" s="761"/>
      <c r="J58" s="761"/>
      <c r="K58" s="763"/>
      <c r="L58" s="1156"/>
      <c r="M58" s="1154"/>
      <c r="N58" s="1154"/>
      <c r="O58" s="1154"/>
      <c r="P58" s="2672"/>
      <c r="Q58" s="502"/>
    </row>
    <row r="59" spans="1:29" s="506" customFormat="1" ht="15">
      <c r="A59" s="503" t="s">
        <v>2547</v>
      </c>
      <c r="B59" s="504"/>
      <c r="C59" s="1570" t="str">
        <f>YEAR(C7)&amp;"-"&amp;MONTH(C7)</f>
        <v>2018-1</v>
      </c>
      <c r="D59" s="1571">
        <f>EDATE(C59,-1)</f>
        <v>43070</v>
      </c>
      <c r="E59" s="1571">
        <f>EDATE(D59,-1)</f>
        <v>43040</v>
      </c>
      <c r="F59" s="1571">
        <f t="shared" ref="F59:O59" si="16">EDATE(E59,-1)</f>
        <v>43009</v>
      </c>
      <c r="G59" s="1571">
        <f t="shared" si="16"/>
        <v>42979</v>
      </c>
      <c r="H59" s="1571">
        <f t="shared" si="16"/>
        <v>42948</v>
      </c>
      <c r="I59" s="1571">
        <f t="shared" si="16"/>
        <v>42917</v>
      </c>
      <c r="J59" s="1571">
        <f t="shared" si="16"/>
        <v>42887</v>
      </c>
      <c r="K59" s="1571">
        <f t="shared" si="16"/>
        <v>42856</v>
      </c>
      <c r="L59" s="1571">
        <f t="shared" si="16"/>
        <v>42826</v>
      </c>
      <c r="M59" s="1571">
        <f t="shared" si="16"/>
        <v>42795</v>
      </c>
      <c r="N59" s="1571">
        <f t="shared" si="16"/>
        <v>42767</v>
      </c>
      <c r="O59" s="1571">
        <f t="shared" si="16"/>
        <v>42736</v>
      </c>
      <c r="P59" s="1567"/>
    </row>
    <row r="60" spans="1:29" s="116" customFormat="1" ht="15">
      <c r="A60" s="507"/>
      <c r="B60" s="508"/>
      <c r="C60" s="1569">
        <v>100</v>
      </c>
      <c r="D60" s="510"/>
      <c r="E60" s="510"/>
      <c r="F60" s="510"/>
      <c r="G60" s="510"/>
      <c r="H60" s="510"/>
      <c r="I60" s="510"/>
      <c r="J60" s="510"/>
      <c r="K60" s="510"/>
      <c r="L60" s="510"/>
      <c r="M60" s="511"/>
      <c r="N60" s="510"/>
      <c r="O60" s="511"/>
      <c r="P60" s="2673"/>
    </row>
    <row r="61" spans="1:29" s="116" customFormat="1" ht="15.75" thickBot="1">
      <c r="A61" s="513" t="s">
        <v>2584</v>
      </c>
      <c r="B61" s="514"/>
      <c r="C61" s="515"/>
      <c r="D61" s="516"/>
      <c r="E61" s="516"/>
      <c r="F61" s="516"/>
      <c r="G61" s="516"/>
      <c r="H61" s="516"/>
      <c r="I61" s="516"/>
      <c r="J61" s="516"/>
      <c r="K61" s="516"/>
      <c r="L61" s="516"/>
      <c r="M61" s="517"/>
      <c r="N61" s="516"/>
      <c r="O61" s="517"/>
      <c r="P61" s="2673"/>
      <c r="Q61" s="502"/>
    </row>
    <row r="62" spans="1:29" s="116" customFormat="1" ht="15">
      <c r="A62" s="519" t="s">
        <v>2549</v>
      </c>
      <c r="B62" s="508"/>
      <c r="C62" s="520" t="s">
        <v>2651</v>
      </c>
      <c r="D62" s="521"/>
      <c r="E62" s="521"/>
      <c r="F62" s="521"/>
      <c r="G62" s="521"/>
      <c r="H62" s="521"/>
      <c r="I62" s="521"/>
      <c r="J62" s="521"/>
      <c r="K62" s="521"/>
      <c r="L62" s="522"/>
      <c r="M62" s="523"/>
      <c r="N62" s="1146"/>
      <c r="O62" s="1146"/>
      <c r="P62" s="2674"/>
      <c r="Q62" s="502"/>
    </row>
    <row r="63" spans="1:29" s="116" customFormat="1" ht="15.75" thickBot="1">
      <c r="A63" s="519"/>
      <c r="B63" s="508"/>
      <c r="C63" s="509">
        <v>100</v>
      </c>
      <c r="D63" s="510"/>
      <c r="E63" s="510"/>
      <c r="F63" s="510"/>
      <c r="G63" s="510"/>
      <c r="H63" s="510"/>
      <c r="I63" s="510"/>
      <c r="J63" s="510"/>
      <c r="K63" s="510"/>
      <c r="L63" s="510"/>
      <c r="M63" s="512"/>
      <c r="N63" s="1146"/>
      <c r="O63" s="1146"/>
      <c r="P63" s="2673"/>
      <c r="Q63" s="502"/>
    </row>
    <row r="64" spans="1:29">
      <c r="A64" s="525" t="s">
        <v>2587</v>
      </c>
      <c r="B64" s="526" t="s">
        <v>2553</v>
      </c>
      <c r="C64" s="527">
        <f>C9</f>
        <v>0</v>
      </c>
      <c r="D64" s="528"/>
      <c r="E64" s="528"/>
      <c r="F64" s="528"/>
      <c r="G64" s="528"/>
      <c r="H64" s="528"/>
      <c r="I64" s="528"/>
      <c r="J64" s="528"/>
      <c r="K64" s="529"/>
      <c r="L64" s="530"/>
      <c r="M64" s="531"/>
      <c r="N64" s="1147"/>
      <c r="O64" s="1147"/>
      <c r="P64" s="2675"/>
      <c r="Q64" s="502"/>
    </row>
    <row r="65" spans="1:17" ht="15.75" thickBot="1">
      <c r="A65" s="532"/>
      <c r="B65" s="533"/>
      <c r="C65" s="534">
        <v>100</v>
      </c>
      <c r="D65" s="534"/>
      <c r="E65" s="534"/>
      <c r="F65" s="534"/>
      <c r="G65" s="534"/>
      <c r="H65" s="534"/>
      <c r="I65" s="534"/>
      <c r="J65" s="534"/>
      <c r="K65" s="534"/>
      <c r="L65" s="534"/>
      <c r="M65" s="535"/>
      <c r="N65" s="1148"/>
      <c r="O65" s="1148"/>
      <c r="P65" s="2675"/>
      <c r="Q65" s="502"/>
    </row>
    <row r="66" spans="1:17" ht="27.75" thickTop="1">
      <c r="A66" s="532"/>
      <c r="B66" s="536" t="s">
        <v>2556</v>
      </c>
      <c r="C66" s="537" t="s">
        <v>2588</v>
      </c>
      <c r="D66" s="537" t="s">
        <v>2589</v>
      </c>
      <c r="E66" s="537" t="s">
        <v>2590</v>
      </c>
      <c r="F66" s="537" t="s">
        <v>2591</v>
      </c>
      <c r="G66" s="537" t="s">
        <v>2592</v>
      </c>
      <c r="H66" s="537" t="s">
        <v>2593</v>
      </c>
      <c r="I66" s="537" t="s">
        <v>2594</v>
      </c>
      <c r="J66" s="537"/>
      <c r="K66" s="538"/>
      <c r="L66" s="539"/>
      <c r="M66" s="540"/>
      <c r="N66" s="1147"/>
      <c r="O66" s="1147"/>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75"/>
      <c r="Q67" s="502"/>
    </row>
    <row r="68" spans="1:17" ht="15.75" thickTop="1">
      <c r="A68" s="532"/>
      <c r="B68" s="544" t="s">
        <v>2557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75"/>
      <c r="Q68" s="502"/>
    </row>
    <row r="69" spans="1:17" ht="15">
      <c r="A69" s="532"/>
      <c r="B69" s="546"/>
      <c r="C69" s="547"/>
      <c r="D69" s="547"/>
      <c r="E69" s="547"/>
      <c r="F69" s="547"/>
      <c r="G69" s="547"/>
      <c r="H69" s="547"/>
      <c r="I69" s="547"/>
      <c r="J69" s="547"/>
      <c r="K69" s="548"/>
      <c r="L69" s="549"/>
      <c r="M69" s="550"/>
      <c r="N69" s="1147"/>
      <c r="O69" s="1147"/>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75"/>
      <c r="Q70" s="502"/>
    </row>
    <row r="71" spans="1:17" s="469" customFormat="1" ht="15.75" thickTop="1">
      <c r="A71" s="551"/>
      <c r="B71" s="536">
        <f>B12</f>
        <v>111</v>
      </c>
      <c r="C71" s="552"/>
      <c r="D71" s="552"/>
      <c r="E71" s="552"/>
      <c r="F71" s="552"/>
      <c r="G71" s="552"/>
      <c r="H71" s="553"/>
      <c r="I71" s="553"/>
      <c r="J71" s="553"/>
      <c r="K71" s="553"/>
      <c r="L71" s="554"/>
      <c r="M71" s="555"/>
      <c r="N71" s="1149"/>
      <c r="O71" s="1149"/>
      <c r="P71" s="2676"/>
      <c r="Q71" s="557"/>
    </row>
    <row r="72" spans="1:17" s="469" customFormat="1" ht="15.75" thickBot="1">
      <c r="A72" s="551"/>
      <c r="B72" s="541"/>
      <c r="C72" s="558"/>
      <c r="D72" s="534"/>
      <c r="E72" s="534"/>
      <c r="F72" s="534"/>
      <c r="G72" s="534"/>
      <c r="H72" s="534"/>
      <c r="I72" s="534"/>
      <c r="J72" s="534"/>
      <c r="K72" s="534"/>
      <c r="L72" s="534"/>
      <c r="M72" s="535"/>
      <c r="N72" s="1148"/>
      <c r="O72" s="1148"/>
      <c r="P72" s="2676"/>
      <c r="Q72" s="557"/>
    </row>
    <row r="73" spans="1:17" s="469" customFormat="1" ht="15.75" thickTop="1">
      <c r="A73" s="551"/>
      <c r="B73" s="536">
        <f>B13</f>
        <v>111</v>
      </c>
      <c r="C73" s="552"/>
      <c r="D73" s="552"/>
      <c r="E73" s="552"/>
      <c r="F73" s="552"/>
      <c r="G73" s="552"/>
      <c r="H73" s="553"/>
      <c r="I73" s="553"/>
      <c r="J73" s="553"/>
      <c r="K73" s="553"/>
      <c r="L73" s="554"/>
      <c r="M73" s="555"/>
      <c r="N73" s="1149"/>
      <c r="O73" s="1149"/>
      <c r="P73" s="2677"/>
      <c r="Q73" s="559"/>
    </row>
    <row r="74" spans="1:17" s="469" customFormat="1" ht="15.75" thickBot="1">
      <c r="A74" s="551"/>
      <c r="B74" s="541"/>
      <c r="C74" s="558"/>
      <c r="D74" s="558"/>
      <c r="E74" s="558"/>
      <c r="F74" s="558"/>
      <c r="G74" s="558"/>
      <c r="H74" s="560"/>
      <c r="I74" s="560"/>
      <c r="J74" s="560"/>
      <c r="K74" s="560"/>
      <c r="L74" s="560"/>
      <c r="M74" s="561"/>
      <c r="N74" s="1149"/>
      <c r="O74" s="1149"/>
      <c r="P74" s="2676"/>
      <c r="Q74" s="557"/>
    </row>
    <row r="75" spans="1:17" s="469" customFormat="1" ht="15.75" thickTop="1">
      <c r="A75" s="551"/>
      <c r="B75" s="544">
        <f>B14</f>
        <v>111</v>
      </c>
      <c r="C75" s="521"/>
      <c r="D75" s="521"/>
      <c r="E75" s="521"/>
      <c r="F75" s="521"/>
      <c r="G75" s="521"/>
      <c r="H75" s="562"/>
      <c r="I75" s="562"/>
      <c r="J75" s="562"/>
      <c r="K75" s="562"/>
      <c r="L75" s="563"/>
      <c r="M75" s="564"/>
      <c r="N75" s="1149"/>
      <c r="O75" s="1149"/>
      <c r="P75" s="2678"/>
      <c r="Q75" s="557"/>
    </row>
    <row r="76" spans="1:17" s="469" customFormat="1" ht="15.75" thickBot="1">
      <c r="A76" s="566"/>
      <c r="B76" s="567"/>
      <c r="C76" s="568"/>
      <c r="D76" s="568"/>
      <c r="E76" s="568"/>
      <c r="F76" s="568"/>
      <c r="G76" s="568"/>
      <c r="H76" s="569"/>
      <c r="I76" s="569"/>
      <c r="J76" s="569"/>
      <c r="K76" s="569"/>
      <c r="L76" s="569"/>
      <c r="M76" s="570"/>
      <c r="N76" s="1149"/>
      <c r="O76" s="1149"/>
      <c r="P76" s="2676"/>
      <c r="Q76" s="557"/>
    </row>
    <row r="77" spans="1:17">
      <c r="A77" s="525" t="s">
        <v>2558</v>
      </c>
      <c r="B77" s="526" t="s">
        <v>2696</v>
      </c>
      <c r="C77" s="571" t="s">
        <v>2596</v>
      </c>
      <c r="D77" s="571" t="s">
        <v>2597</v>
      </c>
      <c r="E77" s="571" t="s">
        <v>2598</v>
      </c>
      <c r="F77" s="571" t="s">
        <v>2599</v>
      </c>
      <c r="G77" s="571" t="s">
        <v>2600</v>
      </c>
      <c r="H77" s="527"/>
      <c r="I77" s="527"/>
      <c r="J77" s="527"/>
      <c r="K77" s="572"/>
      <c r="L77" s="573"/>
      <c r="M77" s="574"/>
      <c r="N77" s="1147"/>
      <c r="O77" s="1147"/>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75"/>
      <c r="Q78" s="502"/>
    </row>
    <row r="79" spans="1:17" ht="15.75" thickTop="1">
      <c r="A79" s="532"/>
      <c r="B79" s="536" t="s">
        <v>2601</v>
      </c>
      <c r="C79" s="576" t="s">
        <v>2596</v>
      </c>
      <c r="D79" s="576" t="s">
        <v>2597</v>
      </c>
      <c r="E79" s="576" t="s">
        <v>2598</v>
      </c>
      <c r="F79" s="576" t="s">
        <v>2599</v>
      </c>
      <c r="G79" s="576" t="s">
        <v>2600</v>
      </c>
      <c r="H79" s="537"/>
      <c r="I79" s="537"/>
      <c r="J79" s="537"/>
      <c r="K79" s="538"/>
      <c r="L79" s="539"/>
      <c r="M79" s="540"/>
      <c r="N79" s="1147"/>
      <c r="O79" s="1147"/>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75"/>
      <c r="Q80" s="502"/>
    </row>
    <row r="81" spans="1:17" ht="15.75" thickTop="1">
      <c r="A81" s="532"/>
      <c r="B81" s="536" t="s">
        <v>2602</v>
      </c>
      <c r="C81" s="576" t="s">
        <v>2596</v>
      </c>
      <c r="D81" s="576" t="s">
        <v>2597</v>
      </c>
      <c r="E81" s="576" t="s">
        <v>2598</v>
      </c>
      <c r="F81" s="576" t="s">
        <v>2599</v>
      </c>
      <c r="G81" s="576" t="s">
        <v>2600</v>
      </c>
      <c r="H81" s="537"/>
      <c r="I81" s="537"/>
      <c r="J81" s="537"/>
      <c r="K81" s="538"/>
      <c r="L81" s="539"/>
      <c r="M81" s="540"/>
      <c r="N81" s="1147"/>
      <c r="O81" s="1147"/>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75"/>
      <c r="Q82" s="502"/>
    </row>
    <row r="83" spans="1:17" ht="15.75" thickTop="1">
      <c r="A83" s="532"/>
      <c r="B83" s="544" t="s">
        <v>2688</v>
      </c>
      <c r="C83" s="658" t="s">
        <v>2674</v>
      </c>
      <c r="D83" s="658" t="s">
        <v>2675</v>
      </c>
      <c r="E83" s="658" t="s">
        <v>2676</v>
      </c>
      <c r="F83" s="658" t="s">
        <v>2677</v>
      </c>
      <c r="G83" s="658" t="s">
        <v>2678</v>
      </c>
      <c r="H83" s="537"/>
      <c r="I83" s="537"/>
      <c r="J83" s="537"/>
      <c r="K83" s="537"/>
      <c r="L83" s="537"/>
      <c r="M83" s="1377"/>
      <c r="N83" s="1148"/>
      <c r="O83" s="1148"/>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8"/>
      <c r="O84" s="1148"/>
      <c r="P84" s="2675"/>
      <c r="Q84" s="502"/>
    </row>
    <row r="85" spans="1:17" ht="15.75" thickTop="1">
      <c r="A85" s="532"/>
      <c r="B85" s="536" t="s">
        <v>2697</v>
      </c>
      <c r="C85" s="576" t="s">
        <v>2596</v>
      </c>
      <c r="D85" s="576" t="s">
        <v>2597</v>
      </c>
      <c r="E85" s="576" t="s">
        <v>2598</v>
      </c>
      <c r="F85" s="576" t="s">
        <v>2599</v>
      </c>
      <c r="G85" s="576" t="s">
        <v>2600</v>
      </c>
      <c r="H85" s="537"/>
      <c r="I85" s="537"/>
      <c r="J85" s="537"/>
      <c r="K85" s="538"/>
      <c r="L85" s="539"/>
      <c r="M85" s="540"/>
      <c r="N85" s="1147"/>
      <c r="O85" s="1147"/>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75"/>
      <c r="Q86" s="502"/>
    </row>
    <row r="87" spans="1:17" s="116" customFormat="1" ht="27.75" thickTop="1">
      <c r="A87" s="577"/>
      <c r="B87" s="536" t="s">
        <v>2698</v>
      </c>
      <c r="C87" s="552"/>
      <c r="D87" s="552"/>
      <c r="E87" s="552"/>
      <c r="F87" s="552"/>
      <c r="G87" s="552"/>
      <c r="H87" s="552"/>
      <c r="I87" s="552"/>
      <c r="J87" s="552"/>
      <c r="K87" s="552"/>
      <c r="L87" s="578"/>
      <c r="M87" s="579"/>
      <c r="N87" s="1146"/>
      <c r="O87" s="1146"/>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75"/>
      <c r="Q88" s="502"/>
    </row>
    <row r="89" spans="1:17" s="116" customFormat="1" ht="15.75" thickTop="1">
      <c r="A89" s="577"/>
      <c r="B89" s="536" t="str">
        <f>B27</f>
        <v>楼层</v>
      </c>
      <c r="C89" s="552"/>
      <c r="D89" s="552"/>
      <c r="E89" s="552"/>
      <c r="F89" s="2626"/>
      <c r="G89" s="552"/>
      <c r="H89" s="552"/>
      <c r="I89" s="552"/>
      <c r="J89" s="552"/>
      <c r="K89" s="552"/>
      <c r="L89" s="552"/>
      <c r="M89" s="579"/>
      <c r="N89" s="1146"/>
      <c r="O89" s="1146"/>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75"/>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76"/>
      <c r="Q92" s="557"/>
    </row>
    <row r="93" spans="1:17" ht="15.75" thickTop="1">
      <c r="A93" s="532"/>
      <c r="B93" s="536">
        <f>B29</f>
        <v>111</v>
      </c>
      <c r="C93" s="552"/>
      <c r="D93" s="552"/>
      <c r="E93" s="552"/>
      <c r="F93" s="552"/>
      <c r="G93" s="552"/>
      <c r="H93" s="552"/>
      <c r="I93" s="552"/>
      <c r="J93" s="552"/>
      <c r="K93" s="552"/>
      <c r="L93" s="578"/>
      <c r="M93" s="579"/>
      <c r="N93" s="1147"/>
      <c r="O93" s="1147"/>
      <c r="P93" s="2675"/>
      <c r="Q93" s="502"/>
    </row>
    <row r="94" spans="1:17" ht="15.75" thickBot="1">
      <c r="A94" s="532"/>
      <c r="B94" s="541"/>
      <c r="C94" s="558"/>
      <c r="D94" s="534"/>
      <c r="E94" s="534"/>
      <c r="F94" s="534"/>
      <c r="G94" s="534"/>
      <c r="H94" s="534"/>
      <c r="I94" s="534"/>
      <c r="J94" s="534"/>
      <c r="K94" s="534"/>
      <c r="L94" s="534"/>
      <c r="M94" s="535"/>
      <c r="N94" s="1148"/>
      <c r="O94" s="1148"/>
      <c r="P94" s="2675"/>
      <c r="Q94" s="502"/>
    </row>
    <row r="95" spans="1:17" ht="15.75" thickTop="1">
      <c r="A95" s="532"/>
      <c r="B95" s="536">
        <f>B30</f>
        <v>111</v>
      </c>
      <c r="C95" s="552"/>
      <c r="D95" s="552"/>
      <c r="E95" s="552"/>
      <c r="F95" s="552"/>
      <c r="G95" s="581"/>
      <c r="H95" s="581"/>
      <c r="I95" s="581"/>
      <c r="J95" s="581"/>
      <c r="K95" s="582"/>
      <c r="L95" s="583"/>
      <c r="M95" s="584"/>
      <c r="N95" s="1147"/>
      <c r="O95" s="1147"/>
      <c r="P95" s="2675"/>
      <c r="Q95" s="502"/>
    </row>
    <row r="96" spans="1:17" ht="15.75" thickBot="1">
      <c r="A96" s="532"/>
      <c r="B96" s="541"/>
      <c r="C96" s="558"/>
      <c r="D96" s="558"/>
      <c r="E96" s="558"/>
      <c r="F96" s="558"/>
      <c r="G96" s="534"/>
      <c r="H96" s="534"/>
      <c r="I96" s="534"/>
      <c r="J96" s="534"/>
      <c r="K96" s="534"/>
      <c r="L96" s="534"/>
      <c r="M96" s="535"/>
      <c r="N96" s="1148"/>
      <c r="O96" s="1148"/>
      <c r="P96" s="2675"/>
      <c r="Q96" s="502"/>
    </row>
    <row r="97" spans="1:17" ht="15.75" thickTop="1">
      <c r="A97" s="532"/>
      <c r="B97" s="536">
        <f>B31</f>
        <v>111</v>
      </c>
      <c r="C97" s="552"/>
      <c r="D97" s="552"/>
      <c r="E97" s="552"/>
      <c r="F97" s="552"/>
      <c r="G97" s="581"/>
      <c r="H97" s="581"/>
      <c r="I97" s="581"/>
      <c r="J97" s="581"/>
      <c r="K97" s="582"/>
      <c r="L97" s="583"/>
      <c r="M97" s="584"/>
      <c r="N97" s="1147"/>
      <c r="O97" s="1147"/>
      <c r="P97" s="2675"/>
      <c r="Q97" s="502"/>
    </row>
    <row r="98" spans="1:17" ht="15.75" thickBot="1">
      <c r="A98" s="532"/>
      <c r="B98" s="541"/>
      <c r="C98" s="558"/>
      <c r="D98" s="534"/>
      <c r="E98" s="534"/>
      <c r="F98" s="534"/>
      <c r="G98" s="534"/>
      <c r="H98" s="534"/>
      <c r="I98" s="534"/>
      <c r="J98" s="534"/>
      <c r="K98" s="534"/>
      <c r="L98" s="534"/>
      <c r="M98" s="535"/>
      <c r="N98" s="1148"/>
      <c r="O98" s="1148"/>
      <c r="P98" s="2675"/>
      <c r="Q98" s="502"/>
    </row>
    <row r="99" spans="1:17" ht="15.75" thickTop="1">
      <c r="A99" s="532"/>
      <c r="B99" s="544">
        <f>B32</f>
        <v>111</v>
      </c>
      <c r="C99" s="521"/>
      <c r="D99" s="521"/>
      <c r="E99" s="521"/>
      <c r="F99" s="521"/>
      <c r="G99" s="585"/>
      <c r="H99" s="585"/>
      <c r="I99" s="585"/>
      <c r="J99" s="585"/>
      <c r="K99" s="586"/>
      <c r="L99" s="587"/>
      <c r="M99" s="588"/>
      <c r="N99" s="1147"/>
      <c r="O99" s="1147"/>
      <c r="P99" s="2675"/>
      <c r="Q99" s="502"/>
    </row>
    <row r="100" spans="1:17" ht="15.75" thickBot="1">
      <c r="A100" s="2627"/>
      <c r="B100" s="567"/>
      <c r="C100" s="568"/>
      <c r="D100" s="568"/>
      <c r="E100" s="568"/>
      <c r="F100" s="568"/>
      <c r="G100" s="589"/>
      <c r="H100" s="589"/>
      <c r="I100" s="589"/>
      <c r="J100" s="589"/>
      <c r="K100" s="589"/>
      <c r="L100" s="589"/>
      <c r="M100" s="590"/>
      <c r="N100" s="1148"/>
      <c r="O100" s="1148"/>
      <c r="P100" s="2675"/>
      <c r="Q100" s="502"/>
    </row>
    <row r="101" spans="1:17">
      <c r="A101" s="525" t="s">
        <v>2562</v>
      </c>
      <c r="B101" s="526" t="s">
        <v>2611</v>
      </c>
      <c r="C101" s="528"/>
      <c r="D101" s="528"/>
      <c r="E101" s="528"/>
      <c r="F101" s="528"/>
      <c r="G101" s="528"/>
      <c r="H101" s="528"/>
      <c r="I101" s="528"/>
      <c r="J101" s="528"/>
      <c r="K101" s="529"/>
      <c r="L101" s="530"/>
      <c r="M101" s="531"/>
      <c r="N101" s="1147"/>
      <c r="O101" s="1147"/>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75"/>
      <c r="Q102" s="502"/>
    </row>
    <row r="103" spans="1:17" ht="15.75" thickTop="1">
      <c r="A103" s="532"/>
      <c r="B103" s="536" t="s">
        <v>2612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75"/>
      <c r="Q103" s="502"/>
    </row>
    <row r="104" spans="1:17" s="469" customFormat="1">
      <c r="A104" s="591"/>
      <c r="B104" s="592"/>
      <c r="C104" s="593"/>
      <c r="D104" s="593"/>
      <c r="E104" s="593"/>
      <c r="F104" s="593"/>
      <c r="G104" s="593"/>
      <c r="H104" s="593"/>
      <c r="I104" s="593"/>
      <c r="J104" s="594"/>
      <c r="K104" s="594"/>
      <c r="L104" s="595"/>
      <c r="M104" s="596"/>
      <c r="N104" s="1149"/>
      <c r="O104" s="1149"/>
      <c r="P104" s="2676"/>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76"/>
      <c r="Q105" s="557"/>
    </row>
    <row r="106" spans="1:17" ht="15" thickTop="1">
      <c r="A106" s="597"/>
      <c r="B106" s="536" t="s">
        <v>2613</v>
      </c>
      <c r="C106" s="552"/>
      <c r="D106" s="552"/>
      <c r="E106" s="581"/>
      <c r="F106" s="581"/>
      <c r="G106" s="581"/>
      <c r="H106" s="581"/>
      <c r="I106" s="581"/>
      <c r="J106" s="581"/>
      <c r="K106" s="582"/>
      <c r="L106" s="583"/>
      <c r="M106" s="584"/>
      <c r="N106" s="1147"/>
      <c r="O106" s="1147"/>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75"/>
      <c r="Q107" s="502"/>
    </row>
    <row r="108" spans="1:17" ht="15" thickTop="1">
      <c r="A108" s="597"/>
      <c r="B108" s="536" t="s">
        <v>2615</v>
      </c>
      <c r="C108" s="552"/>
      <c r="D108" s="552"/>
      <c r="E108" s="552"/>
      <c r="F108" s="581"/>
      <c r="G108" s="581"/>
      <c r="H108" s="581"/>
      <c r="I108" s="581"/>
      <c r="J108" s="581"/>
      <c r="K108" s="582"/>
      <c r="L108" s="583"/>
      <c r="M108" s="584"/>
      <c r="N108" s="1147"/>
      <c r="O108" s="1147"/>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75"/>
      <c r="Q109" s="502"/>
    </row>
    <row r="110" spans="1:17" ht="15" thickTop="1">
      <c r="A110" s="597"/>
      <c r="B110" s="536" t="s">
        <v>2000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75"/>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75"/>
      <c r="Q112" s="502"/>
    </row>
    <row r="113" spans="1:17" s="469" customFormat="1" ht="15" thickTop="1">
      <c r="A113" s="591"/>
      <c r="B113" s="536" t="s">
        <v>2699</v>
      </c>
      <c r="C113" s="552"/>
      <c r="D113" s="552"/>
      <c r="E113" s="552"/>
      <c r="F113" s="552"/>
      <c r="G113" s="552"/>
      <c r="H113" s="581"/>
      <c r="I113" s="581"/>
      <c r="J113" s="581"/>
      <c r="K113" s="582"/>
      <c r="L113" s="583"/>
      <c r="M113" s="584"/>
      <c r="N113" s="1149"/>
      <c r="O113" s="1149"/>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76"/>
      <c r="Q114" s="557"/>
    </row>
    <row r="115" spans="1:17" ht="15" thickTop="1">
      <c r="A115" s="597"/>
      <c r="B115" s="536" t="s">
        <v>2616</v>
      </c>
      <c r="C115" s="552"/>
      <c r="D115" s="552"/>
      <c r="E115" s="581"/>
      <c r="F115" s="581"/>
      <c r="G115" s="581"/>
      <c r="H115" s="581"/>
      <c r="I115" s="581"/>
      <c r="J115" s="581"/>
      <c r="K115" s="582"/>
      <c r="L115" s="583"/>
      <c r="M115" s="584"/>
      <c r="N115" s="1147"/>
      <c r="O115" s="1147"/>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75"/>
      <c r="Q116" s="502"/>
    </row>
    <row r="117" spans="1:17" ht="15" thickTop="1">
      <c r="A117" s="597"/>
      <c r="B117" s="536" t="s">
        <v>2617</v>
      </c>
      <c r="C117" s="552"/>
      <c r="D117" s="552"/>
      <c r="E117" s="552"/>
      <c r="F117" s="552"/>
      <c r="G117" s="552"/>
      <c r="H117" s="581"/>
      <c r="I117" s="581"/>
      <c r="J117" s="581"/>
      <c r="K117" s="582"/>
      <c r="L117" s="583"/>
      <c r="M117" s="584"/>
      <c r="N117" s="1147"/>
      <c r="O117" s="1147"/>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75"/>
      <c r="Q118" s="502"/>
    </row>
    <row r="119" spans="1:17" ht="15" thickTop="1">
      <c r="A119" s="597"/>
      <c r="B119" s="634" t="s">
        <v>2700</v>
      </c>
      <c r="C119" s="581"/>
      <c r="D119" s="581"/>
      <c r="E119" s="581"/>
      <c r="F119" s="581"/>
      <c r="G119" s="581"/>
      <c r="H119" s="581"/>
      <c r="I119" s="581"/>
      <c r="J119" s="581"/>
      <c r="K119" s="581"/>
      <c r="L119" s="2680"/>
      <c r="M119" s="2681"/>
      <c r="N119" s="1148"/>
      <c r="O119" s="1148"/>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75"/>
      <c r="Q120" s="502"/>
    </row>
    <row r="121" spans="1:17" s="469" customFormat="1" ht="15" thickTop="1">
      <c r="A121" s="591"/>
      <c r="B121" s="536" t="s">
        <v>2683</v>
      </c>
      <c r="C121" s="552"/>
      <c r="D121" s="552"/>
      <c r="E121" s="552"/>
      <c r="F121" s="581"/>
      <c r="G121" s="553"/>
      <c r="H121" s="553"/>
      <c r="I121" s="553"/>
      <c r="J121" s="553"/>
      <c r="K121" s="553"/>
      <c r="L121" s="554"/>
      <c r="M121" s="555"/>
      <c r="N121" s="1149"/>
      <c r="O121" s="1149"/>
      <c r="P121" s="2676"/>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76"/>
      <c r="Q122" s="557"/>
    </row>
    <row r="123" spans="1:17" ht="15" thickTop="1">
      <c r="A123" s="597"/>
      <c r="B123" s="536" t="s">
        <v>2619</v>
      </c>
      <c r="C123" s="552"/>
      <c r="D123" s="552"/>
      <c r="E123" s="552"/>
      <c r="F123" s="581"/>
      <c r="G123" s="581"/>
      <c r="H123" s="581"/>
      <c r="I123" s="581"/>
      <c r="J123" s="581"/>
      <c r="K123" s="582"/>
      <c r="L123" s="583"/>
      <c r="M123" s="584"/>
      <c r="N123" s="1147"/>
      <c r="O123" s="1147"/>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75"/>
      <c r="Q124" s="502"/>
    </row>
    <row r="125" spans="1:17" ht="15" thickTop="1">
      <c r="A125" s="597"/>
      <c r="B125" s="536" t="s">
        <v>2620</v>
      </c>
      <c r="C125" s="576" t="s">
        <v>2596</v>
      </c>
      <c r="D125" s="576" t="s">
        <v>2597</v>
      </c>
      <c r="E125" s="576" t="s">
        <v>2598</v>
      </c>
      <c r="F125" s="576" t="s">
        <v>2599</v>
      </c>
      <c r="G125" s="576" t="s">
        <v>2600</v>
      </c>
      <c r="H125" s="537"/>
      <c r="I125" s="537"/>
      <c r="J125" s="537"/>
      <c r="K125" s="538"/>
      <c r="L125" s="539"/>
      <c r="M125" s="540"/>
      <c r="N125" s="1147"/>
      <c r="O125" s="1147"/>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75"/>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76"/>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76"/>
      <c r="Q128" s="557"/>
    </row>
    <row r="129" spans="1:17" ht="15" thickTop="1">
      <c r="A129" s="597"/>
      <c r="B129" s="536">
        <f>B46</f>
        <v>111</v>
      </c>
      <c r="C129" s="552"/>
      <c r="D129" s="552"/>
      <c r="E129" s="552"/>
      <c r="F129" s="552"/>
      <c r="G129" s="581"/>
      <c r="H129" s="581"/>
      <c r="I129" s="581"/>
      <c r="J129" s="581"/>
      <c r="K129" s="582"/>
      <c r="L129" s="583"/>
      <c r="M129" s="584"/>
      <c r="N129" s="1147"/>
      <c r="O129" s="1147"/>
      <c r="P129" s="2675"/>
      <c r="Q129" s="502"/>
    </row>
    <row r="130" spans="1:17" ht="15.75" thickBot="1">
      <c r="A130" s="532"/>
      <c r="B130" s="541"/>
      <c r="C130" s="558"/>
      <c r="D130" s="558"/>
      <c r="E130" s="558"/>
      <c r="F130" s="558"/>
      <c r="G130" s="534"/>
      <c r="H130" s="534"/>
      <c r="I130" s="534"/>
      <c r="J130" s="534"/>
      <c r="K130" s="534"/>
      <c r="L130" s="534"/>
      <c r="M130" s="535"/>
      <c r="N130" s="1148"/>
      <c r="O130" s="1148"/>
      <c r="P130" s="2675"/>
      <c r="Q130" s="502"/>
    </row>
    <row r="131" spans="1:17" ht="15" thickTop="1">
      <c r="A131" s="597"/>
      <c r="B131" s="544">
        <f>B47</f>
        <v>111</v>
      </c>
      <c r="C131" s="521"/>
      <c r="D131" s="521"/>
      <c r="E131" s="521"/>
      <c r="F131" s="521"/>
      <c r="G131" s="585"/>
      <c r="H131" s="585"/>
      <c r="I131" s="585"/>
      <c r="J131" s="585"/>
      <c r="K131" s="521"/>
      <c r="L131" s="522"/>
      <c r="M131" s="588"/>
      <c r="N131" s="1147"/>
      <c r="O131" s="1147"/>
      <c r="P131" s="2675"/>
      <c r="Q131" s="502"/>
    </row>
    <row r="132" spans="1:17" ht="15.75" thickBot="1">
      <c r="A132" s="2627"/>
      <c r="B132" s="567"/>
      <c r="C132" s="568"/>
      <c r="D132" s="568"/>
      <c r="E132" s="568"/>
      <c r="F132" s="568"/>
      <c r="G132" s="589"/>
      <c r="H132" s="589"/>
      <c r="I132" s="589"/>
      <c r="J132" s="589"/>
      <c r="K132" s="589"/>
      <c r="L132" s="589"/>
      <c r="M132" s="590"/>
      <c r="N132" s="1148"/>
      <c r="O132" s="1148"/>
      <c r="P132" s="267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2527</v>
      </c>
      <c r="B1" s="2660" t="s">
        <v>2701</v>
      </c>
      <c r="C1" s="1616" t="s">
        <v>2529</v>
      </c>
      <c r="D1" s="1617"/>
      <c r="E1" s="1626"/>
      <c r="F1" s="2578"/>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2329</v>
      </c>
      <c r="B2" s="1413" t="e">
        <f ca="1">IF(C2="——",ROUND(C43*D3/10000,0),ROUND(C43*D3/10000,0)-D2)</f>
        <v>#DIV/0!</v>
      </c>
      <c r="C2" s="2580"/>
      <c r="D2" s="1119" t="e">
        <f ca="1">SUMIF(INDIRECT("'"&amp;F2&amp;"'"&amp;"!A:A"),"承租人权益价值",INDIRECT("'"&amp;F2&amp;"'"&amp;"!c:c"))</f>
        <v>#REF!</v>
      </c>
      <c r="E2" s="2581" t="s">
        <v>2330</v>
      </c>
      <c r="F2" s="2582"/>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6" customFormat="1" ht="28.5" customHeight="1" thickBot="1">
      <c r="A3" s="245" t="s">
        <v>2331</v>
      </c>
      <c r="B3" s="607" t="e">
        <f ca="1">IF(C2="——",C43,ROUND(B2*10000/D3,0))</f>
        <v>#DIV/0!</v>
      </c>
      <c r="C3" s="398" t="s">
        <v>2643</v>
      </c>
      <c r="D3" s="397">
        <f>IF(D1="",'数据-汇总表'!E3,SUMIF('数据-汇总表'!$C19:$C33,D1,'数据-汇总表'!$E19:$E33))</f>
        <v>136408.82</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2644</v>
      </c>
      <c r="B4" s="400"/>
      <c r="C4" s="3178" t="s">
        <v>2645</v>
      </c>
      <c r="D4" s="3179"/>
      <c r="E4" s="3180" t="s">
        <v>2646</v>
      </c>
      <c r="F4" s="3181"/>
      <c r="G4" s="3178" t="s">
        <v>2647</v>
      </c>
      <c r="H4" s="3179"/>
      <c r="I4" s="3178" t="s">
        <v>2648</v>
      </c>
      <c r="J4" s="3179"/>
      <c r="K4" s="608" t="s">
        <v>2649</v>
      </c>
      <c r="L4" s="1125"/>
      <c r="M4" s="1126"/>
      <c r="N4" s="1126"/>
      <c r="O4" s="1126"/>
      <c r="P4" s="3182" t="s">
        <v>2650</v>
      </c>
      <c r="Q4" s="3183"/>
      <c r="R4" s="3168" t="s">
        <v>2646</v>
      </c>
      <c r="S4" s="3169"/>
      <c r="T4" s="3168" t="s">
        <v>2647</v>
      </c>
      <c r="U4" s="3169"/>
      <c r="V4" s="3190" t="s">
        <v>2648</v>
      </c>
      <c r="W4" s="3190"/>
      <c r="X4" s="1809"/>
      <c r="Y4" s="3168" t="s">
        <v>2650</v>
      </c>
      <c r="Z4" s="3169"/>
      <c r="AA4" s="3163" t="s">
        <v>2646</v>
      </c>
      <c r="AB4" s="3164" t="s">
        <v>2647</v>
      </c>
      <c r="AC4" s="3163" t="s">
        <v>2648</v>
      </c>
    </row>
    <row r="5" spans="1:29" ht="15">
      <c r="A5" s="402"/>
      <c r="B5" s="403"/>
      <c r="C5" s="3248" t="s">
        <v>2541</v>
      </c>
      <c r="D5" s="3174"/>
      <c r="E5" s="3246" t="s">
        <v>2542</v>
      </c>
      <c r="F5" s="3247"/>
      <c r="G5" s="3248" t="s">
        <v>2543</v>
      </c>
      <c r="H5" s="3174"/>
      <c r="I5" s="3248" t="s">
        <v>2544</v>
      </c>
      <c r="J5" s="3174"/>
      <c r="K5" s="608"/>
      <c r="L5" s="1125"/>
      <c r="M5" s="1126"/>
      <c r="N5" s="1126"/>
      <c r="O5" s="1126"/>
      <c r="P5" s="3184"/>
      <c r="Q5" s="3185"/>
      <c r="R5" s="3170"/>
      <c r="S5" s="3171"/>
      <c r="T5" s="3170"/>
      <c r="U5" s="3171"/>
      <c r="V5" s="3190"/>
      <c r="W5" s="3190"/>
      <c r="X5" s="1809"/>
      <c r="Y5" s="3170"/>
      <c r="Z5" s="3171"/>
      <c r="AA5" s="3164"/>
      <c r="AB5" s="3164"/>
      <c r="AC5" s="3164"/>
    </row>
    <row r="6" spans="1:29" ht="15.75" thickBot="1">
      <c r="A6" s="404"/>
      <c r="B6" s="405"/>
      <c r="C6" s="3249" t="s">
        <v>2545</v>
      </c>
      <c r="D6" s="3176"/>
      <c r="E6" s="3250" t="s">
        <v>2545</v>
      </c>
      <c r="F6" s="3251"/>
      <c r="G6" s="3249" t="s">
        <v>2545</v>
      </c>
      <c r="H6" s="3176"/>
      <c r="I6" s="3249" t="s">
        <v>2545</v>
      </c>
      <c r="J6" s="3176"/>
      <c r="K6" s="608" t="s">
        <v>2546</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2547</v>
      </c>
      <c r="B7" s="407"/>
      <c r="C7" s="408">
        <f>'数据-取费表'!B2</f>
        <v>43126</v>
      </c>
      <c r="D7" s="409">
        <v>100</v>
      </c>
      <c r="E7" s="410"/>
      <c r="F7" s="411">
        <f>SUMIF(52:52,YEAR(E7)&amp;"-"&amp;MONTH(E7),53:53)</f>
        <v>0</v>
      </c>
      <c r="G7" s="410"/>
      <c r="H7" s="409">
        <f>SUMIF(52:52,YEAR(G7)&amp;"-"&amp;MONTH(G7),53:53)</f>
        <v>0</v>
      </c>
      <c r="I7" s="410"/>
      <c r="J7" s="409">
        <f>SUMIF(52:52,YEAR(I7)&amp;"-"&amp;MONTH(I7),53:53)</f>
        <v>0</v>
      </c>
      <c r="K7" s="609"/>
      <c r="L7" s="1127"/>
      <c r="M7" s="1128"/>
      <c r="N7" s="1128"/>
      <c r="O7" s="1128"/>
      <c r="P7" s="3166" t="s">
        <v>2548</v>
      </c>
      <c r="Q7" s="3191"/>
      <c r="R7" s="767" t="s">
        <v>17</v>
      </c>
      <c r="S7" s="768">
        <f t="shared" ref="S7:S15" si="0">F7</f>
        <v>0</v>
      </c>
      <c r="T7" s="767" t="s">
        <v>17</v>
      </c>
      <c r="U7" s="768">
        <f t="shared" ref="U7:U15" si="1">H7</f>
        <v>0</v>
      </c>
      <c r="V7" s="767" t="s">
        <v>17</v>
      </c>
      <c r="W7" s="768">
        <f t="shared" ref="W7:W15" si="2">J7</f>
        <v>0</v>
      </c>
      <c r="X7" s="769"/>
      <c r="Y7" s="3166" t="s">
        <v>2548</v>
      </c>
      <c r="Z7" s="3167"/>
      <c r="AA7" s="770" t="e">
        <f>D7/F7</f>
        <v>#DIV/0!</v>
      </c>
      <c r="AB7" s="770" t="e">
        <f>D7/H7</f>
        <v>#DIV/0!</v>
      </c>
      <c r="AC7" s="770" t="e">
        <f>D7/J7</f>
        <v>#DIV/0!</v>
      </c>
    </row>
    <row r="8" spans="1:29" s="116" customFormat="1" ht="15.75" thickBot="1">
      <c r="A8" s="406" t="s">
        <v>2549</v>
      </c>
      <c r="B8" s="407"/>
      <c r="C8" s="412" t="s">
        <v>2550</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166" t="s">
        <v>2551</v>
      </c>
      <c r="Q8" s="3167"/>
      <c r="R8" s="767" t="s">
        <v>17</v>
      </c>
      <c r="S8" s="768">
        <f t="shared" si="0"/>
        <v>0</v>
      </c>
      <c r="T8" s="767" t="s">
        <v>17</v>
      </c>
      <c r="U8" s="768">
        <f t="shared" si="1"/>
        <v>0</v>
      </c>
      <c r="V8" s="767" t="s">
        <v>17</v>
      </c>
      <c r="W8" s="768">
        <f t="shared" si="2"/>
        <v>0</v>
      </c>
      <c r="X8" s="769"/>
      <c r="Y8" s="3166" t="s">
        <v>2551</v>
      </c>
      <c r="Z8" s="3167"/>
      <c r="AA8" s="770" t="e">
        <f t="shared" ref="AA8:AA40" si="3">D8/F8</f>
        <v>#DIV/0!</v>
      </c>
      <c r="AB8" s="770" t="e">
        <f t="shared" ref="AB8:AB40" si="4">D8/H8</f>
        <v>#DIV/0!</v>
      </c>
      <c r="AC8" s="770" t="e">
        <f t="shared" ref="AC8:AC40" si="5">D8/J8</f>
        <v>#DIV/0!</v>
      </c>
    </row>
    <row r="9" spans="1:29" s="116" customFormat="1">
      <c r="A9" s="413" t="s">
        <v>2552</v>
      </c>
      <c r="B9" s="70" t="s">
        <v>2553</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177" t="s">
        <v>2554</v>
      </c>
      <c r="Q9" s="1791" t="str">
        <f t="shared" ref="Q9:Q15" si="6">B9</f>
        <v>用途</v>
      </c>
      <c r="R9" s="767" t="s">
        <v>17</v>
      </c>
      <c r="S9" s="768">
        <f t="shared" si="0"/>
        <v>100</v>
      </c>
      <c r="T9" s="767" t="s">
        <v>17</v>
      </c>
      <c r="U9" s="768">
        <f t="shared" si="1"/>
        <v>100</v>
      </c>
      <c r="V9" s="767" t="s">
        <v>17</v>
      </c>
      <c r="W9" s="768">
        <f t="shared" si="2"/>
        <v>100</v>
      </c>
      <c r="X9" s="769"/>
      <c r="Y9" s="3043" t="s">
        <v>2555</v>
      </c>
      <c r="Z9" s="54" t="str">
        <f t="shared" ref="Z9:Z15" si="7">Q9</f>
        <v>用途</v>
      </c>
      <c r="AA9" s="770">
        <f t="shared" si="3"/>
        <v>1</v>
      </c>
      <c r="AB9" s="770">
        <f t="shared" si="4"/>
        <v>1</v>
      </c>
      <c r="AC9" s="770">
        <f t="shared" si="5"/>
        <v>1</v>
      </c>
    </row>
    <row r="10" spans="1:29" s="425" customFormat="1" ht="27">
      <c r="A10" s="419"/>
      <c r="B10" s="420" t="s">
        <v>2556</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177"/>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420" t="s">
        <v>2557</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177"/>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770" t="e">
        <f t="shared" si="5"/>
        <v>#N/A</v>
      </c>
    </row>
    <row r="12" spans="1:29" s="116" customFormat="1" ht="15">
      <c r="A12" s="429"/>
      <c r="B12" s="2593">
        <v>111</v>
      </c>
      <c r="C12" s="430"/>
      <c r="D12" s="431">
        <v>100</v>
      </c>
      <c r="E12" s="432"/>
      <c r="F12" s="134">
        <f>SUMIF(64:64,E12,65:65)-SUMIF(64:64,C12,65:65)+100</f>
        <v>100</v>
      </c>
      <c r="G12" s="2683"/>
      <c r="H12" s="134">
        <f>SUMIF(64:64,G12,65:65)-SUMIF(64:64,C12,65:65)+100</f>
        <v>100</v>
      </c>
      <c r="I12" s="467"/>
      <c r="J12" s="134">
        <f>SUMIF(64:64,I12,65:65)-SUMIF(64:64,C12,65:65)+100</f>
        <v>100</v>
      </c>
      <c r="K12" s="611"/>
      <c r="L12" s="1127"/>
      <c r="M12" s="1128"/>
      <c r="N12" s="1128"/>
      <c r="O12" s="1129"/>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
      <c r="A13" s="426"/>
      <c r="B13" s="2593">
        <v>111</v>
      </c>
      <c r="C13" s="432"/>
      <c r="D13" s="433">
        <v>100</v>
      </c>
      <c r="E13" s="432"/>
      <c r="F13" s="134">
        <f>SUMIF(66:66,E13,67:67)-SUMIF(66:66,C13,67:67)+100</f>
        <v>100</v>
      </c>
      <c r="G13" s="2683"/>
      <c r="H13" s="433">
        <f>SUMIF(66:66,G13,67:67)-SUMIF(66:66,C13,67:67)+100</f>
        <v>100</v>
      </c>
      <c r="I13" s="467"/>
      <c r="J13" s="433">
        <f>SUMIF(66:66,I13,67:67)-SUMIF(66:66,C13,67:67)+100</f>
        <v>100</v>
      </c>
      <c r="K13" s="611"/>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435"/>
      <c r="F14" s="436">
        <f>SUMIF(68:68,E14,69:69)-SUMIF(68:68,C14,69:69)+100</f>
        <v>100</v>
      </c>
      <c r="G14" s="2683"/>
      <c r="H14" s="436">
        <f>SUMIF(68:68,G14,69:69)-SUMIF(68:68,C14,69:69)+100</f>
        <v>100</v>
      </c>
      <c r="I14" s="467"/>
      <c r="J14" s="436">
        <f>SUMIF(68:68,I14,69:69)-SUMIF(68:68,C14,69:69)+100</f>
        <v>100</v>
      </c>
      <c r="K14" s="611"/>
      <c r="L14" s="1135"/>
      <c r="M14" s="1126"/>
      <c r="N14" s="1126"/>
      <c r="O14" s="1134"/>
      <c r="P14" s="3177"/>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770">
        <f t="shared" si="5"/>
        <v>1</v>
      </c>
    </row>
    <row r="15" spans="1:29" ht="57">
      <c r="A15" s="438" t="s">
        <v>2558</v>
      </c>
      <c r="B15" s="68" t="s">
        <v>2702</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192" t="s">
        <v>2559</v>
      </c>
      <c r="Q15" s="1806" t="str">
        <f t="shared" si="6"/>
        <v>产业集聚程度</v>
      </c>
      <c r="R15" s="771" t="s">
        <v>17</v>
      </c>
      <c r="S15" s="772">
        <f t="shared" si="0"/>
        <v>100</v>
      </c>
      <c r="T15" s="771" t="s">
        <v>17</v>
      </c>
      <c r="U15" s="772">
        <f t="shared" si="1"/>
        <v>100</v>
      </c>
      <c r="V15" s="771" t="s">
        <v>17</v>
      </c>
      <c r="W15" s="772">
        <f t="shared" si="2"/>
        <v>100</v>
      </c>
      <c r="X15" s="1809"/>
      <c r="Y15" s="3192" t="s">
        <v>2559</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5"/>
      <c r="M16" s="1126"/>
      <c r="N16" s="1126"/>
      <c r="O16" s="1134"/>
      <c r="P16" s="3193"/>
      <c r="Q16" s="1806"/>
      <c r="R16" s="771"/>
      <c r="S16" s="772"/>
      <c r="T16" s="771"/>
      <c r="U16" s="772"/>
      <c r="V16" s="771"/>
      <c r="W16" s="772"/>
      <c r="X16" s="1809"/>
      <c r="Y16" s="3193"/>
      <c r="Z16" s="1810"/>
      <c r="AA16" s="1807">
        <v>1</v>
      </c>
      <c r="AB16" s="1807">
        <v>1</v>
      </c>
      <c r="AC16" s="1807">
        <v>1</v>
      </c>
    </row>
    <row r="17" spans="1:29" ht="85.5">
      <c r="A17" s="426"/>
      <c r="B17" s="449" t="s">
        <v>2099</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193"/>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1807">
        <f t="shared" si="5"/>
        <v>1</v>
      </c>
    </row>
    <row r="18" spans="1:29" ht="15">
      <c r="A18" s="426"/>
      <c r="B18" s="454"/>
      <c r="C18" s="2601"/>
      <c r="D18" s="448"/>
      <c r="E18" s="2603"/>
      <c r="F18" s="451"/>
      <c r="G18" s="2602"/>
      <c r="H18" s="446"/>
      <c r="I18" s="2603"/>
      <c r="J18" s="446"/>
      <c r="K18" s="613"/>
      <c r="L18" s="1135"/>
      <c r="M18" s="1126"/>
      <c r="N18" s="1126"/>
      <c r="O18" s="1134"/>
      <c r="P18" s="3193"/>
      <c r="Q18" s="1806"/>
      <c r="R18" s="771"/>
      <c r="S18" s="772"/>
      <c r="T18" s="771"/>
      <c r="U18" s="772"/>
      <c r="V18" s="771"/>
      <c r="W18" s="772"/>
      <c r="X18" s="1809"/>
      <c r="Y18" s="3193"/>
      <c r="Z18" s="1810"/>
      <c r="AA18" s="1807">
        <v>1</v>
      </c>
      <c r="AB18" s="1807">
        <v>1</v>
      </c>
      <c r="AC18" s="1807">
        <v>1</v>
      </c>
    </row>
    <row r="19" spans="1:29" ht="42.75">
      <c r="A19" s="426"/>
      <c r="B19" s="449" t="s">
        <v>2687</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193"/>
      <c r="Q19" s="1806" t="str">
        <f>B19</f>
        <v>公共配套设施</v>
      </c>
      <c r="R19" s="771" t="s">
        <v>17</v>
      </c>
      <c r="S19" s="772">
        <f>F19</f>
        <v>100</v>
      </c>
      <c r="T19" s="771" t="s">
        <v>17</v>
      </c>
      <c r="U19" s="772">
        <f>H19</f>
        <v>100</v>
      </c>
      <c r="V19" s="771" t="s">
        <v>17</v>
      </c>
      <c r="W19" s="772">
        <f>J19</f>
        <v>100</v>
      </c>
      <c r="X19" s="1809"/>
      <c r="Y19" s="3193"/>
      <c r="Z19" s="1810" t="str">
        <f>Q19</f>
        <v>公共配套设施</v>
      </c>
      <c r="AA19" s="1807">
        <f t="shared" si="3"/>
        <v>1</v>
      </c>
      <c r="AB19" s="1807">
        <f t="shared" si="4"/>
        <v>1</v>
      </c>
      <c r="AC19" s="1807">
        <f t="shared" si="5"/>
        <v>1</v>
      </c>
    </row>
    <row r="20" spans="1:29" ht="15">
      <c r="A20" s="426"/>
      <c r="B20" s="454"/>
      <c r="C20" s="445"/>
      <c r="D20" s="446"/>
      <c r="E20" s="2598"/>
      <c r="F20" s="447"/>
      <c r="G20" s="2597"/>
      <c r="H20" s="446"/>
      <c r="I20" s="2598"/>
      <c r="J20" s="446"/>
      <c r="K20" s="613"/>
      <c r="L20" s="1135"/>
      <c r="M20" s="1126"/>
      <c r="N20" s="1126"/>
      <c r="O20" s="1134"/>
      <c r="P20" s="3193"/>
      <c r="Q20" s="1806"/>
      <c r="R20" s="771"/>
      <c r="S20" s="772"/>
      <c r="T20" s="771"/>
      <c r="U20" s="772"/>
      <c r="V20" s="771"/>
      <c r="W20" s="772"/>
      <c r="X20" s="1809"/>
      <c r="Y20" s="3193"/>
      <c r="Z20" s="1810"/>
      <c r="AA20" s="1807">
        <v>1</v>
      </c>
      <c r="AB20" s="1807">
        <v>1</v>
      </c>
      <c r="AC20" s="1807">
        <v>1</v>
      </c>
    </row>
    <row r="21" spans="1:29" ht="28.5">
      <c r="A21" s="426"/>
      <c r="B21" s="1379" t="s">
        <v>2688</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193"/>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1807">
        <f t="shared" ref="AC21" si="10">D21/J21</f>
        <v>1</v>
      </c>
    </row>
    <row r="22" spans="1:29" ht="15">
      <c r="A22" s="426"/>
      <c r="B22" s="1379"/>
      <c r="C22" s="2601"/>
      <c r="D22" s="446"/>
      <c r="E22" s="445"/>
      <c r="F22" s="447"/>
      <c r="G22" s="445"/>
      <c r="H22" s="446"/>
      <c r="I22" s="445"/>
      <c r="J22" s="446"/>
      <c r="K22" s="1378"/>
      <c r="L22" s="1135"/>
      <c r="M22" s="1126"/>
      <c r="N22" s="1126"/>
      <c r="O22" s="1134"/>
      <c r="P22" s="3193"/>
      <c r="Q22" s="1806"/>
      <c r="R22" s="771"/>
      <c r="S22" s="772"/>
      <c r="T22" s="771"/>
      <c r="U22" s="772"/>
      <c r="V22" s="771"/>
      <c r="W22" s="772"/>
      <c r="X22" s="1809"/>
      <c r="Y22" s="3193"/>
      <c r="Z22" s="1810"/>
      <c r="AA22" s="1807">
        <v>1</v>
      </c>
      <c r="AB22" s="1807">
        <v>1</v>
      </c>
      <c r="AC22" s="1807">
        <v>1</v>
      </c>
    </row>
    <row r="23" spans="1:29" ht="71.25">
      <c r="A23" s="426"/>
      <c r="B23" s="449" t="s">
        <v>2689</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193"/>
      <c r="Q23" s="1806" t="str">
        <f>B23</f>
        <v>环境质量</v>
      </c>
      <c r="R23" s="771" t="s">
        <v>17</v>
      </c>
      <c r="S23" s="772">
        <f>F23</f>
        <v>100</v>
      </c>
      <c r="T23" s="771" t="s">
        <v>17</v>
      </c>
      <c r="U23" s="772">
        <f>H23</f>
        <v>100</v>
      </c>
      <c r="V23" s="771" t="s">
        <v>17</v>
      </c>
      <c r="W23" s="772">
        <f>J23</f>
        <v>100</v>
      </c>
      <c r="X23" s="1809"/>
      <c r="Y23" s="3193"/>
      <c r="Z23" s="1810" t="str">
        <f>Q23</f>
        <v>环境质量</v>
      </c>
      <c r="AA23" s="1807">
        <f t="shared" si="3"/>
        <v>1</v>
      </c>
      <c r="AB23" s="1807">
        <f t="shared" si="4"/>
        <v>1</v>
      </c>
      <c r="AC23" s="1807">
        <f t="shared" si="5"/>
        <v>1</v>
      </c>
    </row>
    <row r="24" spans="1:29" ht="15">
      <c r="A24" s="426"/>
      <c r="B24" s="1379"/>
      <c r="C24" s="445"/>
      <c r="D24" s="446"/>
      <c r="E24" s="2598"/>
      <c r="F24" s="447"/>
      <c r="G24" s="2597"/>
      <c r="H24" s="446"/>
      <c r="I24" s="2598"/>
      <c r="J24" s="446"/>
      <c r="K24" s="613"/>
      <c r="L24" s="1135"/>
      <c r="M24" s="1126"/>
      <c r="N24" s="1126"/>
      <c r="O24" s="1134"/>
      <c r="P24" s="3193"/>
      <c r="Q24" s="1806"/>
      <c r="R24" s="771"/>
      <c r="S24" s="772"/>
      <c r="T24" s="771"/>
      <c r="U24" s="772"/>
      <c r="V24" s="771"/>
      <c r="W24" s="772"/>
      <c r="X24" s="1809"/>
      <c r="Y24" s="3193"/>
      <c r="Z24" s="1810"/>
      <c r="AA24" s="1807">
        <v>1</v>
      </c>
      <c r="AB24" s="1807">
        <v>1</v>
      </c>
      <c r="AC24" s="1807">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193"/>
      <c r="Q25" s="1806">
        <f>B25</f>
        <v>111</v>
      </c>
      <c r="R25" s="771" t="s">
        <v>17</v>
      </c>
      <c r="S25" s="772">
        <f>F25</f>
        <v>100</v>
      </c>
      <c r="T25" s="771" t="s">
        <v>17</v>
      </c>
      <c r="U25" s="772">
        <f>H25</f>
        <v>100</v>
      </c>
      <c r="V25" s="771" t="s">
        <v>17</v>
      </c>
      <c r="W25" s="772">
        <f>J25</f>
        <v>100</v>
      </c>
      <c r="X25" s="1809"/>
      <c r="Y25" s="3193"/>
      <c r="Z25" s="1810">
        <f>Q25</f>
        <v>111</v>
      </c>
      <c r="AA25" s="1807">
        <f t="shared" si="3"/>
        <v>1</v>
      </c>
      <c r="AB25" s="1807">
        <f t="shared" si="4"/>
        <v>1</v>
      </c>
      <c r="AC25" s="1807">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193"/>
      <c r="Q26" s="1806">
        <f t="shared" ref="Q26:Q40" si="11">B26</f>
        <v>111</v>
      </c>
      <c r="R26" s="771" t="s">
        <v>17</v>
      </c>
      <c r="S26" s="772">
        <f>F26</f>
        <v>100</v>
      </c>
      <c r="T26" s="771" t="s">
        <v>17</v>
      </c>
      <c r="U26" s="772">
        <f>H26</f>
        <v>100</v>
      </c>
      <c r="V26" s="771" t="s">
        <v>17</v>
      </c>
      <c r="W26" s="772">
        <f>J26</f>
        <v>100</v>
      </c>
      <c r="X26" s="1809"/>
      <c r="Y26" s="3193"/>
      <c r="Z26" s="1810">
        <f>Q26</f>
        <v>111</v>
      </c>
      <c r="AA26" s="1807">
        <f t="shared" si="3"/>
        <v>1</v>
      </c>
      <c r="AB26" s="1807">
        <f t="shared" si="4"/>
        <v>1</v>
      </c>
      <c r="AC26" s="1807">
        <f t="shared" si="5"/>
        <v>1</v>
      </c>
    </row>
    <row r="27" spans="1:29" s="116"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193"/>
      <c r="Q27" s="1791">
        <f t="shared" si="11"/>
        <v>111</v>
      </c>
      <c r="R27" s="767" t="s">
        <v>17</v>
      </c>
      <c r="S27" s="768">
        <f>F27</f>
        <v>100</v>
      </c>
      <c r="T27" s="767" t="s">
        <v>17</v>
      </c>
      <c r="U27" s="768">
        <f>H27</f>
        <v>100</v>
      </c>
      <c r="V27" s="767" t="s">
        <v>17</v>
      </c>
      <c r="W27" s="768">
        <f>J27</f>
        <v>100</v>
      </c>
      <c r="X27" s="769"/>
      <c r="Y27" s="3193"/>
      <c r="Z27" s="54">
        <f>Q27</f>
        <v>111</v>
      </c>
      <c r="AA27" s="1807">
        <f>D27/F27</f>
        <v>1</v>
      </c>
      <c r="AB27" s="1807">
        <f>D27/H27</f>
        <v>1</v>
      </c>
      <c r="AC27" s="1807">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193"/>
      <c r="Q28" s="1806">
        <f t="shared" si="11"/>
        <v>111</v>
      </c>
      <c r="R28" s="771" t="s">
        <v>17</v>
      </c>
      <c r="S28" s="772">
        <f t="shared" ref="S28:S40" si="12">F28</f>
        <v>100</v>
      </c>
      <c r="T28" s="771" t="s">
        <v>17</v>
      </c>
      <c r="U28" s="772">
        <f t="shared" ref="U28:U40" si="13">H28</f>
        <v>100</v>
      </c>
      <c r="V28" s="771" t="s">
        <v>17</v>
      </c>
      <c r="W28" s="772">
        <f t="shared" ref="W28:W40" si="14">J28</f>
        <v>100</v>
      </c>
      <c r="X28" s="1809"/>
      <c r="Y28" s="3193"/>
      <c r="Z28" s="1810">
        <f t="shared" ref="Z28:Z40" si="15">Q28</f>
        <v>111</v>
      </c>
      <c r="AA28" s="1807">
        <f t="shared" si="3"/>
        <v>1</v>
      </c>
      <c r="AB28" s="1807">
        <f t="shared" si="4"/>
        <v>1</v>
      </c>
      <c r="AC28" s="1807">
        <f t="shared" si="5"/>
        <v>1</v>
      </c>
    </row>
    <row r="29" spans="1:29" ht="15">
      <c r="A29" s="464" t="s">
        <v>2562</v>
      </c>
      <c r="B29" s="70" t="s">
        <v>2692</v>
      </c>
      <c r="C29" s="2670"/>
      <c r="D29" s="465">
        <v>100</v>
      </c>
      <c r="E29" s="2670"/>
      <c r="F29" s="459">
        <f>SUMIF(88:88,E29,89:89)-SUMIF(88:88,C29,89:89)+100</f>
        <v>100</v>
      </c>
      <c r="G29" s="2670"/>
      <c r="H29" s="433">
        <f>SUMIF(88:88,G29,89:89)-SUMIF(88:88,C29,89:89)+100</f>
        <v>100</v>
      </c>
      <c r="I29" s="2670"/>
      <c r="J29" s="465">
        <f>SUMIF(88:88,I29,89:89)-SUMIF(88:88,C29,89:89)+100</f>
        <v>100</v>
      </c>
      <c r="K29" s="610"/>
      <c r="L29" s="1135"/>
      <c r="M29" s="1126"/>
      <c r="N29" s="1126"/>
      <c r="O29" s="1134"/>
      <c r="P29" s="3194" t="s">
        <v>2564</v>
      </c>
      <c r="Q29" s="1806" t="str">
        <f t="shared" si="11"/>
        <v>建筑类型</v>
      </c>
      <c r="R29" s="771" t="s">
        <v>17</v>
      </c>
      <c r="S29" s="772">
        <f t="shared" si="12"/>
        <v>100</v>
      </c>
      <c r="T29" s="771" t="s">
        <v>17</v>
      </c>
      <c r="U29" s="772">
        <f t="shared" si="13"/>
        <v>100</v>
      </c>
      <c r="V29" s="771" t="s">
        <v>17</v>
      </c>
      <c r="W29" s="772">
        <f t="shared" si="14"/>
        <v>100</v>
      </c>
      <c r="X29" s="1809"/>
      <c r="Y29" s="3195" t="s">
        <v>2564</v>
      </c>
      <c r="Z29" s="1810" t="str">
        <f t="shared" si="15"/>
        <v>建筑类型</v>
      </c>
      <c r="AA29" s="1807">
        <f t="shared" si="3"/>
        <v>1</v>
      </c>
      <c r="AB29" s="1807">
        <f t="shared" si="4"/>
        <v>1</v>
      </c>
      <c r="AC29" s="1807">
        <f t="shared" si="5"/>
        <v>1</v>
      </c>
    </row>
    <row r="30" spans="1:29" s="469" customFormat="1" ht="15">
      <c r="A30" s="466"/>
      <c r="B30" s="420" t="s">
        <v>2565</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195"/>
      <c r="Q30" s="773" t="str">
        <f t="shared" si="11"/>
        <v>项目建筑规模</v>
      </c>
      <c r="R30" s="774" t="s">
        <v>17</v>
      </c>
      <c r="S30" s="775" t="e">
        <f t="shared" si="12"/>
        <v>#N/A</v>
      </c>
      <c r="T30" s="774" t="s">
        <v>17</v>
      </c>
      <c r="U30" s="775" t="e">
        <f t="shared" si="13"/>
        <v>#N/A</v>
      </c>
      <c r="V30" s="774" t="s">
        <v>17</v>
      </c>
      <c r="W30" s="775" t="e">
        <f t="shared" si="14"/>
        <v>#N/A</v>
      </c>
      <c r="X30" s="776"/>
      <c r="Y30" s="3195"/>
      <c r="Z30" s="777" t="str">
        <f t="shared" si="15"/>
        <v>项目建筑规模</v>
      </c>
      <c r="AA30" s="1807" t="e">
        <f t="shared" si="3"/>
        <v>#N/A</v>
      </c>
      <c r="AB30" s="1807" t="e">
        <f t="shared" si="4"/>
        <v>#N/A</v>
      </c>
      <c r="AC30" s="1807" t="e">
        <f t="shared" si="5"/>
        <v>#N/A</v>
      </c>
    </row>
    <row r="31" spans="1:29" ht="15">
      <c r="A31" s="470"/>
      <c r="B31" s="420" t="s">
        <v>2566</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195"/>
      <c r="Q31" s="1806" t="str">
        <f t="shared" si="11"/>
        <v>建筑结构</v>
      </c>
      <c r="R31" s="771" t="s">
        <v>17</v>
      </c>
      <c r="S31" s="772">
        <f t="shared" si="12"/>
        <v>100</v>
      </c>
      <c r="T31" s="771" t="s">
        <v>17</v>
      </c>
      <c r="U31" s="772">
        <f t="shared" si="13"/>
        <v>100</v>
      </c>
      <c r="V31" s="771" t="s">
        <v>17</v>
      </c>
      <c r="W31" s="772">
        <f t="shared" si="14"/>
        <v>100</v>
      </c>
      <c r="X31" s="1809"/>
      <c r="Y31" s="3195"/>
      <c r="Z31" s="1810" t="str">
        <f t="shared" si="15"/>
        <v>建筑结构</v>
      </c>
      <c r="AA31" s="1807">
        <f t="shared" si="3"/>
        <v>1</v>
      </c>
      <c r="AB31" s="1807">
        <f t="shared" si="4"/>
        <v>1</v>
      </c>
      <c r="AC31" s="1807">
        <f t="shared" si="5"/>
        <v>1</v>
      </c>
    </row>
    <row r="32" spans="1:29" ht="15">
      <c r="A32" s="470"/>
      <c r="B32" s="420" t="s">
        <v>2660</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195"/>
      <c r="Q32" s="1806" t="str">
        <f t="shared" si="11"/>
        <v>公共部分装修</v>
      </c>
      <c r="R32" s="771" t="s">
        <v>17</v>
      </c>
      <c r="S32" s="772">
        <f t="shared" si="12"/>
        <v>100</v>
      </c>
      <c r="T32" s="771" t="s">
        <v>17</v>
      </c>
      <c r="U32" s="772">
        <f t="shared" si="13"/>
        <v>100</v>
      </c>
      <c r="V32" s="771" t="s">
        <v>17</v>
      </c>
      <c r="W32" s="772">
        <f t="shared" si="14"/>
        <v>100</v>
      </c>
      <c r="X32" s="1809"/>
      <c r="Y32" s="3195"/>
      <c r="Z32" s="1810" t="str">
        <f t="shared" si="15"/>
        <v>公共部分装修</v>
      </c>
      <c r="AA32" s="1807">
        <f t="shared" si="3"/>
        <v>1</v>
      </c>
      <c r="AB32" s="1807">
        <f t="shared" si="4"/>
        <v>1</v>
      </c>
      <c r="AC32" s="1807">
        <f t="shared" si="5"/>
        <v>1</v>
      </c>
    </row>
    <row r="33" spans="1:29" ht="15">
      <c r="A33" s="470"/>
      <c r="B33" s="420" t="s">
        <v>2661</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195"/>
      <c r="Q33" s="1806" t="str">
        <f t="shared" si="11"/>
        <v>成新度</v>
      </c>
      <c r="R33" s="771" t="s">
        <v>17</v>
      </c>
      <c r="S33" s="772" t="e">
        <f t="shared" si="12"/>
        <v>#N/A</v>
      </c>
      <c r="T33" s="771" t="s">
        <v>17</v>
      </c>
      <c r="U33" s="772" t="e">
        <f t="shared" si="13"/>
        <v>#N/A</v>
      </c>
      <c r="V33" s="771" t="s">
        <v>17</v>
      </c>
      <c r="W33" s="772" t="e">
        <f t="shared" si="14"/>
        <v>#N/A</v>
      </c>
      <c r="X33" s="1809"/>
      <c r="Y33" s="3195"/>
      <c r="Z33" s="1810" t="str">
        <f t="shared" si="15"/>
        <v>成新度</v>
      </c>
      <c r="AA33" s="1807" t="e">
        <f t="shared" si="3"/>
        <v>#N/A</v>
      </c>
      <c r="AB33" s="1807" t="e">
        <f t="shared" si="4"/>
        <v>#N/A</v>
      </c>
      <c r="AC33" s="1807" t="e">
        <f t="shared" si="5"/>
        <v>#N/A</v>
      </c>
    </row>
    <row r="34" spans="1:29" s="116" customFormat="1" ht="15">
      <c r="A34" s="471"/>
      <c r="B34" s="420" t="s">
        <v>2694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195"/>
      <c r="Q34" s="1791" t="str">
        <f t="shared" si="11"/>
        <v>物业管理</v>
      </c>
      <c r="R34" s="767" t="s">
        <v>17</v>
      </c>
      <c r="S34" s="768">
        <f t="shared" si="12"/>
        <v>100</v>
      </c>
      <c r="T34" s="767" t="s">
        <v>17</v>
      </c>
      <c r="U34" s="768">
        <f t="shared" si="13"/>
        <v>100</v>
      </c>
      <c r="V34" s="767" t="s">
        <v>17</v>
      </c>
      <c r="W34" s="768">
        <f t="shared" si="14"/>
        <v>100</v>
      </c>
      <c r="X34" s="769"/>
      <c r="Y34" s="3195"/>
      <c r="Z34" s="54" t="str">
        <f t="shared" si="15"/>
        <v>物业管理</v>
      </c>
      <c r="AA34" s="770">
        <f t="shared" si="3"/>
        <v>1</v>
      </c>
      <c r="AB34" s="770">
        <f t="shared" si="4"/>
        <v>1</v>
      </c>
      <c r="AC34" s="770">
        <f t="shared" si="5"/>
        <v>1</v>
      </c>
    </row>
    <row r="35" spans="1:29" ht="15">
      <c r="A35" s="470"/>
      <c r="B35" s="420" t="s">
        <v>2662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195" t="s">
        <v>2564</v>
      </c>
      <c r="Q35" s="1806" t="str">
        <f t="shared" si="11"/>
        <v>市政基础设施</v>
      </c>
      <c r="R35" s="771" t="s">
        <v>17</v>
      </c>
      <c r="S35" s="772">
        <f t="shared" si="12"/>
        <v>100</v>
      </c>
      <c r="T35" s="771" t="s">
        <v>17</v>
      </c>
      <c r="U35" s="772">
        <f t="shared" si="13"/>
        <v>100</v>
      </c>
      <c r="V35" s="771" t="s">
        <v>17</v>
      </c>
      <c r="W35" s="772">
        <f t="shared" si="14"/>
        <v>100</v>
      </c>
      <c r="X35" s="1809"/>
      <c r="Y35" s="3195" t="s">
        <v>2564</v>
      </c>
      <c r="Z35" s="1810" t="str">
        <f t="shared" si="15"/>
        <v>市政基础设施</v>
      </c>
      <c r="AA35" s="1807">
        <f t="shared" si="3"/>
        <v>1</v>
      </c>
      <c r="AB35" s="1807">
        <f t="shared" si="4"/>
        <v>1</v>
      </c>
      <c r="AC35" s="1807">
        <f t="shared" si="5"/>
        <v>1</v>
      </c>
    </row>
    <row r="36" spans="1:29" ht="15">
      <c r="A36" s="470"/>
      <c r="B36" s="420" t="s">
        <v>2667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195"/>
      <c r="Q36" s="1806" t="str">
        <f t="shared" si="11"/>
        <v>内部装修</v>
      </c>
      <c r="R36" s="771" t="s">
        <v>17</v>
      </c>
      <c r="S36" s="772">
        <f t="shared" si="12"/>
        <v>100</v>
      </c>
      <c r="T36" s="771" t="s">
        <v>17</v>
      </c>
      <c r="U36" s="772">
        <f t="shared" si="13"/>
        <v>100</v>
      </c>
      <c r="V36" s="771" t="s">
        <v>17</v>
      </c>
      <c r="W36" s="772">
        <f t="shared" si="14"/>
        <v>100</v>
      </c>
      <c r="X36" s="1809"/>
      <c r="Y36" s="3195"/>
      <c r="Z36" s="1810" t="str">
        <f t="shared" si="15"/>
        <v>内部装修</v>
      </c>
      <c r="AA36" s="1807">
        <f t="shared" si="3"/>
        <v>1</v>
      </c>
      <c r="AB36" s="1807">
        <f t="shared" si="4"/>
        <v>1</v>
      </c>
      <c r="AC36" s="1807">
        <f t="shared" si="5"/>
        <v>1</v>
      </c>
    </row>
    <row r="37" spans="1:29" ht="15">
      <c r="A37" s="470"/>
      <c r="B37" s="420" t="s">
        <v>2703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195"/>
      <c r="Q37" s="1806" t="str">
        <f t="shared" si="11"/>
        <v>内部装修状况</v>
      </c>
      <c r="R37" s="771" t="s">
        <v>17</v>
      </c>
      <c r="S37" s="772">
        <f t="shared" si="12"/>
        <v>100</v>
      </c>
      <c r="T37" s="771" t="s">
        <v>17</v>
      </c>
      <c r="U37" s="772">
        <f t="shared" si="13"/>
        <v>100</v>
      </c>
      <c r="V37" s="771" t="s">
        <v>17</v>
      </c>
      <c r="W37" s="772">
        <f t="shared" si="14"/>
        <v>100</v>
      </c>
      <c r="X37" s="1809"/>
      <c r="Y37" s="3195"/>
      <c r="Z37" s="1810" t="str">
        <f t="shared" si="15"/>
        <v>内部装修状况</v>
      </c>
      <c r="AA37" s="1807">
        <f t="shared" si="3"/>
        <v>1</v>
      </c>
      <c r="AB37" s="1807">
        <f t="shared" si="4"/>
        <v>1</v>
      </c>
      <c r="AC37" s="1807">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195"/>
      <c r="Q38" s="773">
        <f t="shared" si="11"/>
        <v>111</v>
      </c>
      <c r="R38" s="774" t="s">
        <v>17</v>
      </c>
      <c r="S38" s="775">
        <f t="shared" si="12"/>
        <v>100</v>
      </c>
      <c r="T38" s="774" t="s">
        <v>17</v>
      </c>
      <c r="U38" s="775">
        <f t="shared" si="13"/>
        <v>100</v>
      </c>
      <c r="V38" s="774" t="s">
        <v>17</v>
      </c>
      <c r="W38" s="775">
        <f t="shared" si="14"/>
        <v>100</v>
      </c>
      <c r="X38" s="776"/>
      <c r="Y38" s="3195"/>
      <c r="Z38" s="777">
        <f t="shared" si="15"/>
        <v>111</v>
      </c>
      <c r="AA38" s="1807">
        <f t="shared" si="3"/>
        <v>1</v>
      </c>
      <c r="AB38" s="1807">
        <f t="shared" si="4"/>
        <v>1</v>
      </c>
      <c r="AC38" s="1807">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195"/>
      <c r="Q39" s="1806">
        <f t="shared" si="11"/>
        <v>111</v>
      </c>
      <c r="R39" s="771" t="s">
        <v>17</v>
      </c>
      <c r="S39" s="772">
        <f t="shared" si="12"/>
        <v>100</v>
      </c>
      <c r="T39" s="771" t="s">
        <v>17</v>
      </c>
      <c r="U39" s="772">
        <f t="shared" si="13"/>
        <v>100</v>
      </c>
      <c r="V39" s="771" t="s">
        <v>17</v>
      </c>
      <c r="W39" s="772">
        <f t="shared" si="14"/>
        <v>100</v>
      </c>
      <c r="X39" s="1809"/>
      <c r="Y39" s="3195"/>
      <c r="Z39" s="1810">
        <f t="shared" si="15"/>
        <v>111</v>
      </c>
      <c r="AA39" s="1807">
        <f t="shared" si="3"/>
        <v>1</v>
      </c>
      <c r="AB39" s="1807">
        <f t="shared" si="4"/>
        <v>1</v>
      </c>
      <c r="AC39" s="1807">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243"/>
      <c r="Q40" s="1806">
        <f t="shared" si="11"/>
        <v>111</v>
      </c>
      <c r="R40" s="771" t="s">
        <v>17</v>
      </c>
      <c r="S40" s="772">
        <f t="shared" si="12"/>
        <v>100</v>
      </c>
      <c r="T40" s="771" t="s">
        <v>17</v>
      </c>
      <c r="U40" s="772">
        <f t="shared" si="13"/>
        <v>100</v>
      </c>
      <c r="V40" s="771" t="s">
        <v>17</v>
      </c>
      <c r="W40" s="772">
        <f t="shared" si="14"/>
        <v>100</v>
      </c>
      <c r="X40" s="1809"/>
      <c r="Y40" s="3243"/>
      <c r="Z40" s="1810">
        <f t="shared" si="15"/>
        <v>111</v>
      </c>
      <c r="AA40" s="1807">
        <f t="shared" si="3"/>
        <v>1</v>
      </c>
      <c r="AB40" s="1807">
        <f t="shared" si="4"/>
        <v>1</v>
      </c>
      <c r="AC40" s="1807">
        <f t="shared" si="5"/>
        <v>1</v>
      </c>
    </row>
    <row r="41" spans="1:29" ht="15">
      <c r="A41" s="477" t="s">
        <v>2576</v>
      </c>
      <c r="B41" s="478"/>
      <c r="C41" s="1402" t="s">
        <v>1</v>
      </c>
      <c r="D41" s="1403"/>
      <c r="E41" s="1404"/>
      <c r="F41" s="1405"/>
      <c r="G41" s="1406"/>
      <c r="H41" s="1407"/>
      <c r="I41" s="1404"/>
      <c r="J41" s="1407"/>
      <c r="K41" s="780"/>
      <c r="L41" s="1138"/>
      <c r="M41" s="1139"/>
      <c r="N41" s="1126"/>
      <c r="O41" s="1139"/>
      <c r="P41" s="3177" t="str">
        <f>A41</f>
        <v>成交单价（元/平方米）</v>
      </c>
      <c r="Q41" s="3177"/>
      <c r="R41" s="3239">
        <f>E41</f>
        <v>0</v>
      </c>
      <c r="S41" s="3239"/>
      <c r="T41" s="3239">
        <f>G41</f>
        <v>0</v>
      </c>
      <c r="U41" s="3239"/>
      <c r="V41" s="3239">
        <f>I41</f>
        <v>0</v>
      </c>
      <c r="W41" s="3239"/>
      <c r="X41" s="756"/>
      <c r="Y41" s="778"/>
      <c r="Z41" s="756"/>
      <c r="AA41" s="756"/>
      <c r="AB41" s="756"/>
      <c r="AC41" s="756"/>
    </row>
    <row r="42" spans="1:29" ht="15.75" thickBot="1">
      <c r="A42" s="484" t="s">
        <v>2668</v>
      </c>
      <c r="B42" s="485"/>
      <c r="C42" s="1408" t="e">
        <f>R43</f>
        <v>#DIV/0!</v>
      </c>
      <c r="D42" s="1409"/>
      <c r="E42" s="1410" t="e">
        <f>R42</f>
        <v>#DIV/0!</v>
      </c>
      <c r="F42" s="1410"/>
      <c r="G42" s="1408" t="e">
        <f>T42</f>
        <v>#DIV/0!</v>
      </c>
      <c r="H42" s="1409"/>
      <c r="I42" s="1410" t="e">
        <f>V42</f>
        <v>#DIV/0!</v>
      </c>
      <c r="J42" s="1409"/>
      <c r="K42" s="781"/>
      <c r="L42" s="1138"/>
      <c r="M42" s="1139"/>
      <c r="N42" s="1126"/>
      <c r="O42" s="1139"/>
      <c r="P42" s="3177" t="str">
        <f>A42</f>
        <v>比较价值（元/平方米）</v>
      </c>
      <c r="Q42" s="3177"/>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6"/>
      <c r="Y42" s="756"/>
      <c r="Z42" s="756"/>
      <c r="AA42" s="756"/>
      <c r="AB42" s="756"/>
      <c r="AC42" s="756"/>
    </row>
    <row r="43" spans="1:29" ht="15.75" thickBot="1">
      <c r="A43" s="490" t="s">
        <v>2669</v>
      </c>
      <c r="B43" s="491"/>
      <c r="C43" s="1412" t="e">
        <f>R43</f>
        <v>#DIV/0!</v>
      </c>
      <c r="D43" s="1412"/>
      <c r="E43" s="1412"/>
      <c r="F43" s="1412"/>
      <c r="G43" s="1412"/>
      <c r="H43" s="1412"/>
      <c r="I43" s="1412"/>
      <c r="J43" s="1412"/>
      <c r="K43" s="782"/>
      <c r="L43" s="1138"/>
      <c r="M43" s="1139"/>
      <c r="N43" s="1139"/>
      <c r="O43" s="1139"/>
      <c r="P43" s="3197" t="str">
        <f>A43</f>
        <v>估价对象XX用房的比较价值（楼面单价，元/平方米）</v>
      </c>
      <c r="Q43" s="3198"/>
      <c r="R43" s="3238" t="e">
        <f>IF(F1="售价",ROUND(AVERAGE(R42:V42),0),ROUND(AVERAGE(R42:V42),1))</f>
        <v>#DIV/0!</v>
      </c>
      <c r="S43" s="3238"/>
      <c r="T43" s="3238"/>
      <c r="U43" s="3238"/>
      <c r="V43" s="3238"/>
      <c r="W43" s="3238"/>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2670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2671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2673</v>
      </c>
      <c r="B51" s="756"/>
      <c r="C51" s="761"/>
      <c r="D51" s="761"/>
      <c r="E51" s="761"/>
      <c r="F51" s="762"/>
      <c r="G51" s="762"/>
      <c r="H51" s="761"/>
      <c r="I51" s="761"/>
      <c r="J51" s="761"/>
      <c r="K51" s="1155"/>
      <c r="L51" s="1156"/>
      <c r="M51" s="1154"/>
      <c r="N51" s="1154"/>
      <c r="O51" s="1154"/>
      <c r="P51" s="501"/>
      <c r="Q51" s="502"/>
    </row>
    <row r="52" spans="1:17" s="506" customFormat="1" ht="15">
      <c r="A52" s="503" t="s">
        <v>2547</v>
      </c>
      <c r="B52" s="504"/>
      <c r="C52" s="1570" t="str">
        <f>YEAR(C7)&amp;"-"&amp;MONTH(C7)</f>
        <v>2018-1</v>
      </c>
      <c r="D52" s="1571">
        <f>EDATE(C52,-1)</f>
        <v>43070</v>
      </c>
      <c r="E52" s="1571">
        <f t="shared" ref="E52:O52" si="16">EDATE(D52,-1)</f>
        <v>43040</v>
      </c>
      <c r="F52" s="1571">
        <f t="shared" si="16"/>
        <v>43009</v>
      </c>
      <c r="G52" s="1571">
        <f t="shared" si="16"/>
        <v>42979</v>
      </c>
      <c r="H52" s="1571">
        <f t="shared" si="16"/>
        <v>42948</v>
      </c>
      <c r="I52" s="1571">
        <f t="shared" si="16"/>
        <v>42917</v>
      </c>
      <c r="J52" s="1571">
        <f t="shared" si="16"/>
        <v>42887</v>
      </c>
      <c r="K52" s="1571">
        <f t="shared" si="16"/>
        <v>42856</v>
      </c>
      <c r="L52" s="1571">
        <f t="shared" si="16"/>
        <v>42826</v>
      </c>
      <c r="M52" s="1571">
        <f t="shared" si="16"/>
        <v>42795</v>
      </c>
      <c r="N52" s="1571">
        <f t="shared" si="16"/>
        <v>42767</v>
      </c>
      <c r="O52" s="1571">
        <f t="shared" si="16"/>
        <v>42736</v>
      </c>
      <c r="P52" s="505"/>
    </row>
    <row r="53" spans="1:17" s="116" customFormat="1" ht="15">
      <c r="A53" s="507"/>
      <c r="B53" s="508"/>
      <c r="C53" s="1569">
        <v>100</v>
      </c>
      <c r="D53" s="510"/>
      <c r="E53" s="510"/>
      <c r="F53" s="510"/>
      <c r="G53" s="510"/>
      <c r="H53" s="510"/>
      <c r="I53" s="510"/>
      <c r="J53" s="510"/>
      <c r="K53" s="510"/>
      <c r="L53" s="510"/>
      <c r="M53" s="511"/>
      <c r="N53" s="510"/>
      <c r="O53" s="512"/>
      <c r="P53" s="502"/>
    </row>
    <row r="54" spans="1:17" s="116" customFormat="1" ht="15.75" thickBot="1">
      <c r="A54" s="513" t="s">
        <v>2584</v>
      </c>
      <c r="B54" s="514"/>
      <c r="C54" s="515"/>
      <c r="D54" s="516"/>
      <c r="E54" s="516"/>
      <c r="F54" s="516"/>
      <c r="G54" s="516"/>
      <c r="H54" s="516"/>
      <c r="I54" s="516"/>
      <c r="J54" s="516"/>
      <c r="K54" s="516"/>
      <c r="L54" s="516"/>
      <c r="M54" s="517"/>
      <c r="N54" s="516"/>
      <c r="O54" s="518"/>
      <c r="P54" s="502"/>
      <c r="Q54" s="502"/>
    </row>
    <row r="55" spans="1:17" s="116" customFormat="1" ht="15">
      <c r="A55" s="519" t="s">
        <v>2549</v>
      </c>
      <c r="B55" s="508"/>
      <c r="C55" s="520" t="s">
        <v>2651</v>
      </c>
      <c r="D55" s="521"/>
      <c r="E55" s="521"/>
      <c r="F55" s="521"/>
      <c r="G55" s="521"/>
      <c r="H55" s="521"/>
      <c r="I55" s="521"/>
      <c r="J55" s="521"/>
      <c r="K55" s="521"/>
      <c r="L55" s="522"/>
      <c r="M55" s="523"/>
      <c r="N55" s="1146"/>
      <c r="O55" s="1146"/>
      <c r="P55" s="524"/>
      <c r="Q55" s="502"/>
    </row>
    <row r="56" spans="1:17" s="116"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2587</v>
      </c>
      <c r="B57" s="526" t="s">
        <v>2553</v>
      </c>
      <c r="C57" s="527">
        <f>C9</f>
        <v>0</v>
      </c>
      <c r="D57" s="528"/>
      <c r="E57" s="528"/>
      <c r="F57" s="528"/>
      <c r="G57" s="528"/>
      <c r="H57" s="528"/>
      <c r="I57" s="528"/>
      <c r="J57" s="528"/>
      <c r="K57" s="529"/>
      <c r="L57" s="530"/>
      <c r="M57" s="531"/>
      <c r="N57" s="1147"/>
      <c r="O57" s="1147"/>
      <c r="P57" s="44"/>
      <c r="Q57" s="502"/>
    </row>
    <row r="58" spans="1:17" ht="15.75" thickBot="1">
      <c r="A58" s="532"/>
      <c r="B58" s="533"/>
      <c r="C58" s="534">
        <v>100</v>
      </c>
      <c r="D58" s="534"/>
      <c r="E58" s="534"/>
      <c r="F58" s="534"/>
      <c r="G58" s="534"/>
      <c r="H58" s="534"/>
      <c r="I58" s="534"/>
      <c r="J58" s="534"/>
      <c r="K58" s="534"/>
      <c r="L58" s="534"/>
      <c r="M58" s="535"/>
      <c r="N58" s="1148"/>
      <c r="O58" s="1148"/>
      <c r="P58" s="44"/>
      <c r="Q58" s="502"/>
    </row>
    <row r="59" spans="1:17" ht="27.75" thickTop="1">
      <c r="A59" s="532"/>
      <c r="B59" s="536" t="s">
        <v>2556</v>
      </c>
      <c r="C59" s="537" t="s">
        <v>2588</v>
      </c>
      <c r="D59" s="537" t="s">
        <v>2589</v>
      </c>
      <c r="E59" s="537" t="s">
        <v>2590</v>
      </c>
      <c r="F59" s="537" t="s">
        <v>2591</v>
      </c>
      <c r="G59" s="537" t="s">
        <v>2592</v>
      </c>
      <c r="H59" s="537" t="s">
        <v>2593</v>
      </c>
      <c r="I59" s="537" t="s">
        <v>2594</v>
      </c>
      <c r="J59" s="537"/>
      <c r="K59" s="538"/>
      <c r="L59" s="539"/>
      <c r="M59" s="540"/>
      <c r="N59" s="1147"/>
      <c r="O59" s="1147"/>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4"/>
      <c r="Q60" s="502"/>
    </row>
    <row r="61" spans="1:17" ht="15.75" thickTop="1">
      <c r="A61" s="532"/>
      <c r="B61" s="544" t="s">
        <v>2557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4"/>
      <c r="Q61" s="502"/>
    </row>
    <row r="62" spans="1:17" ht="15">
      <c r="A62" s="532"/>
      <c r="B62" s="546"/>
      <c r="C62" s="547"/>
      <c r="D62" s="547"/>
      <c r="E62" s="547"/>
      <c r="F62" s="547"/>
      <c r="G62" s="547"/>
      <c r="H62" s="547"/>
      <c r="I62" s="547"/>
      <c r="J62" s="547"/>
      <c r="K62" s="548"/>
      <c r="L62" s="549"/>
      <c r="M62" s="550"/>
      <c r="N62" s="1147"/>
      <c r="O62" s="1147"/>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4"/>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2558</v>
      </c>
      <c r="B70" s="526" t="s">
        <v>2704</v>
      </c>
      <c r="C70" s="571" t="s">
        <v>2596</v>
      </c>
      <c r="D70" s="571" t="s">
        <v>2597</v>
      </c>
      <c r="E70" s="571" t="s">
        <v>2598</v>
      </c>
      <c r="F70" s="571" t="s">
        <v>2599</v>
      </c>
      <c r="G70" s="571" t="s">
        <v>2600</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4"/>
      <c r="Q71" s="502"/>
    </row>
    <row r="72" spans="1:17" ht="15.75" thickTop="1">
      <c r="A72" s="532"/>
      <c r="B72" s="536" t="s">
        <v>2601</v>
      </c>
      <c r="C72" s="576" t="s">
        <v>2596</v>
      </c>
      <c r="D72" s="576" t="s">
        <v>2597</v>
      </c>
      <c r="E72" s="576" t="s">
        <v>2598</v>
      </c>
      <c r="F72" s="576" t="s">
        <v>2599</v>
      </c>
      <c r="G72" s="576" t="s">
        <v>2600</v>
      </c>
      <c r="H72" s="537"/>
      <c r="I72" s="537"/>
      <c r="J72" s="537"/>
      <c r="K72" s="538"/>
      <c r="L72" s="539"/>
      <c r="M72" s="540"/>
      <c r="N72" s="1147"/>
      <c r="O72" s="1147"/>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4"/>
      <c r="Q73" s="502"/>
    </row>
    <row r="74" spans="1:17" ht="15.75" thickTop="1">
      <c r="A74" s="532"/>
      <c r="B74" s="536" t="s">
        <v>2602</v>
      </c>
      <c r="C74" s="576" t="s">
        <v>2596</v>
      </c>
      <c r="D74" s="576" t="s">
        <v>2597</v>
      </c>
      <c r="E74" s="576" t="s">
        <v>2598</v>
      </c>
      <c r="F74" s="576" t="s">
        <v>2599</v>
      </c>
      <c r="G74" s="576" t="s">
        <v>2600</v>
      </c>
      <c r="H74" s="537"/>
      <c r="I74" s="537"/>
      <c r="J74" s="537"/>
      <c r="K74" s="538"/>
      <c r="L74" s="539"/>
      <c r="M74" s="540"/>
      <c r="N74" s="1147"/>
      <c r="O74" s="1147"/>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4"/>
      <c r="Q75" s="502"/>
    </row>
    <row r="76" spans="1:17" ht="15.75" thickTop="1">
      <c r="A76" s="532"/>
      <c r="B76" s="544" t="s">
        <v>2688</v>
      </c>
      <c r="C76" s="658" t="s">
        <v>2674</v>
      </c>
      <c r="D76" s="658" t="s">
        <v>2675</v>
      </c>
      <c r="E76" s="658" t="s">
        <v>2676</v>
      </c>
      <c r="F76" s="658" t="s">
        <v>2677</v>
      </c>
      <c r="G76" s="658" t="s">
        <v>2678</v>
      </c>
      <c r="H76" s="537"/>
      <c r="I76" s="537"/>
      <c r="J76" s="537"/>
      <c r="K76" s="537"/>
      <c r="L76" s="537"/>
      <c r="M76" s="1377"/>
      <c r="N76" s="1148"/>
      <c r="O76" s="1148"/>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8"/>
      <c r="O77" s="1148"/>
      <c r="P77" s="44"/>
      <c r="Q77" s="502"/>
    </row>
    <row r="78" spans="1:17" ht="15.75" thickTop="1">
      <c r="A78" s="532"/>
      <c r="B78" s="536" t="s">
        <v>2697</v>
      </c>
      <c r="C78" s="576" t="s">
        <v>2596</v>
      </c>
      <c r="D78" s="576" t="s">
        <v>2597</v>
      </c>
      <c r="E78" s="576" t="s">
        <v>2598</v>
      </c>
      <c r="F78" s="576" t="s">
        <v>2599</v>
      </c>
      <c r="G78" s="576" t="s">
        <v>2600</v>
      </c>
      <c r="H78" s="537"/>
      <c r="I78" s="537"/>
      <c r="J78" s="537"/>
      <c r="K78" s="538"/>
      <c r="L78" s="539"/>
      <c r="M78" s="540"/>
      <c r="N78" s="1147"/>
      <c r="O78" s="1147"/>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4"/>
      <c r="Q79" s="502"/>
    </row>
    <row r="80" spans="1:17" s="116" customFormat="1" ht="15.75" thickTop="1">
      <c r="A80" s="577"/>
      <c r="B80" s="536">
        <f>B25</f>
        <v>111</v>
      </c>
      <c r="C80" s="552"/>
      <c r="D80" s="552"/>
      <c r="E80" s="552"/>
      <c r="F80" s="552"/>
      <c r="G80" s="552"/>
      <c r="H80" s="552"/>
      <c r="I80" s="552"/>
      <c r="J80" s="552"/>
      <c r="K80" s="552"/>
      <c r="L80" s="578"/>
      <c r="M80" s="579"/>
      <c r="N80" s="1146"/>
      <c r="O80" s="1146"/>
      <c r="P80" s="44"/>
      <c r="Q80" s="502"/>
    </row>
    <row r="81" spans="1:17" s="116" customFormat="1" ht="15.75" thickBot="1">
      <c r="A81" s="577"/>
      <c r="B81" s="541"/>
      <c r="C81" s="558"/>
      <c r="D81" s="534"/>
      <c r="E81" s="534"/>
      <c r="F81" s="534"/>
      <c r="G81" s="534"/>
      <c r="H81" s="534"/>
      <c r="I81" s="534"/>
      <c r="J81" s="534"/>
      <c r="K81" s="534"/>
      <c r="L81" s="534"/>
      <c r="M81" s="535"/>
      <c r="N81" s="1148"/>
      <c r="O81" s="1148"/>
      <c r="P81" s="44"/>
      <c r="Q81" s="502"/>
    </row>
    <row r="82" spans="1:17" s="116" customFormat="1" ht="15.75" thickTop="1">
      <c r="A82" s="577"/>
      <c r="B82" s="536">
        <f>B26</f>
        <v>111</v>
      </c>
      <c r="C82" s="552"/>
      <c r="D82" s="552"/>
      <c r="E82" s="552"/>
      <c r="F82" s="552"/>
      <c r="G82" s="552"/>
      <c r="H82" s="552"/>
      <c r="I82" s="552"/>
      <c r="J82" s="552"/>
      <c r="K82" s="552"/>
      <c r="L82" s="578"/>
      <c r="M82" s="579"/>
      <c r="N82" s="1146"/>
      <c r="O82" s="1146"/>
      <c r="P82" s="44"/>
      <c r="Q82" s="502"/>
    </row>
    <row r="83" spans="1:17" s="116" customFormat="1" ht="15.75" thickBot="1">
      <c r="A83" s="577"/>
      <c r="B83" s="541"/>
      <c r="C83" s="558"/>
      <c r="D83" s="534"/>
      <c r="E83" s="534"/>
      <c r="F83" s="534"/>
      <c r="G83" s="534"/>
      <c r="H83" s="534"/>
      <c r="I83" s="534"/>
      <c r="J83" s="534"/>
      <c r="K83" s="534"/>
      <c r="L83" s="534"/>
      <c r="M83" s="535"/>
      <c r="N83" s="1148"/>
      <c r="O83" s="1148"/>
      <c r="P83" s="44"/>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4"/>
      <c r="Q86" s="502"/>
    </row>
    <row r="87" spans="1:17" ht="15.75" thickBot="1">
      <c r="A87" s="2627"/>
      <c r="B87" s="567"/>
      <c r="C87" s="568"/>
      <c r="D87" s="568"/>
      <c r="E87" s="568"/>
      <c r="F87" s="568"/>
      <c r="G87" s="589"/>
      <c r="H87" s="589"/>
      <c r="I87" s="589"/>
      <c r="J87" s="589"/>
      <c r="K87" s="589"/>
      <c r="L87" s="589"/>
      <c r="M87" s="590"/>
      <c r="N87" s="1148"/>
      <c r="O87" s="1148"/>
      <c r="P87" s="44"/>
      <c r="Q87" s="502"/>
    </row>
    <row r="88" spans="1:17">
      <c r="A88" s="525" t="s">
        <v>2562</v>
      </c>
      <c r="B88" s="526" t="s">
        <v>2611</v>
      </c>
      <c r="C88" s="528"/>
      <c r="D88" s="528"/>
      <c r="E88" s="528"/>
      <c r="F88" s="528"/>
      <c r="G88" s="528"/>
      <c r="H88" s="528"/>
      <c r="I88" s="528"/>
      <c r="J88" s="528"/>
      <c r="K88" s="529"/>
      <c r="L88" s="530"/>
      <c r="M88" s="531"/>
      <c r="N88" s="1147"/>
      <c r="O88" s="1147"/>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4"/>
      <c r="Q89" s="502"/>
    </row>
    <row r="90" spans="1:17" ht="15.75" thickTop="1">
      <c r="A90" s="532"/>
      <c r="B90" s="536" t="s">
        <v>2612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4"/>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2613</v>
      </c>
      <c r="C93" s="552"/>
      <c r="D93" s="552"/>
      <c r="E93" s="581"/>
      <c r="F93" s="581"/>
      <c r="G93" s="581"/>
      <c r="H93" s="581"/>
      <c r="I93" s="581"/>
      <c r="J93" s="581"/>
      <c r="K93" s="582"/>
      <c r="L93" s="583"/>
      <c r="M93" s="584"/>
      <c r="N93" s="1147"/>
      <c r="O93" s="1147"/>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4"/>
      <c r="Q94" s="502"/>
    </row>
    <row r="95" spans="1:17" ht="15" thickTop="1">
      <c r="A95" s="597"/>
      <c r="B95" s="536" t="s">
        <v>2615</v>
      </c>
      <c r="C95" s="552"/>
      <c r="D95" s="552"/>
      <c r="E95" s="552"/>
      <c r="F95" s="581"/>
      <c r="G95" s="581"/>
      <c r="H95" s="581"/>
      <c r="I95" s="581"/>
      <c r="J95" s="581"/>
      <c r="K95" s="582"/>
      <c r="L95" s="583"/>
      <c r="M95" s="584"/>
      <c r="N95" s="1147"/>
      <c r="O95" s="1147"/>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4"/>
      <c r="Q96" s="502"/>
    </row>
    <row r="97" spans="1:17" ht="15" thickTop="1">
      <c r="A97" s="597"/>
      <c r="B97" s="536" t="s">
        <v>2000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4"/>
      <c r="Q97" s="502"/>
    </row>
    <row r="98" spans="1:17">
      <c r="A98" s="597"/>
      <c r="B98" s="544"/>
      <c r="C98" s="601">
        <v>0.5</v>
      </c>
      <c r="D98" s="601">
        <v>0.6</v>
      </c>
      <c r="E98" s="601">
        <v>0.7</v>
      </c>
      <c r="F98" s="601">
        <v>0.8</v>
      </c>
      <c r="G98" s="601">
        <v>0.9</v>
      </c>
      <c r="H98" s="601">
        <v>1.0001</v>
      </c>
      <c r="I98" s="621"/>
      <c r="J98" s="621"/>
      <c r="K98" s="622"/>
      <c r="L98" s="623"/>
      <c r="M98" s="624"/>
      <c r="N98" s="1147"/>
      <c r="O98" s="1147"/>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4"/>
      <c r="Q99" s="502"/>
    </row>
    <row r="100" spans="1:17" s="469" customFormat="1" ht="15" thickTop="1">
      <c r="A100" s="591"/>
      <c r="B100" s="536" t="s">
        <v>2616</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2617</v>
      </c>
      <c r="C102" s="552"/>
      <c r="D102" s="552"/>
      <c r="E102" s="552"/>
      <c r="F102" s="552"/>
      <c r="G102" s="552"/>
      <c r="H102" s="581"/>
      <c r="I102" s="581"/>
      <c r="J102" s="581"/>
      <c r="K102" s="582"/>
      <c r="L102" s="583"/>
      <c r="M102" s="584"/>
      <c r="N102" s="1147"/>
      <c r="O102" s="1147"/>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4"/>
      <c r="Q103" s="502"/>
    </row>
    <row r="104" spans="1:17" ht="15" thickTop="1">
      <c r="A104" s="597"/>
      <c r="B104" s="536" t="s">
        <v>2619</v>
      </c>
      <c r="C104" s="552"/>
      <c r="D104" s="552"/>
      <c r="E104" s="552"/>
      <c r="F104" s="552"/>
      <c r="G104" s="552"/>
      <c r="H104" s="581"/>
      <c r="I104" s="581"/>
      <c r="J104" s="581"/>
      <c r="K104" s="582"/>
      <c r="L104" s="583"/>
      <c r="M104" s="584"/>
      <c r="N104" s="1147"/>
      <c r="O104" s="1147"/>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4"/>
      <c r="Q105" s="502"/>
    </row>
    <row r="106" spans="1:17" ht="15" thickTop="1">
      <c r="A106" s="597"/>
      <c r="B106" s="634" t="s">
        <v>2705</v>
      </c>
      <c r="C106" s="576" t="s">
        <v>2596</v>
      </c>
      <c r="D106" s="576" t="s">
        <v>2597</v>
      </c>
      <c r="E106" s="576" t="s">
        <v>2598</v>
      </c>
      <c r="F106" s="576" t="s">
        <v>2599</v>
      </c>
      <c r="G106" s="576" t="s">
        <v>2600</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4"/>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4"/>
      <c r="Q110" s="502"/>
    </row>
    <row r="111" spans="1:17" ht="15.75" thickBot="1">
      <c r="A111" s="532"/>
      <c r="B111" s="541"/>
      <c r="C111" s="558"/>
      <c r="D111" s="534"/>
      <c r="E111" s="534"/>
      <c r="F111" s="534"/>
      <c r="G111" s="558"/>
      <c r="H111" s="560"/>
      <c r="I111" s="560"/>
      <c r="J111" s="560"/>
      <c r="K111" s="560"/>
      <c r="L111" s="560"/>
      <c r="M111" s="561"/>
      <c r="N111" s="1148"/>
      <c r="O111" s="1148"/>
      <c r="P111" s="44"/>
      <c r="Q111" s="502"/>
    </row>
    <row r="112" spans="1:17" ht="15" thickTop="1">
      <c r="A112" s="597"/>
      <c r="B112" s="544">
        <f>B40</f>
        <v>111</v>
      </c>
      <c r="C112" s="521"/>
      <c r="D112" s="521"/>
      <c r="E112" s="521"/>
      <c r="F112" s="521"/>
      <c r="G112" s="585"/>
      <c r="H112" s="585"/>
      <c r="I112" s="585"/>
      <c r="J112" s="585"/>
      <c r="K112" s="521"/>
      <c r="L112" s="522"/>
      <c r="M112" s="588"/>
      <c r="N112" s="1147"/>
      <c r="O112" s="1147"/>
      <c r="P112" s="44"/>
      <c r="Q112" s="502"/>
    </row>
    <row r="113" spans="1:17" ht="15.75" thickBot="1">
      <c r="A113" s="2627"/>
      <c r="B113" s="567"/>
      <c r="C113" s="568"/>
      <c r="D113" s="568"/>
      <c r="E113" s="568"/>
      <c r="F113" s="568"/>
      <c r="G113" s="589"/>
      <c r="H113" s="589"/>
      <c r="I113" s="589"/>
      <c r="J113" s="589"/>
      <c r="K113" s="589"/>
      <c r="L113" s="589"/>
      <c r="M113" s="590"/>
      <c r="N113" s="1148"/>
      <c r="O113" s="1148"/>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3" zoomScale="93" zoomScaleNormal="93" workbookViewId="0">
      <selection activeCell="K20" sqref="K20"/>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2706</v>
      </c>
      <c r="B1" s="1615" t="s">
        <v>3069</v>
      </c>
      <c r="C1" s="1616" t="s">
        <v>2529</v>
      </c>
      <c r="D1" s="1617" t="s">
        <v>3226</v>
      </c>
      <c r="E1" s="1618"/>
      <c r="F1" s="2578" t="s">
        <v>3259</v>
      </c>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2329</v>
      </c>
      <c r="B2" s="1413">
        <f>IF(C2="——",IF(B37="元/平方米",ROUND(C39*D3/10000,0),ROUND(F3*C39/10000,0)),IF(B37="元/平方米",ROUND(C39*D3/10000,0),ROUND(F3*C39/10000,0))-D2)</f>
        <v>17698</v>
      </c>
      <c r="C2" s="2580" t="s">
        <v>70</v>
      </c>
      <c r="D2" s="1119" t="e">
        <f ca="1">SUMIF(INDIRECT("'"&amp;F2&amp;"'"&amp;"!A:A"),"承租人权益价值",INDIRECT("'"&amp;F2&amp;"'"&amp;"!c:c"))</f>
        <v>#REF!</v>
      </c>
      <c r="E2" s="2581" t="s">
        <v>2330</v>
      </c>
      <c r="F2" s="2582"/>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6" customFormat="1" ht="28.5" customHeight="1" thickBot="1">
      <c r="A3" s="245" t="s">
        <v>2331</v>
      </c>
      <c r="B3" s="607">
        <f>IF(AND(C2="——",B37="元/平方米"),C39,ROUND(B2*10000/D3,0))</f>
        <v>8848</v>
      </c>
      <c r="C3" s="398" t="s">
        <v>2643</v>
      </c>
      <c r="D3" s="397">
        <f>SUMIF('数据-汇总表'!$C19:$C33,D1,'数据-汇总表'!$E19:$E33)</f>
        <v>20003</v>
      </c>
      <c r="E3" s="398" t="s">
        <v>2707</v>
      </c>
      <c r="F3" s="397">
        <f>SUMIF('数据-取费表'!A5:A15,D1,'数据-取费表'!AH5:AH15)</f>
        <v>571</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9" t="s">
        <v>2644</v>
      </c>
      <c r="B4" s="400"/>
      <c r="C4" s="3178" t="s">
        <v>2645</v>
      </c>
      <c r="D4" s="3179"/>
      <c r="E4" s="3180" t="s">
        <v>2646</v>
      </c>
      <c r="F4" s="3181"/>
      <c r="G4" s="3178" t="s">
        <v>2647</v>
      </c>
      <c r="H4" s="3179"/>
      <c r="I4" s="3178" t="s">
        <v>2648</v>
      </c>
      <c r="J4" s="3179"/>
      <c r="K4" s="608" t="s">
        <v>2649</v>
      </c>
      <c r="L4" s="1125"/>
      <c r="M4" s="1126"/>
      <c r="N4" s="1126"/>
      <c r="O4" s="1126"/>
      <c r="P4" s="3182" t="s">
        <v>2650</v>
      </c>
      <c r="Q4" s="3183"/>
      <c r="R4" s="3168" t="s">
        <v>2646</v>
      </c>
      <c r="S4" s="3169"/>
      <c r="T4" s="3168" t="s">
        <v>2647</v>
      </c>
      <c r="U4" s="3169"/>
      <c r="V4" s="3190" t="s">
        <v>2648</v>
      </c>
      <c r="W4" s="3190"/>
      <c r="X4" s="1809"/>
      <c r="Y4" s="3168" t="s">
        <v>2650</v>
      </c>
      <c r="Z4" s="3169"/>
      <c r="AA4" s="3163" t="s">
        <v>2646</v>
      </c>
      <c r="AB4" s="3164" t="s">
        <v>2647</v>
      </c>
      <c r="AC4" s="3163" t="s">
        <v>2648</v>
      </c>
    </row>
    <row r="5" spans="1:29" ht="15">
      <c r="A5" s="402"/>
      <c r="B5" s="403"/>
      <c r="C5" s="3173" t="s">
        <v>3073</v>
      </c>
      <c r="D5" s="3174"/>
      <c r="E5" s="3234" t="s">
        <v>3288</v>
      </c>
      <c r="F5" s="3267"/>
      <c r="G5" s="3248" t="str">
        <f>'比较法-住宅'!G5:H5</f>
        <v>电建·金地华宸</v>
      </c>
      <c r="H5" s="3174"/>
      <c r="I5" s="3173" t="s">
        <v>3282</v>
      </c>
      <c r="J5" s="3174"/>
      <c r="K5" s="608"/>
      <c r="L5" s="1125"/>
      <c r="M5" s="1126"/>
      <c r="N5" s="1126"/>
      <c r="O5" s="1126"/>
      <c r="P5" s="3184"/>
      <c r="Q5" s="3185"/>
      <c r="R5" s="3170"/>
      <c r="S5" s="3171"/>
      <c r="T5" s="3170"/>
      <c r="U5" s="3171"/>
      <c r="V5" s="3190"/>
      <c r="W5" s="3190"/>
      <c r="X5" s="1809"/>
      <c r="Y5" s="3170"/>
      <c r="Z5" s="3171"/>
      <c r="AA5" s="3164"/>
      <c r="AB5" s="3164"/>
      <c r="AC5" s="3164"/>
    </row>
    <row r="6" spans="1:29" ht="15.75" customHeight="1" thickBot="1">
      <c r="A6" s="404"/>
      <c r="B6" s="405"/>
      <c r="C6" s="3249" t="s">
        <v>2545</v>
      </c>
      <c r="D6" s="3176"/>
      <c r="E6" s="3268" t="s">
        <v>705</v>
      </c>
      <c r="F6" s="3269"/>
      <c r="G6" s="3249" t="str">
        <f>'比较法-住宅'!G6:H6</f>
        <v>门头沟</v>
      </c>
      <c r="H6" s="3176"/>
      <c r="I6" s="3173" t="s">
        <v>3283</v>
      </c>
      <c r="J6" s="3174"/>
      <c r="K6" s="608" t="s">
        <v>2546</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2547</v>
      </c>
      <c r="B7" s="407"/>
      <c r="C7" s="408">
        <f>'数据-取费表'!B2</f>
        <v>43126</v>
      </c>
      <c r="D7" s="409">
        <v>100</v>
      </c>
      <c r="E7" s="410">
        <v>43101</v>
      </c>
      <c r="F7" s="411">
        <f>SUMIF(48:48,YEAR(E7)&amp;"-"&amp;MONTH(E7),49:49)</f>
        <v>100</v>
      </c>
      <c r="G7" s="410">
        <v>43101</v>
      </c>
      <c r="H7" s="409">
        <f>SUMIF(48:48,YEAR(G7)&amp;"-"&amp;MONTH(G7),49:49)</f>
        <v>100</v>
      </c>
      <c r="I7" s="410">
        <v>43101</v>
      </c>
      <c r="J7" s="409">
        <f>SUMIF(48:48,YEAR(I7)&amp;"-"&amp;MONTH(I7),49:49)</f>
        <v>100</v>
      </c>
      <c r="K7" s="609"/>
      <c r="L7" s="1127"/>
      <c r="M7" s="1128"/>
      <c r="N7" s="1128"/>
      <c r="O7" s="1128"/>
      <c r="P7" s="3166" t="s">
        <v>2548</v>
      </c>
      <c r="Q7" s="3191"/>
      <c r="R7" s="767" t="s">
        <v>17</v>
      </c>
      <c r="S7" s="768">
        <f t="shared" ref="S7:S14" si="0">F7</f>
        <v>100</v>
      </c>
      <c r="T7" s="767" t="s">
        <v>17</v>
      </c>
      <c r="U7" s="768">
        <f t="shared" ref="U7:U14" si="1">H7</f>
        <v>100</v>
      </c>
      <c r="V7" s="767" t="s">
        <v>17</v>
      </c>
      <c r="W7" s="768">
        <f t="shared" ref="W7:W14" si="2">J7</f>
        <v>100</v>
      </c>
      <c r="X7" s="769"/>
      <c r="Y7" s="3166" t="s">
        <v>2548</v>
      </c>
      <c r="Z7" s="3167"/>
      <c r="AA7" s="770">
        <f>D7/F7</f>
        <v>1</v>
      </c>
      <c r="AB7" s="770">
        <f>D7/H7</f>
        <v>1</v>
      </c>
      <c r="AC7" s="770">
        <f>D7/J7</f>
        <v>1</v>
      </c>
    </row>
    <row r="8" spans="1:29" s="116" customFormat="1" ht="15.75" thickBot="1">
      <c r="A8" s="406" t="s">
        <v>2549</v>
      </c>
      <c r="B8" s="407"/>
      <c r="C8" s="412" t="s">
        <v>2651</v>
      </c>
      <c r="D8" s="409">
        <v>100</v>
      </c>
      <c r="E8" s="412" t="s">
        <v>2651</v>
      </c>
      <c r="F8" s="411">
        <f>SUMIF(51:51,E8,52:52)-SUMIF(51:51,C8,52:52)+100</f>
        <v>100</v>
      </c>
      <c r="G8" s="412" t="s">
        <v>2651</v>
      </c>
      <c r="H8" s="409">
        <f>SUMIF(51:51,G8,52:52)-SUMIF(51:51,C8,52:52)+100</f>
        <v>100</v>
      </c>
      <c r="I8" s="412" t="s">
        <v>2651</v>
      </c>
      <c r="J8" s="409">
        <f>SUMIF(51:51,I8,52:52)-SUMIF(51:51,C8,52:52)+100</f>
        <v>100</v>
      </c>
      <c r="K8" s="609"/>
      <c r="L8" s="1127"/>
      <c r="M8" s="1128"/>
      <c r="N8" s="1128"/>
      <c r="O8" s="1128"/>
      <c r="P8" s="3166" t="s">
        <v>2551</v>
      </c>
      <c r="Q8" s="3167"/>
      <c r="R8" s="767" t="s">
        <v>17</v>
      </c>
      <c r="S8" s="768">
        <f t="shared" si="0"/>
        <v>100</v>
      </c>
      <c r="T8" s="767" t="s">
        <v>17</v>
      </c>
      <c r="U8" s="768">
        <f t="shared" si="1"/>
        <v>100</v>
      </c>
      <c r="V8" s="767" t="s">
        <v>17</v>
      </c>
      <c r="W8" s="768">
        <f t="shared" si="2"/>
        <v>100</v>
      </c>
      <c r="X8" s="769"/>
      <c r="Y8" s="3166" t="s">
        <v>2551</v>
      </c>
      <c r="Z8" s="3167"/>
      <c r="AA8" s="770">
        <f t="shared" ref="AA8:AA36" si="3">D8/F8</f>
        <v>1</v>
      </c>
      <c r="AB8" s="770">
        <f t="shared" ref="AB8:AB36" si="4">D8/H8</f>
        <v>1</v>
      </c>
      <c r="AC8" s="770">
        <f t="shared" ref="AC8:AC36" si="5">D8/J8</f>
        <v>1</v>
      </c>
    </row>
    <row r="9" spans="1:29" s="116" customFormat="1">
      <c r="A9" s="67" t="s">
        <v>2552</v>
      </c>
      <c r="B9" s="638" t="s">
        <v>2553</v>
      </c>
      <c r="C9" s="2937" t="s">
        <v>3260</v>
      </c>
      <c r="D9" s="133">
        <v>100</v>
      </c>
      <c r="E9" s="2937" t="s">
        <v>3260</v>
      </c>
      <c r="F9" s="133">
        <f>SUMIF(53:53,E9,54:54)-SUMIF(53:53,C9,54:54)+100</f>
        <v>100</v>
      </c>
      <c r="G9" s="2937" t="s">
        <v>3260</v>
      </c>
      <c r="H9" s="133">
        <f>SUMIF(53:53,G9,54:54)-SUMIF(53:53,C9,54:54)+100</f>
        <v>100</v>
      </c>
      <c r="I9" s="2937" t="s">
        <v>3260</v>
      </c>
      <c r="J9" s="133">
        <f>SUMIF(53:53,I9,54:54)-SUMIF(53:53,C9,54:54)+100</f>
        <v>100</v>
      </c>
      <c r="K9" s="609"/>
      <c r="L9" s="1127"/>
      <c r="M9" s="1128"/>
      <c r="N9" s="1128"/>
      <c r="O9" s="1128"/>
      <c r="P9" s="3177" t="s">
        <v>2554</v>
      </c>
      <c r="Q9" s="1791" t="str">
        <f t="shared" ref="Q9:Q14" si="6">B9</f>
        <v>用途</v>
      </c>
      <c r="R9" s="767" t="s">
        <v>17</v>
      </c>
      <c r="S9" s="768">
        <f t="shared" si="0"/>
        <v>100</v>
      </c>
      <c r="T9" s="767" t="s">
        <v>17</v>
      </c>
      <c r="U9" s="768">
        <f t="shared" si="1"/>
        <v>100</v>
      </c>
      <c r="V9" s="767" t="s">
        <v>17</v>
      </c>
      <c r="W9" s="768">
        <f t="shared" si="2"/>
        <v>100</v>
      </c>
      <c r="X9" s="769"/>
      <c r="Y9" s="3043" t="s">
        <v>2555</v>
      </c>
      <c r="Z9" s="54" t="str">
        <f t="shared" ref="Z9:Z14" si="7">Q9</f>
        <v>用途</v>
      </c>
      <c r="AA9" s="770">
        <f t="shared" si="3"/>
        <v>1</v>
      </c>
      <c r="AB9" s="770">
        <f t="shared" si="4"/>
        <v>1</v>
      </c>
      <c r="AC9" s="770">
        <f t="shared" si="5"/>
        <v>1</v>
      </c>
    </row>
    <row r="10" spans="1:29" s="425" customFormat="1" ht="27">
      <c r="A10" s="639"/>
      <c r="B10" s="640" t="s">
        <v>2556</v>
      </c>
      <c r="C10" s="421" t="s">
        <v>3261</v>
      </c>
      <c r="D10" s="134">
        <v>100</v>
      </c>
      <c r="E10" s="421" t="s">
        <v>3261</v>
      </c>
      <c r="F10" s="134">
        <f>SUMIF(55:55,E10,56:56)-SUMIF(55:55,C10,56:56)+100</f>
        <v>100</v>
      </c>
      <c r="G10" s="421" t="s">
        <v>3261</v>
      </c>
      <c r="H10" s="134">
        <f>SUMIF(55:55,G10,56:56)-SUMIF(55:55,C10,56:56)+100</f>
        <v>100</v>
      </c>
      <c r="I10" s="421" t="s">
        <v>3261</v>
      </c>
      <c r="J10" s="134">
        <f>SUMIF(55:55,I10,56:56)-SUMIF(55:55,C10,56:56)+100</f>
        <v>100</v>
      </c>
      <c r="K10" s="610">
        <v>1</v>
      </c>
      <c r="L10" s="1130"/>
      <c r="M10" s="1131"/>
      <c r="N10" s="1131"/>
      <c r="O10" s="1131"/>
      <c r="P10" s="3177"/>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177"/>
      <c r="Q11" s="1791">
        <f t="shared" si="6"/>
        <v>111</v>
      </c>
      <c r="R11" s="767" t="s">
        <v>17</v>
      </c>
      <c r="S11" s="768">
        <f t="shared" si="0"/>
        <v>100</v>
      </c>
      <c r="T11" s="767" t="s">
        <v>17</v>
      </c>
      <c r="U11" s="768">
        <f t="shared" si="1"/>
        <v>100</v>
      </c>
      <c r="V11" s="767" t="s">
        <v>17</v>
      </c>
      <c r="W11" s="768">
        <f t="shared" si="2"/>
        <v>100</v>
      </c>
      <c r="X11" s="769"/>
      <c r="Y11" s="3043"/>
      <c r="Z11" s="54">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57">
      <c r="A14" s="399" t="s">
        <v>2558</v>
      </c>
      <c r="B14" s="627" t="s">
        <v>2708</v>
      </c>
      <c r="C14" s="2684" t="str">
        <f>IF(B1="工业",估价对象房地状况!G4,估价对象房地状况!C6)</f>
        <v>周边有941、981路等公交线路经过，交通便捷度一般</v>
      </c>
      <c r="D14" s="439">
        <v>100</v>
      </c>
      <c r="E14" s="2967" t="s">
        <v>3289</v>
      </c>
      <c r="F14" s="441">
        <f>SUMIF(63:63,E15,64:64)-SUMIF(63:63,C15,64:64)+100</f>
        <v>100</v>
      </c>
      <c r="G14" s="2965" t="str">
        <f>'比较法-住宅'!G17</f>
        <v>周边有941、981路等公交线路经过，交通便捷度一般</v>
      </c>
      <c r="H14" s="439">
        <f>SUMIF(63:63,G15,64:64)-SUMIF(63:63,C15,64:64)+100</f>
        <v>100</v>
      </c>
      <c r="I14" s="440" t="s">
        <v>3284</v>
      </c>
      <c r="J14" s="439">
        <f>SUMIF(63:63,I15,64:64)-SUMIF(63:63,C15,64:64)+100</f>
        <v>100</v>
      </c>
      <c r="K14" s="612">
        <v>2</v>
      </c>
      <c r="L14" s="1135"/>
      <c r="M14" s="1126"/>
      <c r="N14" s="1126"/>
      <c r="O14" s="1126"/>
      <c r="P14" s="3192" t="s">
        <v>2559</v>
      </c>
      <c r="Q14" s="1806" t="str">
        <f t="shared" si="6"/>
        <v>交通便捷度</v>
      </c>
      <c r="R14" s="771" t="s">
        <v>17</v>
      </c>
      <c r="S14" s="772">
        <f t="shared" si="0"/>
        <v>100</v>
      </c>
      <c r="T14" s="771" t="s">
        <v>17</v>
      </c>
      <c r="U14" s="772">
        <f t="shared" si="1"/>
        <v>100</v>
      </c>
      <c r="V14" s="771" t="s">
        <v>17</v>
      </c>
      <c r="W14" s="772">
        <f t="shared" si="2"/>
        <v>100</v>
      </c>
      <c r="X14" s="1809"/>
      <c r="Y14" s="3192" t="s">
        <v>2559</v>
      </c>
      <c r="Z14" s="1810" t="str">
        <f t="shared" si="7"/>
        <v>交通便捷度</v>
      </c>
      <c r="AA14" s="1807">
        <f t="shared" si="3"/>
        <v>1</v>
      </c>
      <c r="AB14" s="1807">
        <f t="shared" si="4"/>
        <v>1</v>
      </c>
      <c r="AC14" s="1807">
        <f t="shared" si="5"/>
        <v>1</v>
      </c>
    </row>
    <row r="15" spans="1:29" ht="15.75" thickBot="1">
      <c r="A15" s="402"/>
      <c r="B15" s="645"/>
      <c r="C15" s="445" t="s">
        <v>3105</v>
      </c>
      <c r="D15" s="446"/>
      <c r="E15" s="445" t="s">
        <v>3105</v>
      </c>
      <c r="F15" s="447"/>
      <c r="G15" s="445" t="s">
        <v>3105</v>
      </c>
      <c r="H15" s="448"/>
      <c r="I15" s="445" t="s">
        <v>3105</v>
      </c>
      <c r="J15" s="446"/>
      <c r="K15" s="613"/>
      <c r="L15" s="1135"/>
      <c r="M15" s="1126"/>
      <c r="N15" s="1126"/>
      <c r="O15" s="1126"/>
      <c r="P15" s="3193"/>
      <c r="Q15" s="1806"/>
      <c r="R15" s="771"/>
      <c r="S15" s="772"/>
      <c r="T15" s="771"/>
      <c r="U15" s="772"/>
      <c r="V15" s="771"/>
      <c r="W15" s="772"/>
      <c r="X15" s="1809"/>
      <c r="Y15" s="3193"/>
      <c r="Z15" s="1810"/>
      <c r="AA15" s="1807">
        <v>1</v>
      </c>
      <c r="AB15" s="1807">
        <v>1</v>
      </c>
      <c r="AC15" s="1807">
        <v>1</v>
      </c>
    </row>
    <row r="16" spans="1:29" ht="42.75">
      <c r="A16" s="402"/>
      <c r="B16" s="629" t="s">
        <v>2687</v>
      </c>
      <c r="C16" s="2600" t="str">
        <f>IF(B1="工业",估价对象房地状况!G5,估价对象房地状况!C7)</f>
        <v>估价对象所在区域公共配套设施齐备较差</v>
      </c>
      <c r="D16" s="453">
        <v>100</v>
      </c>
      <c r="E16" s="2966" t="s">
        <v>3286</v>
      </c>
      <c r="F16" s="456">
        <f>SUMIF(65:65,E17,66:66)-SUMIF(65:65,C17,66:66)+100</f>
        <v>104</v>
      </c>
      <c r="G16" s="2965" t="str">
        <f>'比较法-住宅'!G19</f>
        <v>估价对象所在区域公共配套设施齐备较差</v>
      </c>
      <c r="H16" s="453">
        <f>SUMIF(65:65,G17,66:66)-SUMIF(65:65,C17,66:66)+100</f>
        <v>100</v>
      </c>
      <c r="I16" s="2966" t="s">
        <v>3286</v>
      </c>
      <c r="J16" s="453">
        <f>SUMIF(65:65,I17,66:66)-SUMIF(65:65,C17,66:66)+100</f>
        <v>104</v>
      </c>
      <c r="K16" s="612">
        <f>'比较法-住宅'!K19</f>
        <v>2</v>
      </c>
      <c r="L16" s="1135"/>
      <c r="M16" s="1126"/>
      <c r="N16" s="1126"/>
      <c r="O16" s="1126"/>
      <c r="P16" s="3193"/>
      <c r="Q16" s="1806" t="str">
        <f>B16</f>
        <v>公共配套设施</v>
      </c>
      <c r="R16" s="771" t="s">
        <v>17</v>
      </c>
      <c r="S16" s="772">
        <f>F16</f>
        <v>104</v>
      </c>
      <c r="T16" s="771" t="s">
        <v>17</v>
      </c>
      <c r="U16" s="772">
        <f>H16</f>
        <v>100</v>
      </c>
      <c r="V16" s="771" t="s">
        <v>17</v>
      </c>
      <c r="W16" s="772">
        <f>J16</f>
        <v>104</v>
      </c>
      <c r="X16" s="1809"/>
      <c r="Y16" s="3193"/>
      <c r="Z16" s="1810" t="str">
        <f>Q16</f>
        <v>公共配套设施</v>
      </c>
      <c r="AA16" s="1807">
        <f t="shared" si="3"/>
        <v>0.96153846153846156</v>
      </c>
      <c r="AB16" s="1807">
        <f t="shared" si="4"/>
        <v>1</v>
      </c>
      <c r="AC16" s="1807">
        <f t="shared" si="5"/>
        <v>0.96153846153846156</v>
      </c>
    </row>
    <row r="17" spans="1:29" ht="15.75" thickBot="1">
      <c r="A17" s="402"/>
      <c r="B17" s="630"/>
      <c r="C17" s="2601" t="s">
        <v>3171</v>
      </c>
      <c r="D17" s="446"/>
      <c r="E17" s="445" t="s">
        <v>3110</v>
      </c>
      <c r="F17" s="447"/>
      <c r="G17" s="445" t="s">
        <v>3171</v>
      </c>
      <c r="H17" s="446"/>
      <c r="I17" s="445" t="s">
        <v>3110</v>
      </c>
      <c r="J17" s="446"/>
      <c r="K17" s="613"/>
      <c r="L17" s="1135"/>
      <c r="M17" s="1126"/>
      <c r="N17" s="1126"/>
      <c r="O17" s="1126"/>
      <c r="P17" s="3193"/>
      <c r="Q17" s="1806"/>
      <c r="R17" s="771"/>
      <c r="S17" s="772"/>
      <c r="T17" s="771"/>
      <c r="U17" s="772"/>
      <c r="V17" s="771"/>
      <c r="W17" s="772"/>
      <c r="X17" s="1809"/>
      <c r="Y17" s="3193"/>
      <c r="Z17" s="1810"/>
      <c r="AA17" s="1807">
        <v>1</v>
      </c>
      <c r="AB17" s="1807">
        <v>1</v>
      </c>
      <c r="AC17" s="1807">
        <v>1</v>
      </c>
    </row>
    <row r="18" spans="1:29" ht="15">
      <c r="A18" s="402"/>
      <c r="B18" s="631" t="s">
        <v>2688</v>
      </c>
      <c r="C18" s="2600" t="str">
        <f>IF(B1="工业",估价对象房地状况!G6,估价对象房地状况!C8)</f>
        <v>基础设施为七通</v>
      </c>
      <c r="D18" s="448">
        <v>100</v>
      </c>
      <c r="E18" s="442" t="str">
        <f>'比较法-住宅'!E21</f>
        <v>七通</v>
      </c>
      <c r="F18" s="456">
        <f>SUMIF(67:67,E19,68:68)-SUMIF(67:67,C19,68:68)+100</f>
        <v>100</v>
      </c>
      <c r="G18" s="442" t="str">
        <f>'比较法-住宅'!G21</f>
        <v>七通</v>
      </c>
      <c r="H18" s="453">
        <f>SUMIF(67:67,G19,68:68)-SUMIF(67:67,C19,68:68)+100</f>
        <v>100</v>
      </c>
      <c r="I18" s="2946" t="s">
        <v>3285</v>
      </c>
      <c r="J18" s="453">
        <f>SUMIF(67:67,I19,68:68)-SUMIF(67:67,C19,68:68)+100</f>
        <v>100</v>
      </c>
      <c r="K18" s="612">
        <v>1</v>
      </c>
      <c r="L18" s="1135"/>
      <c r="M18" s="1126"/>
      <c r="N18" s="1126"/>
      <c r="O18" s="1126"/>
      <c r="P18" s="3193"/>
      <c r="Q18" s="1806" t="str">
        <f>B18</f>
        <v>基础设施水平</v>
      </c>
      <c r="R18" s="771" t="s">
        <v>17</v>
      </c>
      <c r="S18" s="772">
        <f>F18</f>
        <v>100</v>
      </c>
      <c r="T18" s="771" t="s">
        <v>17</v>
      </c>
      <c r="U18" s="772">
        <f>H18</f>
        <v>100</v>
      </c>
      <c r="V18" s="771" t="s">
        <v>17</v>
      </c>
      <c r="W18" s="772">
        <f>J18</f>
        <v>100</v>
      </c>
      <c r="X18" s="1809"/>
      <c r="Y18" s="3193"/>
      <c r="Z18" s="1810" t="str">
        <f>Q18</f>
        <v>基础设施水平</v>
      </c>
      <c r="AA18" s="1807">
        <f t="shared" ref="AA18" si="8">D18/F18</f>
        <v>1</v>
      </c>
      <c r="AB18" s="1807">
        <f t="shared" ref="AB18" si="9">D18/H18</f>
        <v>1</v>
      </c>
      <c r="AC18" s="1807">
        <f t="shared" ref="AC18" si="10">D18/J18</f>
        <v>1</v>
      </c>
    </row>
    <row r="19" spans="1:29" ht="15.75" thickBot="1">
      <c r="A19" s="402"/>
      <c r="B19" s="631"/>
      <c r="C19" s="2601" t="s">
        <v>3132</v>
      </c>
      <c r="D19" s="448"/>
      <c r="E19" s="2601" t="s">
        <v>3132</v>
      </c>
      <c r="F19" s="451"/>
      <c r="G19" s="2601" t="s">
        <v>3132</v>
      </c>
      <c r="H19" s="446"/>
      <c r="I19" s="445" t="s">
        <v>3132</v>
      </c>
      <c r="J19" s="446"/>
      <c r="K19" s="1378"/>
      <c r="L19" s="1135"/>
      <c r="M19" s="1126"/>
      <c r="N19" s="1126"/>
      <c r="O19" s="1126"/>
      <c r="P19" s="3193"/>
      <c r="Q19" s="1806"/>
      <c r="R19" s="771"/>
      <c r="S19" s="772"/>
      <c r="T19" s="771"/>
      <c r="U19" s="772"/>
      <c r="V19" s="771"/>
      <c r="W19" s="772"/>
      <c r="X19" s="1809"/>
      <c r="Y19" s="3193"/>
      <c r="Z19" s="1810"/>
      <c r="AA19" s="1807">
        <v>1</v>
      </c>
      <c r="AB19" s="1807">
        <v>1</v>
      </c>
      <c r="AC19" s="1807">
        <v>1</v>
      </c>
    </row>
    <row r="20" spans="1:29" ht="85.5">
      <c r="A20" s="402"/>
      <c r="B20" s="629" t="s">
        <v>2709</v>
      </c>
      <c r="C20" s="2600" t="str">
        <f>IF(B1="工业",估价对象房地状况!G7,估价对象房地状况!C9)</f>
        <v>周边无大学等教育配套设施，有石门营文化公园等绿化设施，自然及人文环境一般</v>
      </c>
      <c r="D20" s="453">
        <v>100</v>
      </c>
      <c r="E20" s="2967" t="s">
        <v>3290</v>
      </c>
      <c r="F20" s="456">
        <f>SUMIF(69:69,E21,70:70)-SUMIF(69:69,C21,70:70)+100</f>
        <v>100</v>
      </c>
      <c r="G20" s="2965" t="str">
        <f>'比较法-住宅'!G23</f>
        <v>周边无大学等教育配套设施，有石门营文化公园等绿化设施，自然及人文环境一般</v>
      </c>
      <c r="H20" s="448">
        <f>SUMIF(69:69,G21,70:70)-SUMIF(69:69,C21,70:70)+100</f>
        <v>100</v>
      </c>
      <c r="I20" s="2946" t="s">
        <v>3287</v>
      </c>
      <c r="J20" s="448">
        <f>SUMIF(69:69,I21,70:70)-SUMIF(69:69,C21,70:70)+100</f>
        <v>100</v>
      </c>
      <c r="K20" s="612">
        <f>'比较法-住宅'!K23</f>
        <v>2</v>
      </c>
      <c r="L20" s="1135"/>
      <c r="M20" s="1126"/>
      <c r="N20" s="1126"/>
      <c r="O20" s="1126"/>
      <c r="P20" s="3193"/>
      <c r="Q20" s="1806" t="str">
        <f>B20</f>
        <v>自然及人文环境</v>
      </c>
      <c r="R20" s="771" t="s">
        <v>17</v>
      </c>
      <c r="S20" s="772">
        <f>F20</f>
        <v>100</v>
      </c>
      <c r="T20" s="771" t="s">
        <v>17</v>
      </c>
      <c r="U20" s="772">
        <f>H20</f>
        <v>100</v>
      </c>
      <c r="V20" s="771" t="s">
        <v>17</v>
      </c>
      <c r="W20" s="772">
        <f>J20</f>
        <v>100</v>
      </c>
      <c r="X20" s="1809"/>
      <c r="Y20" s="3193"/>
      <c r="Z20" s="1810" t="str">
        <f>Q20</f>
        <v>自然及人文环境</v>
      </c>
      <c r="AA20" s="1807">
        <f t="shared" si="3"/>
        <v>1</v>
      </c>
      <c r="AB20" s="1807">
        <f t="shared" si="4"/>
        <v>1</v>
      </c>
      <c r="AC20" s="1807">
        <f t="shared" si="5"/>
        <v>1</v>
      </c>
    </row>
    <row r="21" spans="1:29" ht="15">
      <c r="A21" s="402"/>
      <c r="B21" s="630"/>
      <c r="C21" s="445" t="s">
        <v>3105</v>
      </c>
      <c r="D21" s="446"/>
      <c r="E21" s="445" t="s">
        <v>3105</v>
      </c>
      <c r="F21" s="447"/>
      <c r="G21" s="445" t="s">
        <v>3105</v>
      </c>
      <c r="H21" s="446"/>
      <c r="I21" s="445" t="s">
        <v>3105</v>
      </c>
      <c r="J21" s="446"/>
      <c r="K21" s="613"/>
      <c r="L21" s="1135"/>
      <c r="M21" s="1126"/>
      <c r="N21" s="1126"/>
      <c r="O21" s="1126"/>
      <c r="P21" s="3193"/>
      <c r="Q21" s="1806"/>
      <c r="R21" s="771"/>
      <c r="S21" s="772"/>
      <c r="T21" s="771"/>
      <c r="U21" s="772"/>
      <c r="V21" s="771"/>
      <c r="W21" s="772"/>
      <c r="X21" s="1809"/>
      <c r="Y21" s="3193"/>
      <c r="Z21" s="1810"/>
      <c r="AA21" s="1807">
        <v>1</v>
      </c>
      <c r="AB21" s="1807">
        <v>1</v>
      </c>
      <c r="AC21" s="1807">
        <v>1</v>
      </c>
    </row>
    <row r="22" spans="1:29" ht="15">
      <c r="A22" s="402"/>
      <c r="B22" s="629" t="s">
        <v>2710</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193"/>
      <c r="Q22" s="1806" t="str">
        <f>B22</f>
        <v>楼层</v>
      </c>
      <c r="R22" s="771" t="s">
        <v>17</v>
      </c>
      <c r="S22" s="772">
        <f>F22</f>
        <v>100</v>
      </c>
      <c r="T22" s="771" t="s">
        <v>17</v>
      </c>
      <c r="U22" s="772">
        <f>H22</f>
        <v>100</v>
      </c>
      <c r="V22" s="771" t="s">
        <v>17</v>
      </c>
      <c r="W22" s="772">
        <f>J22</f>
        <v>100</v>
      </c>
      <c r="X22" s="1809"/>
      <c r="Y22" s="3193"/>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193"/>
      <c r="Q23" s="1806">
        <f>B23</f>
        <v>111</v>
      </c>
      <c r="R23" s="771" t="s">
        <v>17</v>
      </c>
      <c r="S23" s="772">
        <f>F23</f>
        <v>100</v>
      </c>
      <c r="T23" s="771" t="s">
        <v>17</v>
      </c>
      <c r="U23" s="772">
        <f>H23</f>
        <v>100</v>
      </c>
      <c r="V23" s="771" t="s">
        <v>17</v>
      </c>
      <c r="W23" s="772">
        <f>J23</f>
        <v>100</v>
      </c>
      <c r="X23" s="1809"/>
      <c r="Y23" s="3193"/>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193"/>
      <c r="Q24" s="1806">
        <f t="shared" ref="Q24:Q36" si="11">B24</f>
        <v>111</v>
      </c>
      <c r="R24" s="771" t="s">
        <v>17</v>
      </c>
      <c r="S24" s="772">
        <f>F24</f>
        <v>100</v>
      </c>
      <c r="T24" s="771" t="s">
        <v>17</v>
      </c>
      <c r="U24" s="772">
        <f>H24</f>
        <v>100</v>
      </c>
      <c r="V24" s="771" t="s">
        <v>17</v>
      </c>
      <c r="W24" s="772">
        <f>J24</f>
        <v>100</v>
      </c>
      <c r="X24" s="1809"/>
      <c r="Y24" s="3193"/>
      <c r="Z24" s="1810">
        <f>Q24</f>
        <v>111</v>
      </c>
      <c r="AA24" s="1807">
        <f t="shared" si="3"/>
        <v>1</v>
      </c>
      <c r="AB24" s="1807">
        <f t="shared" si="4"/>
        <v>1</v>
      </c>
      <c r="AC24" s="1807">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193"/>
      <c r="Q25" s="1791">
        <f t="shared" si="11"/>
        <v>111</v>
      </c>
      <c r="R25" s="767" t="s">
        <v>17</v>
      </c>
      <c r="S25" s="768">
        <f>F25</f>
        <v>100</v>
      </c>
      <c r="T25" s="767" t="s">
        <v>17</v>
      </c>
      <c r="U25" s="768">
        <f>H25</f>
        <v>100</v>
      </c>
      <c r="V25" s="767" t="s">
        <v>17</v>
      </c>
      <c r="W25" s="768">
        <f>J25</f>
        <v>100</v>
      </c>
      <c r="X25" s="769"/>
      <c r="Y25" s="3193"/>
      <c r="Z25" s="54">
        <f>Q25</f>
        <v>111</v>
      </c>
      <c r="AA25" s="1807">
        <f>D25/F25</f>
        <v>1</v>
      </c>
      <c r="AB25" s="1807">
        <f>D25/H25</f>
        <v>1</v>
      </c>
      <c r="AC25" s="1807">
        <f>D25/J25</f>
        <v>1</v>
      </c>
    </row>
    <row r="26" spans="1:29" ht="15">
      <c r="A26" s="650" t="s">
        <v>2562</v>
      </c>
      <c r="B26" s="69" t="s">
        <v>2711</v>
      </c>
      <c r="C26" s="2685" t="str">
        <f>B1</f>
        <v>住宅</v>
      </c>
      <c r="D26" s="446">
        <v>100</v>
      </c>
      <c r="E26" s="445" t="s">
        <v>3069</v>
      </c>
      <c r="F26" s="447">
        <f>SUMIF(79:79,E26,80:80)-SUMIF(79:79,C26,80:80)+100</f>
        <v>100</v>
      </c>
      <c r="G26" s="445" t="s">
        <v>3069</v>
      </c>
      <c r="H26" s="446">
        <f>SUMIF(79:79,G26,80:80)-SUMIF(79:79,C26,80:80)+100</f>
        <v>100</v>
      </c>
      <c r="I26" s="445" t="s">
        <v>3069</v>
      </c>
      <c r="J26" s="446">
        <f>SUMIF(79:79,I26,80:80)-SUMIF(79:79,C26,80:80)+100</f>
        <v>100</v>
      </c>
      <c r="K26" s="610">
        <v>3</v>
      </c>
      <c r="L26" s="1135"/>
      <c r="M26" s="1126"/>
      <c r="N26" s="1126"/>
      <c r="O26" s="1126"/>
      <c r="P26" s="3194" t="s">
        <v>2564</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195" t="s">
        <v>2564</v>
      </c>
      <c r="Z26" s="1810" t="str">
        <f t="shared" ref="Z26:Z36" si="15">Q26</f>
        <v>配套类型</v>
      </c>
      <c r="AA26" s="1807">
        <f t="shared" si="3"/>
        <v>1</v>
      </c>
      <c r="AB26" s="1807">
        <f t="shared" si="4"/>
        <v>1</v>
      </c>
      <c r="AC26" s="1807">
        <f t="shared" si="5"/>
        <v>1</v>
      </c>
    </row>
    <row r="27" spans="1:29" s="469" customFormat="1" ht="15">
      <c r="A27" s="651"/>
      <c r="B27" s="652" t="s">
        <v>2712</v>
      </c>
      <c r="C27" s="653"/>
      <c r="D27" s="134">
        <v>100</v>
      </c>
      <c r="E27" s="653"/>
      <c r="F27" s="459">
        <f>SUMIF(81:81,E27,82:82)-SUMIF(81:81,C27,82:82)+100</f>
        <v>100</v>
      </c>
      <c r="G27" s="653"/>
      <c r="H27" s="433">
        <f>SUMIF(81:81,G27,82:82)-SUMIF(81:81,C27,82:82)+100</f>
        <v>100</v>
      </c>
      <c r="I27" s="653"/>
      <c r="J27" s="433">
        <f>SUMIF(81:81,I27,82:82)-SUMIF(81:81,C27,82:82)+100</f>
        <v>100</v>
      </c>
      <c r="K27" s="611"/>
      <c r="L27" s="1133"/>
      <c r="M27" s="1136"/>
      <c r="N27" s="1136"/>
      <c r="O27" s="1136"/>
      <c r="P27" s="3195"/>
      <c r="Q27" s="773" t="str">
        <f t="shared" si="11"/>
        <v>项目停车位配比</v>
      </c>
      <c r="R27" s="774" t="s">
        <v>17</v>
      </c>
      <c r="S27" s="775">
        <f t="shared" si="12"/>
        <v>100</v>
      </c>
      <c r="T27" s="774" t="s">
        <v>17</v>
      </c>
      <c r="U27" s="775">
        <f t="shared" si="13"/>
        <v>100</v>
      </c>
      <c r="V27" s="774" t="s">
        <v>17</v>
      </c>
      <c r="W27" s="775">
        <f t="shared" si="14"/>
        <v>100</v>
      </c>
      <c r="X27" s="776"/>
      <c r="Y27" s="3195"/>
      <c r="Z27" s="777" t="str">
        <f t="shared" si="15"/>
        <v>项目停车位配比</v>
      </c>
      <c r="AA27" s="1807">
        <f t="shared" si="3"/>
        <v>1</v>
      </c>
      <c r="AB27" s="1807">
        <f t="shared" si="4"/>
        <v>1</v>
      </c>
      <c r="AC27" s="1807">
        <f t="shared" si="5"/>
        <v>1</v>
      </c>
    </row>
    <row r="28" spans="1:29" ht="15">
      <c r="A28" s="654"/>
      <c r="B28" s="652" t="s">
        <v>2713</v>
      </c>
      <c r="C28" s="458" t="s">
        <v>3279</v>
      </c>
      <c r="D28" s="433">
        <v>100</v>
      </c>
      <c r="E28" s="458" t="s">
        <v>3279</v>
      </c>
      <c r="F28" s="459">
        <f>SUMIF(83:83,E28,84:84)-SUMIF(83:83,C28,84:84)+100</f>
        <v>100</v>
      </c>
      <c r="G28" s="458" t="s">
        <v>3279</v>
      </c>
      <c r="H28" s="433">
        <f>SUMIF(83:83,G28,84:84)-SUMIF(83:83,C28,84:84)+100</f>
        <v>100</v>
      </c>
      <c r="I28" s="458" t="s">
        <v>3279</v>
      </c>
      <c r="J28" s="433">
        <f>SUMIF(83:83,I28,84:84)-SUMIF(83:83,C28,84:84)+100</f>
        <v>100</v>
      </c>
      <c r="K28" s="610">
        <v>3</v>
      </c>
      <c r="L28" s="1135"/>
      <c r="M28" s="1126"/>
      <c r="N28" s="1126"/>
      <c r="O28" s="1126"/>
      <c r="P28" s="3195"/>
      <c r="Q28" s="1806" t="str">
        <f t="shared" si="11"/>
        <v>公共部分装修</v>
      </c>
      <c r="R28" s="771" t="s">
        <v>17</v>
      </c>
      <c r="S28" s="772">
        <f t="shared" si="12"/>
        <v>100</v>
      </c>
      <c r="T28" s="771" t="s">
        <v>17</v>
      </c>
      <c r="U28" s="772">
        <f t="shared" si="13"/>
        <v>100</v>
      </c>
      <c r="V28" s="771" t="s">
        <v>17</v>
      </c>
      <c r="W28" s="772">
        <f t="shared" si="14"/>
        <v>100</v>
      </c>
      <c r="X28" s="1809"/>
      <c r="Y28" s="3195"/>
      <c r="Z28" s="1810" t="str">
        <f t="shared" si="15"/>
        <v>公共部分装修</v>
      </c>
      <c r="AA28" s="1807">
        <f t="shared" si="3"/>
        <v>1</v>
      </c>
      <c r="AB28" s="1807">
        <f t="shared" si="4"/>
        <v>1</v>
      </c>
      <c r="AC28" s="1807">
        <f t="shared" si="5"/>
        <v>1</v>
      </c>
    </row>
    <row r="29" spans="1:29" ht="15">
      <c r="A29" s="654"/>
      <c r="B29" s="652" t="s">
        <v>2714</v>
      </c>
      <c r="C29" s="472">
        <v>1</v>
      </c>
      <c r="D29" s="433">
        <v>100</v>
      </c>
      <c r="E29" s="472">
        <v>1</v>
      </c>
      <c r="F29" s="459">
        <f>LOOKUP(E29,86:86,87:87)-LOOKUP(C29,86:86,87:87)+100</f>
        <v>100</v>
      </c>
      <c r="G29" s="472">
        <v>1</v>
      </c>
      <c r="H29" s="459">
        <f>LOOKUP(G29,86:86,87:87)-LOOKUP(C29,86:86,87:87)+100</f>
        <v>100</v>
      </c>
      <c r="I29" s="472">
        <v>1</v>
      </c>
      <c r="J29" s="433">
        <f>LOOKUP(I29,86:86,87:87)-LOOKUP(C29,86:86,87:87)+100</f>
        <v>100</v>
      </c>
      <c r="K29" s="610">
        <v>2</v>
      </c>
      <c r="L29" s="1135"/>
      <c r="M29" s="1126"/>
      <c r="N29" s="1126"/>
      <c r="O29" s="1126"/>
      <c r="P29" s="3195"/>
      <c r="Q29" s="1806" t="str">
        <f t="shared" si="11"/>
        <v>成新率</v>
      </c>
      <c r="R29" s="771" t="s">
        <v>17</v>
      </c>
      <c r="S29" s="772">
        <f t="shared" si="12"/>
        <v>100</v>
      </c>
      <c r="T29" s="771" t="s">
        <v>17</v>
      </c>
      <c r="U29" s="772">
        <f t="shared" si="13"/>
        <v>100</v>
      </c>
      <c r="V29" s="771" t="s">
        <v>17</v>
      </c>
      <c r="W29" s="772">
        <f t="shared" si="14"/>
        <v>100</v>
      </c>
      <c r="X29" s="1809"/>
      <c r="Y29" s="3195"/>
      <c r="Z29" s="1810" t="str">
        <f t="shared" si="15"/>
        <v>成新率</v>
      </c>
      <c r="AA29" s="1807">
        <f t="shared" si="3"/>
        <v>1</v>
      </c>
      <c r="AB29" s="1807">
        <f t="shared" si="4"/>
        <v>1</v>
      </c>
      <c r="AC29" s="1807">
        <f t="shared" si="5"/>
        <v>1</v>
      </c>
    </row>
    <row r="30" spans="1:29" ht="15">
      <c r="A30" s="654"/>
      <c r="B30" s="652" t="s">
        <v>2715</v>
      </c>
      <c r="C30" s="655"/>
      <c r="D30" s="433">
        <v>100</v>
      </c>
      <c r="E30" s="655"/>
      <c r="F30" s="459">
        <f>SUMIF(88:88,E30,89:89)-SUMIF(88:88,C30,89:89)+100</f>
        <v>100</v>
      </c>
      <c r="G30" s="655"/>
      <c r="H30" s="433">
        <f>SUMIF(88:88,E30,89:89)-SUMIF(88:88,C30,89:89)+100</f>
        <v>100</v>
      </c>
      <c r="I30" s="655"/>
      <c r="J30" s="433">
        <f>SUMIF(88:88,E30,89:89)-SUMIF(88:88,C30,89:89)+100</f>
        <v>100</v>
      </c>
      <c r="K30" s="610"/>
      <c r="L30" s="1135"/>
      <c r="M30" s="1126"/>
      <c r="N30" s="1126"/>
      <c r="O30" s="1126"/>
      <c r="P30" s="3195"/>
      <c r="Q30" s="1806" t="str">
        <f t="shared" si="11"/>
        <v>物业等级</v>
      </c>
      <c r="R30" s="771" t="s">
        <v>17</v>
      </c>
      <c r="S30" s="772">
        <f t="shared" si="12"/>
        <v>100</v>
      </c>
      <c r="T30" s="771" t="s">
        <v>17</v>
      </c>
      <c r="U30" s="772">
        <f t="shared" si="13"/>
        <v>100</v>
      </c>
      <c r="V30" s="771" t="s">
        <v>17</v>
      </c>
      <c r="W30" s="772">
        <f t="shared" si="14"/>
        <v>100</v>
      </c>
      <c r="X30" s="1809"/>
      <c r="Y30" s="3195"/>
      <c r="Z30" s="1810" t="str">
        <f t="shared" si="15"/>
        <v>物业等级</v>
      </c>
      <c r="AA30" s="1807">
        <f t="shared" si="3"/>
        <v>1</v>
      </c>
      <c r="AB30" s="1807">
        <f t="shared" si="4"/>
        <v>1</v>
      </c>
      <c r="AC30" s="1807">
        <f t="shared" si="5"/>
        <v>1</v>
      </c>
    </row>
    <row r="31" spans="1:29" s="116" customFormat="1" ht="15">
      <c r="A31" s="656"/>
      <c r="B31" s="652" t="s">
        <v>2716</v>
      </c>
      <c r="C31" s="467">
        <v>35</v>
      </c>
      <c r="D31" s="134">
        <v>100</v>
      </c>
      <c r="E31" s="467">
        <v>30</v>
      </c>
      <c r="F31" s="459">
        <f>LOOKUP(E31,91:91,92:92)-LOOKUP(C31,91:91,92:92)+100</f>
        <v>100</v>
      </c>
      <c r="G31" s="467">
        <v>30.14</v>
      </c>
      <c r="H31" s="433">
        <f>LOOKUP(G31,91:91,92:92)-LOOKUP(C31,91:91,92:92)+100</f>
        <v>100</v>
      </c>
      <c r="I31" s="467">
        <v>35.299999999999997</v>
      </c>
      <c r="J31" s="433">
        <f>LOOKUP(I31,91:91,92:92)-LOOKUP(C31,91:91,92:92)+100</f>
        <v>100</v>
      </c>
      <c r="K31" s="610">
        <v>3</v>
      </c>
      <c r="L31" s="1127"/>
      <c r="M31" s="1128"/>
      <c r="N31" s="1128"/>
      <c r="O31" s="1128"/>
      <c r="P31" s="3195"/>
      <c r="Q31" s="1791" t="str">
        <f t="shared" si="11"/>
        <v>停车位面积</v>
      </c>
      <c r="R31" s="767" t="s">
        <v>17</v>
      </c>
      <c r="S31" s="768">
        <f t="shared" si="12"/>
        <v>100</v>
      </c>
      <c r="T31" s="767" t="s">
        <v>17</v>
      </c>
      <c r="U31" s="768">
        <f t="shared" si="13"/>
        <v>100</v>
      </c>
      <c r="V31" s="767" t="s">
        <v>17</v>
      </c>
      <c r="W31" s="768">
        <f t="shared" si="14"/>
        <v>100</v>
      </c>
      <c r="X31" s="769"/>
      <c r="Y31" s="3195"/>
      <c r="Z31" s="54" t="str">
        <f t="shared" si="15"/>
        <v>停车位面积</v>
      </c>
      <c r="AA31" s="770">
        <f t="shared" si="3"/>
        <v>1</v>
      </c>
      <c r="AB31" s="770">
        <f t="shared" si="4"/>
        <v>1</v>
      </c>
      <c r="AC31" s="770">
        <f t="shared" si="5"/>
        <v>1</v>
      </c>
    </row>
    <row r="32" spans="1:29" ht="15">
      <c r="A32" s="654"/>
      <c r="B32" s="652" t="s">
        <v>2717</v>
      </c>
      <c r="C32" s="458" t="s">
        <v>3280</v>
      </c>
      <c r="D32" s="433">
        <v>100</v>
      </c>
      <c r="E32" s="458" t="s">
        <v>3280</v>
      </c>
      <c r="F32" s="459">
        <f>SUMIF(93:93,E32,94:94)-SUMIF(93:93,C32,94:94)+100</f>
        <v>100</v>
      </c>
      <c r="G32" s="458" t="s">
        <v>3280</v>
      </c>
      <c r="H32" s="433">
        <f>SUMIF(93:93,G32,94:94)-SUMIF(93:93,C32,94:94)+100</f>
        <v>100</v>
      </c>
      <c r="I32" s="458" t="s">
        <v>3280</v>
      </c>
      <c r="J32" s="433">
        <f>SUMIF(93:93,I32,94:94)-SUMIF(93:93,C32,94:94)+100</f>
        <v>100</v>
      </c>
      <c r="K32" s="610">
        <v>5</v>
      </c>
      <c r="L32" s="1135"/>
      <c r="M32" s="1126"/>
      <c r="N32" s="1126"/>
      <c r="O32" s="1126"/>
      <c r="P32" s="3195" t="s">
        <v>2564</v>
      </c>
      <c r="Q32" s="1806" t="str">
        <f t="shared" si="11"/>
        <v>车位类型</v>
      </c>
      <c r="R32" s="771" t="s">
        <v>17</v>
      </c>
      <c r="S32" s="772">
        <f t="shared" si="12"/>
        <v>100</v>
      </c>
      <c r="T32" s="771" t="s">
        <v>17</v>
      </c>
      <c r="U32" s="772">
        <f t="shared" si="13"/>
        <v>100</v>
      </c>
      <c r="V32" s="771" t="s">
        <v>17</v>
      </c>
      <c r="W32" s="772">
        <f t="shared" si="14"/>
        <v>100</v>
      </c>
      <c r="X32" s="1809"/>
      <c r="Y32" s="3195" t="s">
        <v>2564</v>
      </c>
      <c r="Z32" s="1810" t="str">
        <f t="shared" si="15"/>
        <v>车位类型</v>
      </c>
      <c r="AA32" s="1807">
        <f t="shared" si="3"/>
        <v>1</v>
      </c>
      <c r="AB32" s="1807">
        <f t="shared" si="4"/>
        <v>1</v>
      </c>
      <c r="AC32" s="1807">
        <f t="shared" si="5"/>
        <v>1</v>
      </c>
    </row>
    <row r="33" spans="1:29" ht="15">
      <c r="A33" s="654"/>
      <c r="B33" s="652" t="s">
        <v>2718</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195"/>
      <c r="Q33" s="1806" t="str">
        <f t="shared" si="11"/>
        <v>是否直接入户</v>
      </c>
      <c r="R33" s="771" t="s">
        <v>17</v>
      </c>
      <c r="S33" s="772">
        <f t="shared" si="12"/>
        <v>100</v>
      </c>
      <c r="T33" s="771" t="s">
        <v>17</v>
      </c>
      <c r="U33" s="772">
        <f t="shared" si="13"/>
        <v>100</v>
      </c>
      <c r="V33" s="771" t="s">
        <v>17</v>
      </c>
      <c r="W33" s="772">
        <f t="shared" si="14"/>
        <v>100</v>
      </c>
      <c r="X33" s="1809"/>
      <c r="Y33" s="3195"/>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195"/>
      <c r="Q34" s="1806">
        <f t="shared" si="11"/>
        <v>111</v>
      </c>
      <c r="R34" s="771" t="s">
        <v>17</v>
      </c>
      <c r="S34" s="772">
        <f t="shared" si="12"/>
        <v>100</v>
      </c>
      <c r="T34" s="771" t="s">
        <v>17</v>
      </c>
      <c r="U34" s="772">
        <f t="shared" si="13"/>
        <v>100</v>
      </c>
      <c r="V34" s="771" t="s">
        <v>17</v>
      </c>
      <c r="W34" s="772">
        <f t="shared" si="14"/>
        <v>100</v>
      </c>
      <c r="X34" s="1809"/>
      <c r="Y34" s="3195"/>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195"/>
      <c r="Q35" s="773">
        <f t="shared" si="11"/>
        <v>111</v>
      </c>
      <c r="R35" s="774" t="s">
        <v>17</v>
      </c>
      <c r="S35" s="775">
        <f t="shared" si="12"/>
        <v>100</v>
      </c>
      <c r="T35" s="774" t="s">
        <v>17</v>
      </c>
      <c r="U35" s="775">
        <f t="shared" si="13"/>
        <v>100</v>
      </c>
      <c r="V35" s="774" t="s">
        <v>17</v>
      </c>
      <c r="W35" s="775">
        <f t="shared" si="14"/>
        <v>100</v>
      </c>
      <c r="X35" s="776"/>
      <c r="Y35" s="3195"/>
      <c r="Z35" s="777">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195"/>
      <c r="Q36" s="1806">
        <f t="shared" si="11"/>
        <v>111</v>
      </c>
      <c r="R36" s="771" t="s">
        <v>17</v>
      </c>
      <c r="S36" s="772">
        <f t="shared" si="12"/>
        <v>100</v>
      </c>
      <c r="T36" s="771" t="s">
        <v>17</v>
      </c>
      <c r="U36" s="772">
        <f t="shared" si="13"/>
        <v>100</v>
      </c>
      <c r="V36" s="771" t="s">
        <v>17</v>
      </c>
      <c r="W36" s="772">
        <f t="shared" si="14"/>
        <v>100</v>
      </c>
      <c r="X36" s="1809"/>
      <c r="Y36" s="3195"/>
      <c r="Z36" s="1810">
        <f t="shared" si="15"/>
        <v>111</v>
      </c>
      <c r="AA36" s="1807">
        <f t="shared" si="3"/>
        <v>1</v>
      </c>
      <c r="AB36" s="1807">
        <f t="shared" si="4"/>
        <v>1</v>
      </c>
      <c r="AC36" s="1807">
        <f t="shared" si="5"/>
        <v>1</v>
      </c>
    </row>
    <row r="37" spans="1:29" ht="15">
      <c r="A37" s="477" t="s">
        <v>2719</v>
      </c>
      <c r="B37" s="2686" t="s">
        <v>2720</v>
      </c>
      <c r="C37" s="1402" t="s">
        <v>1</v>
      </c>
      <c r="D37" s="1403"/>
      <c r="E37" s="1404">
        <v>332550</v>
      </c>
      <c r="F37" s="1405"/>
      <c r="G37" s="1406">
        <v>281173</v>
      </c>
      <c r="H37" s="1407"/>
      <c r="I37" s="1404">
        <v>342062</v>
      </c>
      <c r="J37" s="1407"/>
      <c r="K37" s="617"/>
      <c r="L37" s="1138"/>
      <c r="M37" s="1139"/>
      <c r="N37" s="1126"/>
      <c r="O37" s="1139"/>
      <c r="P37" s="3177" t="str">
        <f>A37</f>
        <v>成交单价</v>
      </c>
      <c r="Q37" s="3177"/>
      <c r="R37" s="3239">
        <f>E37</f>
        <v>332550</v>
      </c>
      <c r="S37" s="3239"/>
      <c r="T37" s="3239">
        <f>G37</f>
        <v>281173</v>
      </c>
      <c r="U37" s="3239"/>
      <c r="V37" s="3239">
        <f>I37</f>
        <v>342062</v>
      </c>
      <c r="W37" s="3239"/>
      <c r="X37" s="756"/>
      <c r="Y37" s="778"/>
      <c r="Z37" s="756"/>
      <c r="AA37" s="756"/>
      <c r="AB37" s="756"/>
      <c r="AC37" s="756"/>
    </row>
    <row r="38" spans="1:29" ht="15.75" thickBot="1">
      <c r="A38" s="484" t="s">
        <v>2721</v>
      </c>
      <c r="B38" s="485" t="str">
        <f>B37</f>
        <v>元/车位</v>
      </c>
      <c r="C38" s="1408">
        <f>R39</f>
        <v>309946</v>
      </c>
      <c r="D38" s="1409"/>
      <c r="E38" s="1410">
        <f>R38</f>
        <v>319760</v>
      </c>
      <c r="F38" s="1410"/>
      <c r="G38" s="1408">
        <f>T38</f>
        <v>281173</v>
      </c>
      <c r="H38" s="1409"/>
      <c r="I38" s="1410">
        <f>V38</f>
        <v>328906</v>
      </c>
      <c r="J38" s="1409"/>
      <c r="K38" s="618"/>
      <c r="L38" s="1138"/>
      <c r="M38" s="1139"/>
      <c r="N38" s="1139"/>
      <c r="O38" s="1139"/>
      <c r="P38" s="3177" t="str">
        <f>A38</f>
        <v>比较价值（元/平方米）</v>
      </c>
      <c r="Q38" s="3177"/>
      <c r="R38" s="3239">
        <f>IF(F1="售价",ROUND(PRODUCT(R37,AA7:AA36),0),ROUND(PRODUCT(R37,AA7:AA36),1))</f>
        <v>319760</v>
      </c>
      <c r="S38" s="3239"/>
      <c r="T38" s="3239">
        <f>IF(F1="售价",ROUND(PRODUCT(T37,AB7:AB36),0),ROUND(PRODUCT(T37,AB7:AB36),1))</f>
        <v>281173</v>
      </c>
      <c r="U38" s="3239"/>
      <c r="V38" s="3239">
        <f>IF(F1="售价",ROUND(PRODUCT(V37,AC7:AC36),0),ROUND(PRODUCT(V37,AC7:AC36),1))</f>
        <v>328906</v>
      </c>
      <c r="W38" s="3239"/>
      <c r="X38" s="756"/>
      <c r="Y38" s="756"/>
      <c r="Z38" s="756"/>
      <c r="AA38" s="756"/>
      <c r="AB38" s="756"/>
      <c r="AC38" s="756"/>
    </row>
    <row r="39" spans="1:29" ht="15.75" thickBot="1">
      <c r="A39" s="490" t="s">
        <v>2722</v>
      </c>
      <c r="B39" s="491"/>
      <c r="C39" s="1412">
        <f>R39</f>
        <v>309946</v>
      </c>
      <c r="D39" s="1412"/>
      <c r="E39" s="1412"/>
      <c r="F39" s="1412"/>
      <c r="G39" s="1412"/>
      <c r="H39" s="1412"/>
      <c r="I39" s="1412"/>
      <c r="J39" s="1412"/>
      <c r="K39" s="619"/>
      <c r="L39" s="1138"/>
      <c r="M39" s="1139"/>
      <c r="N39" s="1139"/>
      <c r="O39" s="1139"/>
      <c r="P39" s="3197" t="str">
        <f>A39</f>
        <v>估价对象XX用房的比较价值（楼面单价，元/平方米）</v>
      </c>
      <c r="Q39" s="3198"/>
      <c r="R39" s="3238">
        <f>IF(F1="售价",ROUND(AVERAGE(R38:V38),0),ROUND(AVERAGE(R38:V38),1))</f>
        <v>309946</v>
      </c>
      <c r="S39" s="3238"/>
      <c r="T39" s="3238"/>
      <c r="U39" s="3238"/>
      <c r="V39" s="3238"/>
      <c r="W39" s="3238"/>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2723</v>
      </c>
      <c r="D42" s="496"/>
      <c r="E42" s="497">
        <f>IF(E37&lt;E38,E38/E37-1,E37/E38-1)</f>
        <v>3.9998749061796346E-2</v>
      </c>
      <c r="F42" s="498" t="str">
        <f>IF(OR(E42&gt;=0.3,E42&lt;=-0.3),"超过30%","")</f>
        <v/>
      </c>
      <c r="G42" s="497">
        <f>IF(G37&lt;G38,G38/G37-1,G37/G38-1)</f>
        <v>0</v>
      </c>
      <c r="H42" s="498" t="str">
        <f>IF(OR(G42&gt;=0.3,G42&lt;=-0.3),"超过30%","")</f>
        <v/>
      </c>
      <c r="I42" s="497">
        <f>IF(I37&lt;I38,I38/I37-1,I37/I38-1)</f>
        <v>3.9999270308233914E-2</v>
      </c>
      <c r="J42" s="498"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2724</v>
      </c>
      <c r="D43" s="499"/>
      <c r="E43" s="497">
        <f>IF(E38&lt;G38,G38/E38-1,E38/G38-1)</f>
        <v>0.13723579433302624</v>
      </c>
      <c r="F43" s="498" t="str">
        <f>IF(OR(E43&gt;=0.2,E43&lt;=-0.2),"超过20%","")</f>
        <v/>
      </c>
      <c r="G43" s="497">
        <f>IF(G38&lt;I38,I38/G38-1,G38/I38-1)</f>
        <v>0.16976381089222659</v>
      </c>
      <c r="H43" s="498" t="str">
        <f>IF(OR(G43&gt;=0.2,G43&lt;=-0.2),"超过20%","")</f>
        <v/>
      </c>
      <c r="I43" s="497">
        <f>IF(I38&lt;E38,E38/I38-1,I38/E38-1)</f>
        <v>2.8602702026519822E-2</v>
      </c>
      <c r="J43" s="498"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2725</v>
      </c>
      <c r="D44" s="499"/>
      <c r="E44" s="497">
        <f>IF(E37&lt;G37,G37/E37-1,E37/G37-1)</f>
        <v>0.18272380349464568</v>
      </c>
      <c r="F44" s="498" t="str">
        <f>IF(OR(E44&gt;=0.3,E44&lt;=-0.3),"超过30%","")</f>
        <v/>
      </c>
      <c r="G44" s="497">
        <f>IF(G37&lt;I37,I37/G37-1,G37/I37-1)</f>
        <v>0.2165535097608946</v>
      </c>
      <c r="H44" s="498" t="str">
        <f>IF(OR(G44&gt;=0.3,G44&lt;=-0.3),"超过30%","")</f>
        <v/>
      </c>
      <c r="I44" s="497">
        <f>IF(I37&lt;E37,E37/I37-1,I37/E37-1)</f>
        <v>2.8603217561268934E-2</v>
      </c>
      <c r="J44" s="498"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2726</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2727</v>
      </c>
      <c r="B48" s="504"/>
      <c r="C48" s="1570" t="str">
        <f>YEAR(C7)&amp;"-"&amp;MONTH(C7)</f>
        <v>2018-1</v>
      </c>
      <c r="D48" s="1571">
        <f>EDATE(C48,-1)</f>
        <v>43070</v>
      </c>
      <c r="E48" s="1571">
        <f t="shared" ref="E48:O48" si="16">EDATE(D48,-1)</f>
        <v>43040</v>
      </c>
      <c r="F48" s="1571">
        <f t="shared" si="16"/>
        <v>43009</v>
      </c>
      <c r="G48" s="1571">
        <f t="shared" si="16"/>
        <v>42979</v>
      </c>
      <c r="H48" s="1571">
        <f t="shared" si="16"/>
        <v>42948</v>
      </c>
      <c r="I48" s="1571">
        <f t="shared" si="16"/>
        <v>42917</v>
      </c>
      <c r="J48" s="1571">
        <f t="shared" si="16"/>
        <v>42887</v>
      </c>
      <c r="K48" s="1571">
        <f t="shared" si="16"/>
        <v>42856</v>
      </c>
      <c r="L48" s="1571">
        <f t="shared" si="16"/>
        <v>42826</v>
      </c>
      <c r="M48" s="1571">
        <f t="shared" si="16"/>
        <v>42795</v>
      </c>
      <c r="N48" s="1571">
        <f t="shared" si="16"/>
        <v>42767</v>
      </c>
      <c r="O48" s="1571">
        <f t="shared" si="16"/>
        <v>42736</v>
      </c>
      <c r="P48" s="1433"/>
      <c r="Q48" s="1434"/>
      <c r="R48" s="1434"/>
      <c r="S48" s="1434"/>
      <c r="T48" s="1434"/>
      <c r="U48" s="1434"/>
      <c r="V48" s="1434"/>
      <c r="W48" s="1434"/>
      <c r="X48" s="1434"/>
      <c r="Y48" s="1434"/>
      <c r="Z48" s="1434"/>
      <c r="AA48" s="1434"/>
      <c r="AB48" s="1434"/>
      <c r="AC48" s="1434"/>
    </row>
    <row r="49" spans="1:29" s="116" customFormat="1" ht="15">
      <c r="A49" s="507"/>
      <c r="B49" s="508"/>
      <c r="C49" s="1562">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6" customFormat="1" ht="15.75" thickBot="1">
      <c r="A50" s="513" t="s">
        <v>2584</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6" customFormat="1" ht="15">
      <c r="A51" s="519" t="s">
        <v>2549</v>
      </c>
      <c r="B51" s="508"/>
      <c r="C51" s="520" t="s">
        <v>2651</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6"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2587</v>
      </c>
      <c r="B53" s="526" t="s">
        <v>2553</v>
      </c>
      <c r="C53" s="527" t="str">
        <f>C9</f>
        <v>车库</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2556</v>
      </c>
      <c r="C55" s="537" t="s">
        <v>2588</v>
      </c>
      <c r="D55" s="537" t="s">
        <v>2589</v>
      </c>
      <c r="E55" s="537" t="s">
        <v>2590</v>
      </c>
      <c r="F55" s="537" t="s">
        <v>2591</v>
      </c>
      <c r="G55" s="537" t="s">
        <v>2592</v>
      </c>
      <c r="H55" s="537" t="s">
        <v>2593</v>
      </c>
      <c r="I55" s="537" t="s">
        <v>2594</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99</v>
      </c>
      <c r="G56" s="542">
        <f>F56-$K10</f>
        <v>98</v>
      </c>
      <c r="H56" s="542">
        <f>G56-$K10</f>
        <v>97</v>
      </c>
      <c r="I56" s="542">
        <f>H56-$K10</f>
        <v>96</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8">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2558</v>
      </c>
      <c r="B63" s="526" t="s">
        <v>2601</v>
      </c>
      <c r="C63" s="571" t="s">
        <v>2596</v>
      </c>
      <c r="D63" s="571" t="s">
        <v>2597</v>
      </c>
      <c r="E63" s="571" t="s">
        <v>2598</v>
      </c>
      <c r="F63" s="571" t="s">
        <v>2599</v>
      </c>
      <c r="G63" s="571" t="s">
        <v>2600</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98</v>
      </c>
      <c r="E64" s="542">
        <f>D64-$K14</f>
        <v>96</v>
      </c>
      <c r="F64" s="542">
        <f>E64-$K14</f>
        <v>94</v>
      </c>
      <c r="G64" s="542">
        <f>F64-$K14</f>
        <v>92</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2602</v>
      </c>
      <c r="C65" s="576" t="s">
        <v>2596</v>
      </c>
      <c r="D65" s="576" t="s">
        <v>2597</v>
      </c>
      <c r="E65" s="576" t="s">
        <v>2598</v>
      </c>
      <c r="F65" s="576" t="s">
        <v>2599</v>
      </c>
      <c r="G65" s="576" t="s">
        <v>2600</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98</v>
      </c>
      <c r="E66" s="542">
        <f>D66-$K16</f>
        <v>96</v>
      </c>
      <c r="F66" s="542">
        <f>E66-$K16</f>
        <v>94</v>
      </c>
      <c r="G66" s="542">
        <f>F66-$K16</f>
        <v>92</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2688</v>
      </c>
      <c r="C67" s="658" t="s">
        <v>2674</v>
      </c>
      <c r="D67" s="658" t="s">
        <v>2675</v>
      </c>
      <c r="E67" s="658" t="s">
        <v>2676</v>
      </c>
      <c r="F67" s="658" t="s">
        <v>2677</v>
      </c>
      <c r="G67" s="658" t="s">
        <v>2678</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99</v>
      </c>
      <c r="E68" s="542">
        <f>D68-$K18</f>
        <v>98</v>
      </c>
      <c r="F68" s="542">
        <f>E68-$K18</f>
        <v>97</v>
      </c>
      <c r="G68" s="542">
        <f>F68-$K18</f>
        <v>96</v>
      </c>
      <c r="H68" s="658"/>
      <c r="I68" s="658"/>
      <c r="J68" s="658"/>
      <c r="K68" s="658"/>
      <c r="L68" s="658"/>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2608</v>
      </c>
      <c r="C69" s="576" t="s">
        <v>2596</v>
      </c>
      <c r="D69" s="576" t="s">
        <v>2597</v>
      </c>
      <c r="E69" s="576" t="s">
        <v>2598</v>
      </c>
      <c r="F69" s="576" t="s">
        <v>2599</v>
      </c>
      <c r="G69" s="576" t="s">
        <v>2600</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98</v>
      </c>
      <c r="E70" s="542">
        <f>D70-$K20</f>
        <v>96</v>
      </c>
      <c r="F70" s="542">
        <f>E70-$K20</f>
        <v>94</v>
      </c>
      <c r="G70" s="542">
        <f>F70-$K20</f>
        <v>92</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2728</v>
      </c>
      <c r="C71" s="552" t="s">
        <v>3262</v>
      </c>
      <c r="D71" s="552" t="s">
        <v>3263</v>
      </c>
      <c r="E71" s="552"/>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6"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6"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6"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6"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2562</v>
      </c>
      <c r="B79" s="526" t="s">
        <v>2729</v>
      </c>
      <c r="C79" s="527" t="str">
        <f>C26</f>
        <v>住宅</v>
      </c>
      <c r="D79" s="2944" t="s">
        <v>3264</v>
      </c>
      <c r="E79" s="2944" t="s">
        <v>3265</v>
      </c>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97</v>
      </c>
      <c r="E80" s="542">
        <f t="shared" si="17"/>
        <v>94</v>
      </c>
      <c r="F80" s="542">
        <f t="shared" si="17"/>
        <v>91</v>
      </c>
      <c r="G80" s="542">
        <f t="shared" si="17"/>
        <v>88</v>
      </c>
      <c r="H80" s="542">
        <f t="shared" si="17"/>
        <v>85</v>
      </c>
      <c r="I80" s="542">
        <f t="shared" si="17"/>
        <v>82</v>
      </c>
      <c r="J80" s="542">
        <f t="shared" si="17"/>
        <v>79</v>
      </c>
      <c r="K80" s="542">
        <f t="shared" si="17"/>
        <v>76</v>
      </c>
      <c r="L80" s="542">
        <f t="shared" si="17"/>
        <v>73</v>
      </c>
      <c r="M80" s="543">
        <f t="shared" si="17"/>
        <v>70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2730</v>
      </c>
      <c r="C81" s="659" t="s">
        <v>3266</v>
      </c>
      <c r="D81" s="659" t="s">
        <v>3267</v>
      </c>
      <c r="E81" s="659" t="s">
        <v>3268</v>
      </c>
      <c r="F81" s="659" t="s">
        <v>3269</v>
      </c>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v>100</v>
      </c>
      <c r="D82" s="534">
        <v>102</v>
      </c>
      <c r="E82" s="534">
        <v>104</v>
      </c>
      <c r="F82" s="534">
        <v>106</v>
      </c>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2615</v>
      </c>
      <c r="C83" s="552" t="s">
        <v>3270</v>
      </c>
      <c r="D83" s="552" t="s">
        <v>3271</v>
      </c>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97</v>
      </c>
      <c r="E84" s="542">
        <f t="shared" si="18"/>
        <v>94</v>
      </c>
      <c r="F84" s="542">
        <f t="shared" si="18"/>
        <v>91</v>
      </c>
      <c r="G84" s="542">
        <f t="shared" si="18"/>
        <v>88</v>
      </c>
      <c r="H84" s="542">
        <f t="shared" si="18"/>
        <v>85</v>
      </c>
      <c r="I84" s="542">
        <f t="shared" si="18"/>
        <v>82</v>
      </c>
      <c r="J84" s="542">
        <f t="shared" si="18"/>
        <v>79</v>
      </c>
      <c r="K84" s="542">
        <f t="shared" si="18"/>
        <v>76</v>
      </c>
      <c r="L84" s="542">
        <f t="shared" si="18"/>
        <v>73</v>
      </c>
      <c r="M84" s="543">
        <f t="shared" si="18"/>
        <v>70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2731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2732</v>
      </c>
      <c r="C88" s="528" t="s">
        <v>3272</v>
      </c>
      <c r="D88" s="528" t="s">
        <v>3273</v>
      </c>
      <c r="E88" s="528" t="s">
        <v>3274</v>
      </c>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8"/>
      <c r="O89" s="1148"/>
      <c r="P89" s="1424"/>
      <c r="Q89" s="1418"/>
      <c r="R89" s="1139"/>
      <c r="S89" s="1139"/>
      <c r="T89" s="1139"/>
      <c r="U89" s="1139"/>
      <c r="V89" s="1139"/>
      <c r="W89" s="1139"/>
      <c r="X89" s="1139"/>
      <c r="Y89" s="1139"/>
      <c r="Z89" s="1139"/>
      <c r="AA89" s="1139"/>
      <c r="AB89" s="1139"/>
      <c r="AC89" s="1139"/>
    </row>
    <row r="90" spans="1:29" s="469" customFormat="1" ht="15" thickTop="1">
      <c r="A90" s="591"/>
      <c r="B90" s="536" t="s">
        <v>2733</v>
      </c>
      <c r="C90" s="576" t="str">
        <f>C91&amp;"(含)"&amp;"-"&amp;D91</f>
        <v>20(含)-30</v>
      </c>
      <c r="D90" s="576" t="str">
        <f t="shared" ref="D90:L90" si="21">D91&amp;"(含)"&amp;"-"&amp;E91</f>
        <v>30(含)-45</v>
      </c>
      <c r="E90" s="576" t="str">
        <f t="shared" si="21"/>
        <v>45(含)-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593">
        <v>20</v>
      </c>
      <c r="D91" s="593">
        <v>30</v>
      </c>
      <c r="E91" s="593">
        <v>45</v>
      </c>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v>100</v>
      </c>
      <c r="D92" s="534">
        <v>102</v>
      </c>
      <c r="E92" s="534">
        <v>104</v>
      </c>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2734</v>
      </c>
      <c r="C93" s="552" t="s">
        <v>3275</v>
      </c>
      <c r="D93" s="552" t="s">
        <v>3276</v>
      </c>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95</v>
      </c>
      <c r="E94" s="542">
        <f t="shared" si="22"/>
        <v>90</v>
      </c>
      <c r="F94" s="542">
        <f t="shared" si="22"/>
        <v>85</v>
      </c>
      <c r="G94" s="542">
        <f t="shared" si="22"/>
        <v>80</v>
      </c>
      <c r="H94" s="542">
        <f t="shared" si="22"/>
        <v>75</v>
      </c>
      <c r="I94" s="542">
        <f t="shared" si="22"/>
        <v>70</v>
      </c>
      <c r="J94" s="542">
        <f t="shared" si="22"/>
        <v>65</v>
      </c>
      <c r="K94" s="542">
        <f t="shared" si="22"/>
        <v>60</v>
      </c>
      <c r="L94" s="542">
        <f t="shared" si="22"/>
        <v>55</v>
      </c>
      <c r="M94" s="543">
        <f t="shared" si="22"/>
        <v>50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2735</v>
      </c>
      <c r="C95" s="528" t="s">
        <v>3277</v>
      </c>
      <c r="D95" s="528" t="s">
        <v>3278</v>
      </c>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2706</v>
      </c>
      <c r="B1" s="1615"/>
      <c r="C1" s="1616" t="s">
        <v>2529</v>
      </c>
      <c r="D1" s="1617"/>
      <c r="E1" s="1626"/>
      <c r="F1" s="2578"/>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2329</v>
      </c>
      <c r="B2" s="1413" t="e">
        <f ca="1">IF(C2="——",ROUND(C37*D3/10000,0),ROUND(C37*D3/10000,0)-D2)</f>
        <v>#DIV/0!</v>
      </c>
      <c r="C2" s="2580"/>
      <c r="D2" s="1119" t="e">
        <f ca="1">SUMIF(INDIRECT("'"&amp;F2&amp;"'"&amp;"!A:A"),"承租人权益价值",INDIRECT("'"&amp;F2&amp;"'"&amp;"!c:c"))</f>
        <v>#REF!</v>
      </c>
      <c r="E2" s="2581" t="s">
        <v>2330</v>
      </c>
      <c r="F2" s="2582"/>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2331</v>
      </c>
      <c r="B3" s="607" t="e">
        <f ca="1">IF(C2="——",C37,ROUND(B2*10000/D3,0))</f>
        <v>#DIV/0!</v>
      </c>
      <c r="C3" s="398" t="s">
        <v>2643</v>
      </c>
      <c r="D3" s="397">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2644</v>
      </c>
      <c r="B4" s="400"/>
      <c r="C4" s="3178" t="s">
        <v>2645</v>
      </c>
      <c r="D4" s="3179"/>
      <c r="E4" s="3180" t="s">
        <v>2646</v>
      </c>
      <c r="F4" s="3181"/>
      <c r="G4" s="3178" t="s">
        <v>2647</v>
      </c>
      <c r="H4" s="3179"/>
      <c r="I4" s="3178" t="s">
        <v>2648</v>
      </c>
      <c r="J4" s="3179"/>
      <c r="K4" s="608" t="s">
        <v>2649</v>
      </c>
      <c r="L4" s="1125"/>
      <c r="M4" s="1126"/>
      <c r="N4" s="1126"/>
      <c r="O4" s="1126"/>
      <c r="P4" s="3182" t="s">
        <v>2650</v>
      </c>
      <c r="Q4" s="3183"/>
      <c r="R4" s="3168" t="s">
        <v>2646</v>
      </c>
      <c r="S4" s="3169"/>
      <c r="T4" s="3168" t="s">
        <v>2647</v>
      </c>
      <c r="U4" s="3169"/>
      <c r="V4" s="3190" t="s">
        <v>2648</v>
      </c>
      <c r="W4" s="3190"/>
      <c r="X4" s="1809"/>
      <c r="Y4" s="3168" t="s">
        <v>2650</v>
      </c>
      <c r="Z4" s="3169"/>
      <c r="AA4" s="3163" t="s">
        <v>2646</v>
      </c>
      <c r="AB4" s="3164" t="s">
        <v>2647</v>
      </c>
      <c r="AC4" s="3163" t="s">
        <v>2648</v>
      </c>
    </row>
    <row r="5" spans="1:29" ht="15">
      <c r="A5" s="402"/>
      <c r="B5" s="403"/>
      <c r="C5" s="3248" t="s">
        <v>2541</v>
      </c>
      <c r="D5" s="3174"/>
      <c r="E5" s="3246" t="s">
        <v>2542</v>
      </c>
      <c r="F5" s="3247"/>
      <c r="G5" s="3248" t="s">
        <v>2543</v>
      </c>
      <c r="H5" s="3174"/>
      <c r="I5" s="3248" t="s">
        <v>2544</v>
      </c>
      <c r="J5" s="3174"/>
      <c r="K5" s="608"/>
      <c r="L5" s="1125"/>
      <c r="M5" s="1126"/>
      <c r="N5" s="1126"/>
      <c r="O5" s="1126"/>
      <c r="P5" s="3184"/>
      <c r="Q5" s="3185"/>
      <c r="R5" s="3170"/>
      <c r="S5" s="3171"/>
      <c r="T5" s="3170"/>
      <c r="U5" s="3171"/>
      <c r="V5" s="3190"/>
      <c r="W5" s="3190"/>
      <c r="X5" s="1809"/>
      <c r="Y5" s="3170"/>
      <c r="Z5" s="3171"/>
      <c r="AA5" s="3164"/>
      <c r="AB5" s="3164"/>
      <c r="AC5" s="3164"/>
    </row>
    <row r="6" spans="1:29" ht="15.75" thickBot="1">
      <c r="A6" s="404"/>
      <c r="B6" s="405"/>
      <c r="C6" s="3249" t="s">
        <v>2545</v>
      </c>
      <c r="D6" s="3176"/>
      <c r="E6" s="3250" t="s">
        <v>2545</v>
      </c>
      <c r="F6" s="3251"/>
      <c r="G6" s="3249" t="s">
        <v>2545</v>
      </c>
      <c r="H6" s="3176"/>
      <c r="I6" s="3249" t="s">
        <v>2545</v>
      </c>
      <c r="J6" s="3176"/>
      <c r="K6" s="608" t="s">
        <v>2546</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2547</v>
      </c>
      <c r="B7" s="407"/>
      <c r="C7" s="408">
        <f>'数据-取费表'!B2</f>
        <v>43126</v>
      </c>
      <c r="D7" s="409">
        <v>100</v>
      </c>
      <c r="E7" s="410"/>
      <c r="F7" s="411">
        <f>SUMIF(46:46,YEAR(E7)&amp;"-"&amp;MONTH(E7),47:47)</f>
        <v>0</v>
      </c>
      <c r="G7" s="2687"/>
      <c r="H7" s="409">
        <f>SUMIF(46:46,YEAR(G7)&amp;"-"&amp;MONTH(G7),47:47)</f>
        <v>0</v>
      </c>
      <c r="I7" s="410"/>
      <c r="J7" s="409">
        <f>SUMIF(46:46,YEAR(I7)&amp;"-"&amp;MONTH(I7),47:47)</f>
        <v>0</v>
      </c>
      <c r="K7" s="609"/>
      <c r="L7" s="1127"/>
      <c r="M7" s="1128"/>
      <c r="N7" s="1128"/>
      <c r="O7" s="1128"/>
      <c r="P7" s="3166" t="s">
        <v>2548</v>
      </c>
      <c r="Q7" s="3191"/>
      <c r="R7" s="767" t="s">
        <v>17</v>
      </c>
      <c r="S7" s="768">
        <f t="shared" ref="S7:S14" si="0">F7</f>
        <v>0</v>
      </c>
      <c r="T7" s="767" t="s">
        <v>17</v>
      </c>
      <c r="U7" s="768">
        <f t="shared" ref="U7:U14" si="1">H7</f>
        <v>0</v>
      </c>
      <c r="V7" s="767" t="s">
        <v>17</v>
      </c>
      <c r="W7" s="768">
        <f t="shared" ref="W7:W14" si="2">J7</f>
        <v>0</v>
      </c>
      <c r="X7" s="769"/>
      <c r="Y7" s="3166" t="s">
        <v>2548</v>
      </c>
      <c r="Z7" s="3167"/>
      <c r="AA7" s="770" t="e">
        <f>D7/F7</f>
        <v>#DIV/0!</v>
      </c>
      <c r="AB7" s="770" t="e">
        <f>D7/H7</f>
        <v>#DIV/0!</v>
      </c>
      <c r="AC7" s="770" t="e">
        <f>D7/J7</f>
        <v>#DIV/0!</v>
      </c>
    </row>
    <row r="8" spans="1:29" s="116" customFormat="1" ht="15.75" thickBot="1">
      <c r="A8" s="406" t="s">
        <v>2549</v>
      </c>
      <c r="B8" s="407"/>
      <c r="C8" s="412" t="s">
        <v>2651</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166" t="s">
        <v>2551</v>
      </c>
      <c r="Q8" s="3167"/>
      <c r="R8" s="767" t="s">
        <v>17</v>
      </c>
      <c r="S8" s="768">
        <f t="shared" si="0"/>
        <v>0</v>
      </c>
      <c r="T8" s="767" t="s">
        <v>17</v>
      </c>
      <c r="U8" s="768">
        <f t="shared" si="1"/>
        <v>0</v>
      </c>
      <c r="V8" s="767" t="s">
        <v>17</v>
      </c>
      <c r="W8" s="768">
        <f t="shared" si="2"/>
        <v>0</v>
      </c>
      <c r="X8" s="769"/>
      <c r="Y8" s="3166" t="s">
        <v>2551</v>
      </c>
      <c r="Z8" s="3167"/>
      <c r="AA8" s="770" t="e">
        <f t="shared" ref="AA8:AA34" si="3">D8/F8</f>
        <v>#DIV/0!</v>
      </c>
      <c r="AB8" s="770" t="e">
        <f t="shared" ref="AB8:AB34" si="4">D8/H8</f>
        <v>#DIV/0!</v>
      </c>
      <c r="AC8" s="770" t="e">
        <f t="shared" ref="AC8:AC34" si="5">D8/J8</f>
        <v>#DIV/0!</v>
      </c>
    </row>
    <row r="9" spans="1:29" s="116" customFormat="1">
      <c r="A9" s="413" t="s">
        <v>2552</v>
      </c>
      <c r="B9" s="70" t="s">
        <v>2553</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177" t="s">
        <v>2554</v>
      </c>
      <c r="Q9" s="1791" t="str">
        <f t="shared" ref="Q9:Q14" si="6">B9</f>
        <v>用途</v>
      </c>
      <c r="R9" s="767" t="s">
        <v>17</v>
      </c>
      <c r="S9" s="768">
        <f t="shared" si="0"/>
        <v>100</v>
      </c>
      <c r="T9" s="767" t="s">
        <v>17</v>
      </c>
      <c r="U9" s="768">
        <f t="shared" si="1"/>
        <v>100</v>
      </c>
      <c r="V9" s="767" t="s">
        <v>17</v>
      </c>
      <c r="W9" s="768">
        <f t="shared" si="2"/>
        <v>100</v>
      </c>
      <c r="X9" s="769"/>
      <c r="Y9" s="3043" t="s">
        <v>2555</v>
      </c>
      <c r="Z9" s="54" t="str">
        <f t="shared" ref="Z9:Z14" si="7">Q9</f>
        <v>用途</v>
      </c>
      <c r="AA9" s="770">
        <f t="shared" si="3"/>
        <v>1</v>
      </c>
      <c r="AB9" s="770">
        <f t="shared" si="4"/>
        <v>1</v>
      </c>
      <c r="AC9" s="770">
        <f t="shared" si="5"/>
        <v>1</v>
      </c>
    </row>
    <row r="10" spans="1:29" s="425" customFormat="1" ht="27">
      <c r="A10" s="419"/>
      <c r="B10" s="420" t="s">
        <v>2556</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177"/>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2593">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177"/>
      <c r="Q11" s="1791">
        <f t="shared" si="6"/>
        <v>111</v>
      </c>
      <c r="R11" s="767" t="s">
        <v>17</v>
      </c>
      <c r="S11" s="768">
        <f t="shared" si="0"/>
        <v>100</v>
      </c>
      <c r="T11" s="767" t="s">
        <v>17</v>
      </c>
      <c r="U11" s="768">
        <f t="shared" si="1"/>
        <v>100</v>
      </c>
      <c r="V11" s="767" t="s">
        <v>17</v>
      </c>
      <c r="W11" s="768">
        <f t="shared" si="2"/>
        <v>100</v>
      </c>
      <c r="X11" s="769"/>
      <c r="Y11" s="3043"/>
      <c r="Z11" s="54">
        <f t="shared" si="7"/>
        <v>111</v>
      </c>
      <c r="AA11" s="770">
        <f t="shared" si="3"/>
        <v>1</v>
      </c>
      <c r="AB11" s="770">
        <f t="shared" si="4"/>
        <v>1</v>
      </c>
      <c r="AC11" s="770">
        <f t="shared" si="5"/>
        <v>1</v>
      </c>
    </row>
    <row r="12" spans="1:29" s="116" customFormat="1" ht="15">
      <c r="A12" s="429"/>
      <c r="B12" s="2593">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75" thickBot="1">
      <c r="A13" s="426"/>
      <c r="B13" s="2593">
        <v>111</v>
      </c>
      <c r="C13" s="432"/>
      <c r="D13" s="433">
        <v>100</v>
      </c>
      <c r="E13" s="467"/>
      <c r="F13" s="423">
        <f>SUMIF(59:59,E13,60:60)-SUMIF(59:59,C13,60:60)+100</f>
        <v>100</v>
      </c>
      <c r="G13" s="2688"/>
      <c r="H13" s="436">
        <f>SUMIF(59:59,G13,60:60)-SUMIF(59:59,C13,60:60)+100</f>
        <v>100</v>
      </c>
      <c r="I13" s="467"/>
      <c r="J13" s="433">
        <f>SUMIF(59:59,I13,60:60)-SUMIF(59:59,C13,60:60)+100</f>
        <v>100</v>
      </c>
      <c r="K13" s="611"/>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57">
      <c r="A14" s="438" t="s">
        <v>2558</v>
      </c>
      <c r="B14" s="68" t="s">
        <v>2708</v>
      </c>
      <c r="C14" s="2684" t="str">
        <f>IF(B1="工业",估价对象房地状况!G4,估价对象房地状况!C6)</f>
        <v>周边有941、981路等公交线路经过，交通便捷度一般</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192" t="s">
        <v>2559</v>
      </c>
      <c r="Q14" s="1806" t="str">
        <f t="shared" si="6"/>
        <v>交通便捷度</v>
      </c>
      <c r="R14" s="771" t="s">
        <v>17</v>
      </c>
      <c r="S14" s="772">
        <f t="shared" si="0"/>
        <v>100</v>
      </c>
      <c r="T14" s="771" t="s">
        <v>17</v>
      </c>
      <c r="U14" s="772">
        <f t="shared" si="1"/>
        <v>100</v>
      </c>
      <c r="V14" s="771" t="s">
        <v>17</v>
      </c>
      <c r="W14" s="772">
        <f t="shared" si="2"/>
        <v>100</v>
      </c>
      <c r="X14" s="1809"/>
      <c r="Y14" s="3192" t="s">
        <v>2559</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5"/>
      <c r="M15" s="1126"/>
      <c r="N15" s="1126"/>
      <c r="O15" s="1134"/>
      <c r="P15" s="3193"/>
      <c r="Q15" s="1806"/>
      <c r="R15" s="771"/>
      <c r="S15" s="772"/>
      <c r="T15" s="771"/>
      <c r="U15" s="772"/>
      <c r="V15" s="771"/>
      <c r="W15" s="772"/>
      <c r="X15" s="1809"/>
      <c r="Y15" s="3193"/>
      <c r="Z15" s="1810"/>
      <c r="AA15" s="1807">
        <v>1</v>
      </c>
      <c r="AB15" s="1807">
        <v>1</v>
      </c>
      <c r="AC15" s="1807">
        <v>1</v>
      </c>
    </row>
    <row r="16" spans="1:29" ht="42.75">
      <c r="A16" s="426"/>
      <c r="B16" s="449" t="s">
        <v>2687</v>
      </c>
      <c r="C16" s="2600" t="str">
        <f>IF(B1="工业",估价对象房地状况!G5,估价对象房地状况!C7)</f>
        <v>估价对象所在区域公共配套设施齐备较差</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193"/>
      <c r="Q16" s="1806" t="str">
        <f>B16</f>
        <v>公共配套设施</v>
      </c>
      <c r="R16" s="771" t="s">
        <v>17</v>
      </c>
      <c r="S16" s="772">
        <f>F16</f>
        <v>100</v>
      </c>
      <c r="T16" s="771" t="s">
        <v>17</v>
      </c>
      <c r="U16" s="772">
        <f>H16</f>
        <v>100</v>
      </c>
      <c r="V16" s="771" t="s">
        <v>17</v>
      </c>
      <c r="W16" s="772">
        <f>J16</f>
        <v>100</v>
      </c>
      <c r="X16" s="1809"/>
      <c r="Y16" s="3193"/>
      <c r="Z16" s="1810" t="str">
        <f>Q16</f>
        <v>公共配套设施</v>
      </c>
      <c r="AA16" s="1807">
        <f t="shared" si="3"/>
        <v>1</v>
      </c>
      <c r="AB16" s="1807">
        <f t="shared" si="4"/>
        <v>1</v>
      </c>
      <c r="AC16" s="1807">
        <f t="shared" si="5"/>
        <v>1</v>
      </c>
    </row>
    <row r="17" spans="1:29" ht="15">
      <c r="A17" s="426"/>
      <c r="B17" s="454"/>
      <c r="C17" s="2601"/>
      <c r="D17" s="446"/>
      <c r="E17" s="445"/>
      <c r="F17" s="447"/>
      <c r="G17" s="445"/>
      <c r="H17" s="446"/>
      <c r="I17" s="445"/>
      <c r="J17" s="446"/>
      <c r="K17" s="613"/>
      <c r="L17" s="1135"/>
      <c r="M17" s="1126"/>
      <c r="N17" s="1126"/>
      <c r="O17" s="1134"/>
      <c r="P17" s="3193"/>
      <c r="Q17" s="1806"/>
      <c r="R17" s="771"/>
      <c r="S17" s="772"/>
      <c r="T17" s="771"/>
      <c r="U17" s="772"/>
      <c r="V17" s="771"/>
      <c r="W17" s="772"/>
      <c r="X17" s="1809"/>
      <c r="Y17" s="3193"/>
      <c r="Z17" s="1810"/>
      <c r="AA17" s="1807">
        <v>1</v>
      </c>
      <c r="AB17" s="1807">
        <v>1</v>
      </c>
      <c r="AC17" s="1807">
        <v>1</v>
      </c>
    </row>
    <row r="18" spans="1:29" ht="15">
      <c r="A18" s="426"/>
      <c r="B18" s="1379" t="s">
        <v>2688</v>
      </c>
      <c r="C18" s="2600" t="str">
        <f>IF(B1="工业",估价对象房地状况!G6,估价对象房地状况!C8)</f>
        <v>基础设施为七通</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193"/>
      <c r="Q18" s="1806" t="str">
        <f>B18</f>
        <v>基础设施水平</v>
      </c>
      <c r="R18" s="771" t="s">
        <v>17</v>
      </c>
      <c r="S18" s="772">
        <f>F18</f>
        <v>100</v>
      </c>
      <c r="T18" s="771" t="s">
        <v>17</v>
      </c>
      <c r="U18" s="772">
        <f>H18</f>
        <v>100</v>
      </c>
      <c r="V18" s="771" t="s">
        <v>17</v>
      </c>
      <c r="W18" s="772">
        <f>J18</f>
        <v>100</v>
      </c>
      <c r="X18" s="1809"/>
      <c r="Y18" s="3193"/>
      <c r="Z18" s="1810" t="str">
        <f>Q18</f>
        <v>基础设施水平</v>
      </c>
      <c r="AA18" s="1807">
        <f t="shared" ref="AA18" si="8">D18/F18</f>
        <v>1</v>
      </c>
      <c r="AB18" s="1807">
        <f t="shared" ref="AB18" si="9">D18/H18</f>
        <v>1</v>
      </c>
      <c r="AC18" s="1807">
        <f t="shared" ref="AC18" si="10">D18/J18</f>
        <v>1</v>
      </c>
    </row>
    <row r="19" spans="1:29" ht="15">
      <c r="A19" s="426"/>
      <c r="B19" s="1379"/>
      <c r="C19" s="2601"/>
      <c r="D19" s="448"/>
      <c r="E19" s="2601"/>
      <c r="F19" s="451"/>
      <c r="G19" s="2601"/>
      <c r="H19" s="446"/>
      <c r="I19" s="445"/>
      <c r="J19" s="446"/>
      <c r="K19" s="1378"/>
      <c r="L19" s="1135"/>
      <c r="M19" s="1126"/>
      <c r="N19" s="1126"/>
      <c r="O19" s="1134"/>
      <c r="P19" s="3193"/>
      <c r="Q19" s="1806"/>
      <c r="R19" s="771"/>
      <c r="S19" s="772"/>
      <c r="T19" s="771"/>
      <c r="U19" s="772"/>
      <c r="V19" s="771"/>
      <c r="W19" s="772"/>
      <c r="X19" s="1809"/>
      <c r="Y19" s="3193"/>
      <c r="Z19" s="1810"/>
      <c r="AA19" s="1807">
        <v>1</v>
      </c>
      <c r="AB19" s="1807">
        <v>1</v>
      </c>
      <c r="AC19" s="1807">
        <v>1</v>
      </c>
    </row>
    <row r="20" spans="1:29" ht="85.5">
      <c r="A20" s="426"/>
      <c r="B20" s="449" t="s">
        <v>2709</v>
      </c>
      <c r="C20" s="2600" t="str">
        <f>IF(B1="工业",估价对象房地状况!G7,估价对象房地状况!C9)</f>
        <v>周边无大学等教育配套设施，有石门营文化公园等绿化设施，自然及人文环境一般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193"/>
      <c r="Q20" s="1806" t="str">
        <f>B20</f>
        <v>自然及人文环境</v>
      </c>
      <c r="R20" s="771" t="s">
        <v>17</v>
      </c>
      <c r="S20" s="772">
        <f>F20</f>
        <v>100</v>
      </c>
      <c r="T20" s="771" t="s">
        <v>17</v>
      </c>
      <c r="U20" s="772">
        <f>H20</f>
        <v>100</v>
      </c>
      <c r="V20" s="771" t="s">
        <v>17</v>
      </c>
      <c r="W20" s="772">
        <f>J20</f>
        <v>100</v>
      </c>
      <c r="X20" s="1809"/>
      <c r="Y20" s="3193"/>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5"/>
      <c r="M21" s="1126"/>
      <c r="N21" s="1126"/>
      <c r="O21" s="1134"/>
      <c r="P21" s="3193"/>
      <c r="Q21" s="1806"/>
      <c r="R21" s="771"/>
      <c r="S21" s="772"/>
      <c r="T21" s="771"/>
      <c r="U21" s="772"/>
      <c r="V21" s="771"/>
      <c r="W21" s="772"/>
      <c r="X21" s="1809"/>
      <c r="Y21" s="3193"/>
      <c r="Z21" s="1810"/>
      <c r="AA21" s="1807">
        <v>1</v>
      </c>
      <c r="AB21" s="1807">
        <v>1</v>
      </c>
      <c r="AC21" s="1807">
        <v>1</v>
      </c>
    </row>
    <row r="22" spans="1:29" ht="15">
      <c r="A22" s="426"/>
      <c r="B22" s="449" t="s">
        <v>2710</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193"/>
      <c r="Q22" s="1806" t="str">
        <f>B22</f>
        <v>楼层</v>
      </c>
      <c r="R22" s="771" t="s">
        <v>17</v>
      </c>
      <c r="S22" s="772">
        <f>F22</f>
        <v>100</v>
      </c>
      <c r="T22" s="771" t="s">
        <v>17</v>
      </c>
      <c r="U22" s="772">
        <f>H22</f>
        <v>100</v>
      </c>
      <c r="V22" s="771" t="s">
        <v>17</v>
      </c>
      <c r="W22" s="772">
        <f>J22</f>
        <v>100</v>
      </c>
      <c r="X22" s="1809"/>
      <c r="Y22" s="3193"/>
      <c r="Z22" s="1810" t="str">
        <f>Q22</f>
        <v>楼层</v>
      </c>
      <c r="AA22" s="1807">
        <f t="shared" si="3"/>
        <v>1</v>
      </c>
      <c r="AB22" s="1807">
        <f t="shared" si="4"/>
        <v>1</v>
      </c>
      <c r="AC22" s="1807">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193"/>
      <c r="Q23" s="1806">
        <f>B23</f>
        <v>111</v>
      </c>
      <c r="R23" s="771" t="s">
        <v>17</v>
      </c>
      <c r="S23" s="772">
        <f>F23</f>
        <v>100</v>
      </c>
      <c r="T23" s="771" t="s">
        <v>17</v>
      </c>
      <c r="U23" s="772">
        <f>H23</f>
        <v>100</v>
      </c>
      <c r="V23" s="771" t="s">
        <v>17</v>
      </c>
      <c r="W23" s="772">
        <f>J23</f>
        <v>100</v>
      </c>
      <c r="X23" s="1809"/>
      <c r="Y23" s="3193"/>
      <c r="Z23" s="1810">
        <f>Q23</f>
        <v>111</v>
      </c>
      <c r="AA23" s="1807">
        <f t="shared" si="3"/>
        <v>1</v>
      </c>
      <c r="AB23" s="1807">
        <f t="shared" si="4"/>
        <v>1</v>
      </c>
      <c r="AC23" s="1807">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193"/>
      <c r="Q24" s="1806">
        <f t="shared" ref="Q24:Q34" si="11">B24</f>
        <v>111</v>
      </c>
      <c r="R24" s="771" t="s">
        <v>17</v>
      </c>
      <c r="S24" s="772">
        <f>F24</f>
        <v>100</v>
      </c>
      <c r="T24" s="771" t="s">
        <v>17</v>
      </c>
      <c r="U24" s="772">
        <f>H24</f>
        <v>100</v>
      </c>
      <c r="V24" s="771" t="s">
        <v>17</v>
      </c>
      <c r="W24" s="772">
        <f>J24</f>
        <v>100</v>
      </c>
      <c r="X24" s="1809"/>
      <c r="Y24" s="3193"/>
      <c r="Z24" s="1810">
        <f>Q24</f>
        <v>111</v>
      </c>
      <c r="AA24" s="1807">
        <f t="shared" si="3"/>
        <v>1</v>
      </c>
      <c r="AB24" s="1807">
        <f t="shared" si="4"/>
        <v>1</v>
      </c>
      <c r="AC24" s="1807">
        <f t="shared" si="5"/>
        <v>1</v>
      </c>
    </row>
    <row r="25" spans="1:29" s="116" customFormat="1" ht="15.75" thickBot="1">
      <c r="A25" s="429"/>
      <c r="B25" s="2593">
        <v>111</v>
      </c>
      <c r="C25" s="2689"/>
      <c r="D25" s="663">
        <v>100</v>
      </c>
      <c r="E25" s="2689"/>
      <c r="F25" s="664">
        <f>SUMIF(75:75,E25,76:76)-SUMIF(75:75,C25,76:76)+100</f>
        <v>100</v>
      </c>
      <c r="G25" s="2689"/>
      <c r="H25" s="663">
        <f>SUMIF(75:75,G25,76:76)-SUMIF(75:75,C25,76:76)+100</f>
        <v>100</v>
      </c>
      <c r="I25" s="2689"/>
      <c r="J25" s="663">
        <f>SUMIF(75:75,I25,76:76)-SUMIF(75:75,C25,76:76)+100</f>
        <v>100</v>
      </c>
      <c r="K25" s="611"/>
      <c r="L25" s="1127"/>
      <c r="M25" s="1128"/>
      <c r="N25" s="1128"/>
      <c r="O25" s="1129"/>
      <c r="P25" s="3193"/>
      <c r="Q25" s="1791">
        <f t="shared" si="11"/>
        <v>111</v>
      </c>
      <c r="R25" s="767" t="s">
        <v>17</v>
      </c>
      <c r="S25" s="768">
        <f>F25</f>
        <v>100</v>
      </c>
      <c r="T25" s="767" t="s">
        <v>17</v>
      </c>
      <c r="U25" s="768">
        <f>H25</f>
        <v>100</v>
      </c>
      <c r="V25" s="767" t="s">
        <v>17</v>
      </c>
      <c r="W25" s="768">
        <f>J25</f>
        <v>100</v>
      </c>
      <c r="X25" s="769"/>
      <c r="Y25" s="3193"/>
      <c r="Z25" s="54">
        <f>Q25</f>
        <v>111</v>
      </c>
      <c r="AA25" s="1807">
        <f>D25/F25</f>
        <v>1</v>
      </c>
      <c r="AB25" s="1807">
        <f>D25/H25</f>
        <v>1</v>
      </c>
      <c r="AC25" s="1807">
        <f>D25/J25</f>
        <v>1</v>
      </c>
    </row>
    <row r="26" spans="1:29" ht="15">
      <c r="A26" s="464" t="s">
        <v>2562</v>
      </c>
      <c r="B26" s="70" t="s">
        <v>2713</v>
      </c>
      <c r="C26" s="2670"/>
      <c r="D26" s="465">
        <v>100</v>
      </c>
      <c r="E26" s="2670"/>
      <c r="F26" s="665">
        <f>SUMIF(77:77,E26,78:78)-SUMIF(77:77,C26,78:78)+100</f>
        <v>100</v>
      </c>
      <c r="G26" s="2670"/>
      <c r="H26" s="465">
        <f>SUMIF(77:77,G26,78:78)-SUMIF(77:77,C26,78:78)+100</f>
        <v>100</v>
      </c>
      <c r="I26" s="2670"/>
      <c r="J26" s="465">
        <f>SUMIF(77:77,I26,78:78)-SUMIF(77:77,C26,78:78)+100</f>
        <v>100</v>
      </c>
      <c r="K26" s="610"/>
      <c r="L26" s="1135"/>
      <c r="M26" s="1126"/>
      <c r="N26" s="1126"/>
      <c r="O26" s="1134"/>
      <c r="P26" s="3194" t="s">
        <v>2564</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195" t="s">
        <v>2564</v>
      </c>
      <c r="Z26" s="1810" t="str">
        <f t="shared" ref="Z26:Z34" si="15">Q26</f>
        <v>公共部分装修</v>
      </c>
      <c r="AA26" s="1807">
        <f t="shared" si="3"/>
        <v>1</v>
      </c>
      <c r="AB26" s="1807">
        <f t="shared" si="4"/>
        <v>1</v>
      </c>
      <c r="AC26" s="1807">
        <f t="shared" si="5"/>
        <v>1</v>
      </c>
    </row>
    <row r="27" spans="1:29" s="469" customFormat="1" ht="15">
      <c r="A27" s="466"/>
      <c r="B27" s="420" t="s">
        <v>2714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195"/>
      <c r="Q27" s="773" t="str">
        <f t="shared" si="11"/>
        <v>成新率</v>
      </c>
      <c r="R27" s="774" t="s">
        <v>17</v>
      </c>
      <c r="S27" s="775" t="e">
        <f t="shared" si="12"/>
        <v>#N/A</v>
      </c>
      <c r="T27" s="774" t="s">
        <v>17</v>
      </c>
      <c r="U27" s="775" t="e">
        <f t="shared" si="13"/>
        <v>#N/A</v>
      </c>
      <c r="V27" s="774" t="s">
        <v>17</v>
      </c>
      <c r="W27" s="775" t="e">
        <f t="shared" si="14"/>
        <v>#N/A</v>
      </c>
      <c r="X27" s="776"/>
      <c r="Y27" s="3195"/>
      <c r="Z27" s="777" t="str">
        <f t="shared" si="15"/>
        <v>成新率</v>
      </c>
      <c r="AA27" s="1807" t="e">
        <f t="shared" si="3"/>
        <v>#N/A</v>
      </c>
      <c r="AB27" s="1807" t="e">
        <f t="shared" si="4"/>
        <v>#N/A</v>
      </c>
      <c r="AC27" s="1807" t="e">
        <f t="shared" si="5"/>
        <v>#N/A</v>
      </c>
    </row>
    <row r="28" spans="1:29" ht="15">
      <c r="A28" s="470"/>
      <c r="B28" s="420" t="s">
        <v>2715</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195"/>
      <c r="Q28" s="1806" t="str">
        <f t="shared" si="11"/>
        <v>物业等级</v>
      </c>
      <c r="R28" s="771" t="s">
        <v>17</v>
      </c>
      <c r="S28" s="772">
        <f t="shared" si="12"/>
        <v>100</v>
      </c>
      <c r="T28" s="771" t="s">
        <v>17</v>
      </c>
      <c r="U28" s="772">
        <f t="shared" si="13"/>
        <v>100</v>
      </c>
      <c r="V28" s="771" t="s">
        <v>17</v>
      </c>
      <c r="W28" s="772">
        <f t="shared" si="14"/>
        <v>100</v>
      </c>
      <c r="X28" s="1809"/>
      <c r="Y28" s="3195"/>
      <c r="Z28" s="1810" t="str">
        <f t="shared" si="15"/>
        <v>物业等级</v>
      </c>
      <c r="AA28" s="1807">
        <f t="shared" si="3"/>
        <v>1</v>
      </c>
      <c r="AB28" s="1807">
        <f t="shared" si="4"/>
        <v>1</v>
      </c>
      <c r="AC28" s="1807">
        <f t="shared" si="5"/>
        <v>1</v>
      </c>
    </row>
    <row r="29" spans="1:29" ht="15">
      <c r="A29" s="470"/>
      <c r="B29" s="420" t="s">
        <v>2736</v>
      </c>
      <c r="C29" s="655"/>
      <c r="D29" s="433">
        <v>100</v>
      </c>
      <c r="E29" s="655"/>
      <c r="F29" s="459">
        <f>SUMIF(84:84,E29,85:85)-SUMIF(84:84,C29,85:85)+100</f>
        <v>100</v>
      </c>
      <c r="G29" s="655"/>
      <c r="H29" s="433">
        <f>SUMIF(84:84,G29,85:85)-SUMIF(84:84,C29,85:85)+100</f>
        <v>100</v>
      </c>
      <c r="I29" s="655"/>
      <c r="J29" s="433">
        <f>SUMIF(84:84,I29,85:85)-SUMIF(84:84,C29,85:85)+100</f>
        <v>100</v>
      </c>
      <c r="K29" s="610"/>
      <c r="L29" s="1135"/>
      <c r="M29" s="1126"/>
      <c r="N29" s="1126"/>
      <c r="O29" s="1134"/>
      <c r="P29" s="3195"/>
      <c r="Q29" s="1806" t="str">
        <f t="shared" si="11"/>
        <v>有无电梯</v>
      </c>
      <c r="R29" s="771" t="s">
        <v>17</v>
      </c>
      <c r="S29" s="772">
        <f t="shared" si="12"/>
        <v>100</v>
      </c>
      <c r="T29" s="771" t="s">
        <v>17</v>
      </c>
      <c r="U29" s="772">
        <f t="shared" si="13"/>
        <v>100</v>
      </c>
      <c r="V29" s="771" t="s">
        <v>17</v>
      </c>
      <c r="W29" s="772">
        <f t="shared" si="14"/>
        <v>100</v>
      </c>
      <c r="X29" s="1809"/>
      <c r="Y29" s="3195"/>
      <c r="Z29" s="1810" t="str">
        <f t="shared" si="15"/>
        <v>有无电梯</v>
      </c>
      <c r="AA29" s="1807">
        <f t="shared" si="3"/>
        <v>1</v>
      </c>
      <c r="AB29" s="1807">
        <f t="shared" si="4"/>
        <v>1</v>
      </c>
      <c r="AC29" s="1807">
        <f t="shared" si="5"/>
        <v>1</v>
      </c>
    </row>
    <row r="30" spans="1:29" ht="15">
      <c r="A30" s="470"/>
      <c r="B30" s="420" t="s">
        <v>2737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195"/>
      <c r="Q30" s="1806" t="str">
        <f t="shared" si="11"/>
        <v>建筑面积</v>
      </c>
      <c r="R30" s="771" t="s">
        <v>17</v>
      </c>
      <c r="S30" s="772" t="e">
        <f t="shared" si="12"/>
        <v>#N/A</v>
      </c>
      <c r="T30" s="771" t="s">
        <v>17</v>
      </c>
      <c r="U30" s="772" t="e">
        <f t="shared" si="13"/>
        <v>#N/A</v>
      </c>
      <c r="V30" s="771" t="s">
        <v>17</v>
      </c>
      <c r="W30" s="772" t="e">
        <f t="shared" si="14"/>
        <v>#N/A</v>
      </c>
      <c r="X30" s="1809"/>
      <c r="Y30" s="3195"/>
      <c r="Z30" s="1810" t="str">
        <f t="shared" si="15"/>
        <v>建筑面积</v>
      </c>
      <c r="AA30" s="1807" t="e">
        <f t="shared" si="3"/>
        <v>#N/A</v>
      </c>
      <c r="AB30" s="1807" t="e">
        <f t="shared" si="4"/>
        <v>#N/A</v>
      </c>
      <c r="AC30" s="1807" t="e">
        <f t="shared" si="5"/>
        <v>#N/A</v>
      </c>
    </row>
    <row r="31" spans="1:29" s="116" customFormat="1" ht="15">
      <c r="A31" s="471"/>
      <c r="B31" s="420" t="s">
        <v>2738</v>
      </c>
      <c r="C31" s="655"/>
      <c r="D31" s="134">
        <v>100</v>
      </c>
      <c r="E31" s="655"/>
      <c r="F31" s="459">
        <f>SUMIF(89:89,E31,90:90)-SUMIF(89:89,C31,90:90)+100</f>
        <v>100</v>
      </c>
      <c r="G31" s="655"/>
      <c r="H31" s="433">
        <f>SUMIF(89:89,G31,90:90)-SUMIF(89:89,C31,90:90)+100</f>
        <v>100</v>
      </c>
      <c r="I31" s="655"/>
      <c r="J31" s="433">
        <f>SUMIF(89:89,I31,90:90)-SUMIF(89:89,C31,90:90)+100</f>
        <v>100</v>
      </c>
      <c r="K31" s="610"/>
      <c r="L31" s="1127"/>
      <c r="M31" s="1128"/>
      <c r="N31" s="1128"/>
      <c r="O31" s="1129"/>
      <c r="P31" s="3195"/>
      <c r="Q31" s="1791" t="str">
        <f t="shared" si="11"/>
        <v>是否封闭</v>
      </c>
      <c r="R31" s="767" t="s">
        <v>17</v>
      </c>
      <c r="S31" s="768">
        <f t="shared" si="12"/>
        <v>100</v>
      </c>
      <c r="T31" s="767" t="s">
        <v>17</v>
      </c>
      <c r="U31" s="768">
        <f t="shared" si="13"/>
        <v>100</v>
      </c>
      <c r="V31" s="767" t="s">
        <v>17</v>
      </c>
      <c r="W31" s="768">
        <f t="shared" si="14"/>
        <v>100</v>
      </c>
      <c r="X31" s="769"/>
      <c r="Y31" s="3195"/>
      <c r="Z31" s="54" t="str">
        <f t="shared" si="15"/>
        <v>是否封闭</v>
      </c>
      <c r="AA31" s="770">
        <f t="shared" si="3"/>
        <v>1</v>
      </c>
      <c r="AB31" s="770">
        <f t="shared" si="4"/>
        <v>1</v>
      </c>
      <c r="AC31" s="770">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195" t="s">
        <v>2564</v>
      </c>
      <c r="Q32" s="1806">
        <f t="shared" si="11"/>
        <v>111</v>
      </c>
      <c r="R32" s="771" t="s">
        <v>17</v>
      </c>
      <c r="S32" s="772">
        <f t="shared" si="12"/>
        <v>100</v>
      </c>
      <c r="T32" s="771" t="s">
        <v>17</v>
      </c>
      <c r="U32" s="772">
        <f t="shared" si="13"/>
        <v>100</v>
      </c>
      <c r="V32" s="771" t="s">
        <v>17</v>
      </c>
      <c r="W32" s="772">
        <f t="shared" si="14"/>
        <v>100</v>
      </c>
      <c r="X32" s="1809"/>
      <c r="Y32" s="3195" t="s">
        <v>2564</v>
      </c>
      <c r="Z32" s="1810">
        <f t="shared" si="15"/>
        <v>111</v>
      </c>
      <c r="AA32" s="1807">
        <f t="shared" si="3"/>
        <v>1</v>
      </c>
      <c r="AB32" s="1807">
        <f t="shared" si="4"/>
        <v>1</v>
      </c>
      <c r="AC32" s="1807">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195"/>
      <c r="Q33" s="1806">
        <f t="shared" si="11"/>
        <v>111</v>
      </c>
      <c r="R33" s="771" t="s">
        <v>17</v>
      </c>
      <c r="S33" s="772">
        <f t="shared" si="12"/>
        <v>100</v>
      </c>
      <c r="T33" s="771" t="s">
        <v>17</v>
      </c>
      <c r="U33" s="772">
        <f t="shared" si="13"/>
        <v>100</v>
      </c>
      <c r="V33" s="771" t="s">
        <v>17</v>
      </c>
      <c r="W33" s="772">
        <f t="shared" si="14"/>
        <v>100</v>
      </c>
      <c r="X33" s="1809"/>
      <c r="Y33" s="3195"/>
      <c r="Z33" s="1810">
        <f t="shared" si="15"/>
        <v>111</v>
      </c>
      <c r="AA33" s="1807">
        <f t="shared" si="3"/>
        <v>1</v>
      </c>
      <c r="AB33" s="1807">
        <f t="shared" si="4"/>
        <v>1</v>
      </c>
      <c r="AC33" s="1807">
        <f t="shared" si="5"/>
        <v>1</v>
      </c>
    </row>
    <row r="34" spans="1:29" ht="15.75" thickBot="1">
      <c r="A34" s="476"/>
      <c r="B34" s="2595">
        <v>111</v>
      </c>
      <c r="C34" s="435"/>
      <c r="D34" s="436">
        <v>100</v>
      </c>
      <c r="E34" s="2688"/>
      <c r="F34" s="437">
        <f>SUMIF(95:95,E34,96:96)-SUMIF(95:95,C34,96:96)+100</f>
        <v>100</v>
      </c>
      <c r="G34" s="2688"/>
      <c r="H34" s="436">
        <f>SUMIF(95:95,G34,96:96)-SUMIF(95:95,C34,96:96)+100</f>
        <v>100</v>
      </c>
      <c r="I34" s="2688"/>
      <c r="J34" s="436">
        <f>SUMIF(95:95,I34,96:96)-SUMIF(95:95,C34,96:96)+100</f>
        <v>100</v>
      </c>
      <c r="K34" s="611"/>
      <c r="L34" s="1135"/>
      <c r="M34" s="1126"/>
      <c r="N34" s="1126"/>
      <c r="O34" s="1134"/>
      <c r="P34" s="3195"/>
      <c r="Q34" s="1806">
        <f t="shared" si="11"/>
        <v>111</v>
      </c>
      <c r="R34" s="771" t="s">
        <v>17</v>
      </c>
      <c r="S34" s="772">
        <f t="shared" si="12"/>
        <v>100</v>
      </c>
      <c r="T34" s="771" t="s">
        <v>17</v>
      </c>
      <c r="U34" s="772">
        <f t="shared" si="13"/>
        <v>100</v>
      </c>
      <c r="V34" s="771" t="s">
        <v>17</v>
      </c>
      <c r="W34" s="772">
        <f t="shared" si="14"/>
        <v>100</v>
      </c>
      <c r="X34" s="1809"/>
      <c r="Y34" s="3195"/>
      <c r="Z34" s="1810">
        <f t="shared" si="15"/>
        <v>111</v>
      </c>
      <c r="AA34" s="1807">
        <f t="shared" si="3"/>
        <v>1</v>
      </c>
      <c r="AB34" s="1807">
        <f t="shared" si="4"/>
        <v>1</v>
      </c>
      <c r="AC34" s="1807">
        <f t="shared" si="5"/>
        <v>1</v>
      </c>
    </row>
    <row r="35" spans="1:29" ht="15">
      <c r="A35" s="477" t="s">
        <v>2576</v>
      </c>
      <c r="B35" s="478"/>
      <c r="C35" s="1402" t="s">
        <v>1</v>
      </c>
      <c r="D35" s="1403"/>
      <c r="E35" s="1404"/>
      <c r="F35" s="1405"/>
      <c r="G35" s="1406"/>
      <c r="H35" s="1407"/>
      <c r="I35" s="1404"/>
      <c r="J35" s="1407"/>
      <c r="K35" s="780"/>
      <c r="L35" s="1138"/>
      <c r="M35" s="1139"/>
      <c r="N35" s="1126"/>
      <c r="O35" s="1139"/>
      <c r="P35" s="3177" t="str">
        <f>A35</f>
        <v>成交单价（元/平方米）</v>
      </c>
      <c r="Q35" s="3177"/>
      <c r="R35" s="3239">
        <f>E35</f>
        <v>0</v>
      </c>
      <c r="S35" s="3239"/>
      <c r="T35" s="3239">
        <f>G35</f>
        <v>0</v>
      </c>
      <c r="U35" s="3239"/>
      <c r="V35" s="3239">
        <f>I35</f>
        <v>0</v>
      </c>
      <c r="W35" s="3239"/>
      <c r="X35" s="756"/>
      <c r="Y35" s="778"/>
      <c r="Z35" s="756"/>
      <c r="AA35" s="756"/>
      <c r="AB35" s="756"/>
      <c r="AC35" s="756"/>
    </row>
    <row r="36" spans="1:29" ht="15.75" thickBot="1">
      <c r="A36" s="484" t="s">
        <v>2668</v>
      </c>
      <c r="B36" s="485"/>
      <c r="C36" s="1408" t="e">
        <f>R37</f>
        <v>#DIV/0!</v>
      </c>
      <c r="D36" s="1409"/>
      <c r="E36" s="1410" t="e">
        <f>R36</f>
        <v>#DIV/0!</v>
      </c>
      <c r="F36" s="1410"/>
      <c r="G36" s="1408" t="e">
        <f>T36</f>
        <v>#DIV/0!</v>
      </c>
      <c r="H36" s="1409"/>
      <c r="I36" s="1410" t="e">
        <f>V36</f>
        <v>#DIV/0!</v>
      </c>
      <c r="J36" s="1409"/>
      <c r="K36" s="781"/>
      <c r="L36" s="1138"/>
      <c r="M36" s="1139"/>
      <c r="N36" s="1126"/>
      <c r="O36" s="1139"/>
      <c r="P36" s="3177" t="str">
        <f>A36</f>
        <v>比较价值（元/平方米）</v>
      </c>
      <c r="Q36" s="3177"/>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6"/>
      <c r="Y36" s="756"/>
      <c r="Z36" s="756"/>
      <c r="AA36" s="756"/>
      <c r="AB36" s="756"/>
      <c r="AC36" s="756"/>
    </row>
    <row r="37" spans="1:29" ht="15.75" thickBot="1">
      <c r="A37" s="490" t="s">
        <v>2669</v>
      </c>
      <c r="B37" s="491"/>
      <c r="C37" s="1412" t="e">
        <f>R37</f>
        <v>#DIV/0!</v>
      </c>
      <c r="D37" s="1412"/>
      <c r="E37" s="1412"/>
      <c r="F37" s="1412"/>
      <c r="G37" s="1412"/>
      <c r="H37" s="1412"/>
      <c r="I37" s="1412"/>
      <c r="J37" s="1412"/>
      <c r="K37" s="782"/>
      <c r="L37" s="1138"/>
      <c r="M37" s="1139"/>
      <c r="N37" s="1139"/>
      <c r="O37" s="1139"/>
      <c r="P37" s="3197" t="str">
        <f>A37</f>
        <v>估价对象XX用房的比较价值（楼面单价，元/平方米）</v>
      </c>
      <c r="Q37" s="3198"/>
      <c r="R37" s="3238" t="e">
        <f>IF(F1="售价",ROUND(AVERAGE(R36:V36),0),ROUND(AVERAGE(R36:V36),1))</f>
        <v>#DIV/0!</v>
      </c>
      <c r="S37" s="3238"/>
      <c r="T37" s="3238"/>
      <c r="U37" s="3238"/>
      <c r="V37" s="3238"/>
      <c r="W37" s="3238"/>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2670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2671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2672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2673</v>
      </c>
      <c r="B45" s="756"/>
      <c r="C45" s="761"/>
      <c r="D45" s="761"/>
      <c r="E45" s="761"/>
      <c r="F45" s="762"/>
      <c r="G45" s="762"/>
      <c r="H45" s="761"/>
      <c r="I45" s="761"/>
      <c r="J45" s="761"/>
      <c r="K45" s="763"/>
      <c r="L45" s="764"/>
      <c r="M45" s="761"/>
      <c r="N45" s="761"/>
      <c r="O45" s="761"/>
      <c r="P45" s="501"/>
      <c r="Q45" s="502"/>
    </row>
    <row r="46" spans="1:29" s="506" customFormat="1" ht="15">
      <c r="A46" s="503" t="s">
        <v>2547</v>
      </c>
      <c r="B46" s="504"/>
      <c r="C46" s="1570" t="str">
        <f>YEAR(C7)&amp;"-"&amp;MONTH(C7)</f>
        <v>2018-1</v>
      </c>
      <c r="D46" s="1571">
        <f>EDATE(C46,-1)</f>
        <v>43070</v>
      </c>
      <c r="E46" s="1571">
        <f t="shared" ref="E46:O46" si="16">EDATE(D46,-1)</f>
        <v>43040</v>
      </c>
      <c r="F46" s="1571">
        <f t="shared" si="16"/>
        <v>43009</v>
      </c>
      <c r="G46" s="1571">
        <f t="shared" si="16"/>
        <v>42979</v>
      </c>
      <c r="H46" s="1571">
        <f t="shared" si="16"/>
        <v>42948</v>
      </c>
      <c r="I46" s="1571">
        <f t="shared" si="16"/>
        <v>42917</v>
      </c>
      <c r="J46" s="1571">
        <f t="shared" si="16"/>
        <v>42887</v>
      </c>
      <c r="K46" s="1571">
        <f t="shared" si="16"/>
        <v>42856</v>
      </c>
      <c r="L46" s="1571">
        <f t="shared" si="16"/>
        <v>42826</v>
      </c>
      <c r="M46" s="1571">
        <f t="shared" si="16"/>
        <v>42795</v>
      </c>
      <c r="N46" s="1571">
        <f t="shared" si="16"/>
        <v>42767</v>
      </c>
      <c r="O46" s="1571">
        <f t="shared" si="16"/>
        <v>42736</v>
      </c>
      <c r="P46" s="505"/>
    </row>
    <row r="47" spans="1:29" s="116" customFormat="1" ht="15">
      <c r="A47" s="507"/>
      <c r="B47" s="508"/>
      <c r="C47" s="1569">
        <v>100</v>
      </c>
      <c r="D47" s="510"/>
      <c r="E47" s="510"/>
      <c r="F47" s="510"/>
      <c r="G47" s="510"/>
      <c r="H47" s="510"/>
      <c r="I47" s="510"/>
      <c r="J47" s="510"/>
      <c r="K47" s="510"/>
      <c r="L47" s="510"/>
      <c r="M47" s="511"/>
      <c r="N47" s="510"/>
      <c r="O47" s="512"/>
      <c r="P47" s="502"/>
    </row>
    <row r="48" spans="1:29" s="116" customFormat="1" ht="15.75" thickBot="1">
      <c r="A48" s="513" t="s">
        <v>2584</v>
      </c>
      <c r="B48" s="514"/>
      <c r="C48" s="515"/>
      <c r="D48" s="516"/>
      <c r="E48" s="516"/>
      <c r="F48" s="516"/>
      <c r="G48" s="516"/>
      <c r="H48" s="516"/>
      <c r="I48" s="516"/>
      <c r="J48" s="516"/>
      <c r="K48" s="516"/>
      <c r="L48" s="516"/>
      <c r="M48" s="517"/>
      <c r="N48" s="516"/>
      <c r="O48" s="518"/>
      <c r="P48" s="502"/>
      <c r="Q48" s="502"/>
    </row>
    <row r="49" spans="1:17" s="116" customFormat="1" ht="15">
      <c r="A49" s="519" t="s">
        <v>2549</v>
      </c>
      <c r="B49" s="508"/>
      <c r="C49" s="520" t="s">
        <v>2651</v>
      </c>
      <c r="D49" s="521"/>
      <c r="E49" s="521"/>
      <c r="F49" s="521"/>
      <c r="G49" s="521"/>
      <c r="H49" s="521"/>
      <c r="I49" s="521"/>
      <c r="J49" s="521"/>
      <c r="K49" s="521"/>
      <c r="L49" s="522"/>
      <c r="M49" s="523"/>
      <c r="N49" s="1146"/>
      <c r="O49" s="1146"/>
      <c r="P49" s="524"/>
      <c r="Q49" s="502"/>
    </row>
    <row r="50" spans="1:17" s="116"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2587</v>
      </c>
      <c r="B51" s="526" t="s">
        <v>2553</v>
      </c>
      <c r="C51" s="527">
        <f>C9</f>
        <v>0</v>
      </c>
      <c r="D51" s="528"/>
      <c r="E51" s="528"/>
      <c r="F51" s="528"/>
      <c r="G51" s="528"/>
      <c r="H51" s="528"/>
      <c r="I51" s="528"/>
      <c r="J51" s="528"/>
      <c r="K51" s="529"/>
      <c r="L51" s="530"/>
      <c r="M51" s="531"/>
      <c r="N51" s="1147"/>
      <c r="O51" s="1147"/>
      <c r="P51" s="44"/>
      <c r="Q51" s="502"/>
    </row>
    <row r="52" spans="1:17" ht="15.75" thickBot="1">
      <c r="A52" s="532"/>
      <c r="B52" s="533"/>
      <c r="C52" s="534">
        <v>100</v>
      </c>
      <c r="D52" s="534"/>
      <c r="E52" s="534"/>
      <c r="F52" s="534"/>
      <c r="G52" s="534"/>
      <c r="H52" s="534"/>
      <c r="I52" s="534"/>
      <c r="J52" s="534"/>
      <c r="K52" s="534"/>
      <c r="L52" s="534"/>
      <c r="M52" s="535"/>
      <c r="N52" s="1148"/>
      <c r="O52" s="1148"/>
      <c r="P52" s="44"/>
      <c r="Q52" s="502"/>
    </row>
    <row r="53" spans="1:17" ht="27.75" thickTop="1">
      <c r="A53" s="532"/>
      <c r="B53" s="536" t="s">
        <v>2556</v>
      </c>
      <c r="C53" s="537" t="s">
        <v>2588</v>
      </c>
      <c r="D53" s="537" t="s">
        <v>2589</v>
      </c>
      <c r="E53" s="537" t="s">
        <v>2590</v>
      </c>
      <c r="F53" s="537" t="s">
        <v>2591</v>
      </c>
      <c r="G53" s="537" t="s">
        <v>2592</v>
      </c>
      <c r="H53" s="537" t="s">
        <v>2593</v>
      </c>
      <c r="I53" s="537" t="s">
        <v>2594</v>
      </c>
      <c r="J53" s="537"/>
      <c r="K53" s="538"/>
      <c r="L53" s="539"/>
      <c r="M53" s="540"/>
      <c r="N53" s="1147"/>
      <c r="O53" s="1147"/>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4"/>
      <c r="Q54" s="502"/>
    </row>
    <row r="55" spans="1:17" ht="15.75" thickTop="1">
      <c r="A55" s="532"/>
      <c r="B55" s="658">
        <f>B11</f>
        <v>111</v>
      </c>
      <c r="C55" s="547"/>
      <c r="D55" s="547"/>
      <c r="E55" s="547"/>
      <c r="F55" s="547"/>
      <c r="G55" s="547"/>
      <c r="H55" s="547"/>
      <c r="I55" s="547"/>
      <c r="J55" s="547"/>
      <c r="K55" s="548"/>
      <c r="L55" s="549"/>
      <c r="M55" s="550"/>
      <c r="N55" s="1147"/>
      <c r="O55" s="1147"/>
      <c r="P55" s="44"/>
      <c r="Q55" s="502"/>
    </row>
    <row r="56" spans="1:17" ht="15.75" thickBot="1">
      <c r="A56" s="532"/>
      <c r="B56" s="533"/>
      <c r="C56" s="558"/>
      <c r="D56" s="534"/>
      <c r="E56" s="534"/>
      <c r="F56" s="534"/>
      <c r="G56" s="534"/>
      <c r="H56" s="534"/>
      <c r="I56" s="534"/>
      <c r="J56" s="534"/>
      <c r="K56" s="534"/>
      <c r="L56" s="534"/>
      <c r="M56" s="535"/>
      <c r="N56" s="1148"/>
      <c r="O56" s="1148"/>
      <c r="P56" s="44"/>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2558</v>
      </c>
      <c r="B61" s="526" t="s">
        <v>2601</v>
      </c>
      <c r="C61" s="571" t="s">
        <v>2596</v>
      </c>
      <c r="D61" s="571" t="s">
        <v>2597</v>
      </c>
      <c r="E61" s="571" t="s">
        <v>2598</v>
      </c>
      <c r="F61" s="571" t="s">
        <v>2599</v>
      </c>
      <c r="G61" s="571" t="s">
        <v>2600</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4"/>
      <c r="Q62" s="502"/>
    </row>
    <row r="63" spans="1:17" ht="27.75" thickTop="1">
      <c r="A63" s="532"/>
      <c r="B63" s="536" t="s">
        <v>2739</v>
      </c>
      <c r="C63" s="576" t="s">
        <v>2596</v>
      </c>
      <c r="D63" s="576" t="s">
        <v>2597</v>
      </c>
      <c r="E63" s="576" t="s">
        <v>2598</v>
      </c>
      <c r="F63" s="576" t="s">
        <v>2599</v>
      </c>
      <c r="G63" s="576" t="s">
        <v>2600</v>
      </c>
      <c r="H63" s="537"/>
      <c r="I63" s="537"/>
      <c r="J63" s="537"/>
      <c r="K63" s="538"/>
      <c r="L63" s="539"/>
      <c r="M63" s="540"/>
      <c r="N63" s="1147"/>
      <c r="O63" s="1147"/>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4"/>
      <c r="Q64" s="502"/>
    </row>
    <row r="65" spans="1:17" ht="15.75" thickTop="1">
      <c r="A65" s="532"/>
      <c r="B65" s="544" t="s">
        <v>2688</v>
      </c>
      <c r="C65" s="658" t="s">
        <v>2674</v>
      </c>
      <c r="D65" s="658" t="s">
        <v>2675</v>
      </c>
      <c r="E65" s="658" t="s">
        <v>2676</v>
      </c>
      <c r="F65" s="658" t="s">
        <v>2677</v>
      </c>
      <c r="G65" s="658" t="s">
        <v>2678</v>
      </c>
      <c r="H65" s="537"/>
      <c r="I65" s="537"/>
      <c r="J65" s="537"/>
      <c r="K65" s="537"/>
      <c r="L65" s="537"/>
      <c r="M65" s="1377"/>
      <c r="N65" s="1148"/>
      <c r="O65" s="1148"/>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8"/>
      <c r="O66" s="1148"/>
      <c r="P66" s="44"/>
      <c r="Q66" s="502"/>
    </row>
    <row r="67" spans="1:17" ht="15.75" thickTop="1">
      <c r="A67" s="532"/>
      <c r="B67" s="536" t="s">
        <v>2608</v>
      </c>
      <c r="C67" s="576" t="s">
        <v>2596</v>
      </c>
      <c r="D67" s="576" t="s">
        <v>2597</v>
      </c>
      <c r="E67" s="576" t="s">
        <v>2598</v>
      </c>
      <c r="F67" s="576" t="s">
        <v>2599</v>
      </c>
      <c r="G67" s="576" t="s">
        <v>2600</v>
      </c>
      <c r="H67" s="537"/>
      <c r="I67" s="537"/>
      <c r="J67" s="537"/>
      <c r="K67" s="538"/>
      <c r="L67" s="539"/>
      <c r="M67" s="540"/>
      <c r="N67" s="1147"/>
      <c r="O67" s="1147"/>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4"/>
      <c r="Q68" s="502"/>
    </row>
    <row r="69" spans="1:17" ht="15.75" thickTop="1">
      <c r="A69" s="532"/>
      <c r="B69" s="536" t="s">
        <v>2728</v>
      </c>
      <c r="C69" s="552"/>
      <c r="D69" s="552"/>
      <c r="E69" s="552"/>
      <c r="F69" s="552"/>
      <c r="G69" s="552"/>
      <c r="H69" s="581"/>
      <c r="I69" s="581"/>
      <c r="J69" s="581"/>
      <c r="K69" s="582"/>
      <c r="L69" s="583"/>
      <c r="M69" s="584"/>
      <c r="N69" s="1147"/>
      <c r="O69" s="1147"/>
      <c r="P69" s="44"/>
      <c r="Q69" s="502"/>
    </row>
    <row r="70" spans="1:17" ht="15.75" thickBot="1">
      <c r="A70" s="532"/>
      <c r="B70" s="541"/>
      <c r="C70" s="542">
        <v>100</v>
      </c>
      <c r="D70" s="542">
        <f>C70-$K22</f>
        <v>100</v>
      </c>
      <c r="E70" s="542"/>
      <c r="F70" s="542"/>
      <c r="G70" s="542"/>
      <c r="H70" s="542"/>
      <c r="I70" s="542"/>
      <c r="J70" s="542"/>
      <c r="K70" s="542"/>
      <c r="L70" s="542"/>
      <c r="M70" s="543"/>
      <c r="N70" s="1148"/>
      <c r="O70" s="1148"/>
      <c r="P70" s="44"/>
      <c r="Q70" s="502"/>
    </row>
    <row r="71" spans="1:17" s="116" customFormat="1" ht="15.75" thickTop="1">
      <c r="A71" s="577"/>
      <c r="B71" s="536">
        <f>B23</f>
        <v>111</v>
      </c>
      <c r="C71" s="547"/>
      <c r="D71" s="547"/>
      <c r="E71" s="547"/>
      <c r="F71" s="547"/>
      <c r="G71" s="552"/>
      <c r="H71" s="552"/>
      <c r="I71" s="552"/>
      <c r="J71" s="552"/>
      <c r="K71" s="552"/>
      <c r="L71" s="578"/>
      <c r="M71" s="579"/>
      <c r="N71" s="1146"/>
      <c r="O71" s="1146"/>
      <c r="P71" s="44"/>
      <c r="Q71" s="502"/>
    </row>
    <row r="72" spans="1:17" s="116" customFormat="1" ht="15.75" thickBot="1">
      <c r="A72" s="577"/>
      <c r="B72" s="541"/>
      <c r="C72" s="558"/>
      <c r="D72" s="534"/>
      <c r="E72" s="534"/>
      <c r="F72" s="534"/>
      <c r="G72" s="534"/>
      <c r="H72" s="534"/>
      <c r="I72" s="534"/>
      <c r="J72" s="534"/>
      <c r="K72" s="534"/>
      <c r="L72" s="534"/>
      <c r="M72" s="535"/>
      <c r="N72" s="1148"/>
      <c r="O72" s="1148"/>
      <c r="P72" s="44"/>
      <c r="Q72" s="502"/>
    </row>
    <row r="73" spans="1:17" s="116" customFormat="1" ht="15.75" thickTop="1">
      <c r="A73" s="577"/>
      <c r="B73" s="536">
        <f>B24</f>
        <v>111</v>
      </c>
      <c r="C73" s="547"/>
      <c r="D73" s="547"/>
      <c r="E73" s="547"/>
      <c r="F73" s="547"/>
      <c r="G73" s="552"/>
      <c r="H73" s="552"/>
      <c r="I73" s="552"/>
      <c r="J73" s="552"/>
      <c r="K73" s="552"/>
      <c r="L73" s="552"/>
      <c r="M73" s="579"/>
      <c r="N73" s="1146"/>
      <c r="O73" s="1146"/>
      <c r="P73" s="44"/>
      <c r="Q73" s="502"/>
    </row>
    <row r="74" spans="1:17" s="116" customFormat="1" ht="15.75" thickBot="1">
      <c r="A74" s="577"/>
      <c r="B74" s="541"/>
      <c r="C74" s="558"/>
      <c r="D74" s="534"/>
      <c r="E74" s="534"/>
      <c r="F74" s="534"/>
      <c r="G74" s="534"/>
      <c r="H74" s="534"/>
      <c r="I74" s="534"/>
      <c r="J74" s="534"/>
      <c r="K74" s="534"/>
      <c r="L74" s="534"/>
      <c r="M74" s="535"/>
      <c r="N74" s="1148"/>
      <c r="O74" s="1148"/>
      <c r="P74" s="44"/>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2562</v>
      </c>
      <c r="B77" s="526" t="s">
        <v>2615</v>
      </c>
      <c r="C77" s="552"/>
      <c r="D77" s="552"/>
      <c r="E77" s="528"/>
      <c r="F77" s="528"/>
      <c r="G77" s="528"/>
      <c r="H77" s="528"/>
      <c r="I77" s="528"/>
      <c r="J77" s="528"/>
      <c r="K77" s="529"/>
      <c r="L77" s="530"/>
      <c r="M77" s="531"/>
      <c r="N77" s="1147"/>
      <c r="O77" s="1147"/>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4"/>
      <c r="Q78" s="502"/>
    </row>
    <row r="79" spans="1:17" ht="15.75" thickTop="1">
      <c r="A79" s="532"/>
      <c r="B79" s="536" t="s">
        <v>2731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4"/>
      <c r="Q79" s="502"/>
    </row>
    <row r="80" spans="1:17" ht="15">
      <c r="A80" s="532"/>
      <c r="B80" s="544"/>
      <c r="C80" s="601">
        <v>0.5</v>
      </c>
      <c r="D80" s="601">
        <v>0.6</v>
      </c>
      <c r="E80" s="601">
        <v>0.7</v>
      </c>
      <c r="F80" s="601">
        <v>0.8</v>
      </c>
      <c r="G80" s="601">
        <v>0.9</v>
      </c>
      <c r="H80" s="601">
        <v>1.0001</v>
      </c>
      <c r="I80" s="658"/>
      <c r="J80" s="658"/>
      <c r="K80" s="666"/>
      <c r="L80" s="667"/>
      <c r="M80" s="668"/>
      <c r="N80" s="1146"/>
      <c r="O80" s="1146"/>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2732</v>
      </c>
      <c r="C82" s="552"/>
      <c r="D82" s="552"/>
      <c r="E82" s="581"/>
      <c r="F82" s="581"/>
      <c r="G82" s="581"/>
      <c r="H82" s="581"/>
      <c r="I82" s="581"/>
      <c r="J82" s="581"/>
      <c r="K82" s="582"/>
      <c r="L82" s="583"/>
      <c r="M82" s="584"/>
      <c r="N82" s="1147"/>
      <c r="O82" s="1147"/>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4"/>
      <c r="Q83" s="502"/>
    </row>
    <row r="84" spans="1:17" ht="15" thickTop="1">
      <c r="A84" s="597"/>
      <c r="B84" s="536" t="s">
        <v>2740</v>
      </c>
      <c r="C84" s="552"/>
      <c r="D84" s="552"/>
      <c r="E84" s="552"/>
      <c r="F84" s="552"/>
      <c r="G84" s="552"/>
      <c r="H84" s="552"/>
      <c r="I84" s="581"/>
      <c r="J84" s="581"/>
      <c r="K84" s="582"/>
      <c r="L84" s="583"/>
      <c r="M84" s="584"/>
      <c r="N84" s="1147"/>
      <c r="O84" s="1147"/>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4"/>
      <c r="Q85" s="502"/>
    </row>
    <row r="86" spans="1:17" ht="15" thickTop="1">
      <c r="A86" s="597"/>
      <c r="B86" s="544" t="s">
        <v>2741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4"/>
      <c r="Q86" s="502"/>
    </row>
    <row r="87" spans="1:17">
      <c r="A87" s="597"/>
      <c r="B87" s="544"/>
      <c r="C87" s="593"/>
      <c r="D87" s="593"/>
      <c r="E87" s="593"/>
      <c r="F87" s="593"/>
      <c r="G87" s="593"/>
      <c r="H87" s="593"/>
      <c r="I87" s="593"/>
      <c r="J87" s="594"/>
      <c r="K87" s="594"/>
      <c r="L87" s="595"/>
      <c r="M87" s="596"/>
      <c r="N87" s="1147"/>
      <c r="O87" s="1147"/>
      <c r="P87" s="44"/>
      <c r="Q87" s="502"/>
    </row>
    <row r="88" spans="1:17" ht="15.75" thickBot="1">
      <c r="A88" s="532"/>
      <c r="B88" s="541"/>
      <c r="C88" s="558"/>
      <c r="D88" s="534"/>
      <c r="E88" s="534"/>
      <c r="F88" s="534"/>
      <c r="G88" s="534"/>
      <c r="H88" s="534"/>
      <c r="I88" s="534"/>
      <c r="J88" s="534"/>
      <c r="K88" s="534"/>
      <c r="L88" s="534"/>
      <c r="M88" s="534"/>
      <c r="N88" s="1148"/>
      <c r="O88" s="1148"/>
      <c r="P88" s="44"/>
      <c r="Q88" s="502"/>
    </row>
    <row r="89" spans="1:17" s="469" customFormat="1" ht="15" thickTop="1">
      <c r="A89" s="591"/>
      <c r="B89" s="536" t="s">
        <v>2742</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4"/>
      <c r="Q91" s="502"/>
    </row>
    <row r="92" spans="1:17" ht="15.75" thickBot="1">
      <c r="A92" s="532"/>
      <c r="B92" s="541"/>
      <c r="C92" s="558"/>
      <c r="D92" s="534"/>
      <c r="E92" s="534"/>
      <c r="F92" s="534"/>
      <c r="G92" s="558"/>
      <c r="H92" s="560"/>
      <c r="I92" s="560"/>
      <c r="J92" s="560"/>
      <c r="K92" s="560"/>
      <c r="L92" s="560"/>
      <c r="M92" s="561"/>
      <c r="N92" s="1148"/>
      <c r="O92" s="1148"/>
      <c r="P92" s="44"/>
      <c r="Q92" s="502"/>
    </row>
    <row r="93" spans="1:17" ht="15" thickTop="1">
      <c r="A93" s="597"/>
      <c r="B93" s="536">
        <f>B33</f>
        <v>111</v>
      </c>
      <c r="C93" s="547"/>
      <c r="D93" s="547"/>
      <c r="E93" s="547"/>
      <c r="F93" s="547"/>
      <c r="G93" s="552"/>
      <c r="H93" s="553"/>
      <c r="I93" s="553"/>
      <c r="J93" s="553"/>
      <c r="K93" s="553"/>
      <c r="L93" s="554"/>
      <c r="M93" s="555"/>
      <c r="N93" s="1147"/>
      <c r="O93" s="1147"/>
      <c r="P93" s="44"/>
      <c r="Q93" s="502"/>
    </row>
    <row r="94" spans="1:17" ht="15.75" thickBot="1">
      <c r="A94" s="532"/>
      <c r="B94" s="541"/>
      <c r="C94" s="558"/>
      <c r="D94" s="534"/>
      <c r="E94" s="534"/>
      <c r="F94" s="534"/>
      <c r="G94" s="558"/>
      <c r="H94" s="560"/>
      <c r="I94" s="560"/>
      <c r="J94" s="560"/>
      <c r="K94" s="560"/>
      <c r="L94" s="560"/>
      <c r="M94" s="561"/>
      <c r="N94" s="1148"/>
      <c r="O94" s="1148"/>
      <c r="P94" s="44"/>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4"/>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2743</v>
      </c>
      <c r="B1" s="393"/>
      <c r="C1" s="394"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2329</v>
      </c>
      <c r="B2" s="669"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2331</v>
      </c>
      <c r="B3" s="607" t="e">
        <f>ROUND(IF(D3="",B2*10000/'数据-汇总表'!E3,B2*10000/D3),0)</f>
        <v>#DIV/0!</v>
      </c>
      <c r="C3" s="245" t="s">
        <v>2745</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2644</v>
      </c>
      <c r="B4" s="400"/>
      <c r="C4" s="3178" t="s">
        <v>2645</v>
      </c>
      <c r="D4" s="3179"/>
      <c r="E4" s="3180" t="s">
        <v>2646</v>
      </c>
      <c r="F4" s="3181"/>
      <c r="G4" s="3178" t="s">
        <v>2647</v>
      </c>
      <c r="H4" s="3179"/>
      <c r="I4" s="3178" t="s">
        <v>2648</v>
      </c>
      <c r="J4" s="3179"/>
      <c r="K4" s="608" t="s">
        <v>2649</v>
      </c>
      <c r="L4" s="1125"/>
      <c r="M4" s="1126"/>
      <c r="N4" s="1126"/>
      <c r="O4" s="1126"/>
      <c r="P4" s="3182" t="s">
        <v>2650</v>
      </c>
      <c r="Q4" s="3183"/>
      <c r="R4" s="3168" t="s">
        <v>2646</v>
      </c>
      <c r="S4" s="3169"/>
      <c r="T4" s="3168" t="s">
        <v>2647</v>
      </c>
      <c r="U4" s="3169"/>
      <c r="V4" s="3190" t="s">
        <v>2648</v>
      </c>
      <c r="W4" s="3190"/>
      <c r="X4" s="1809"/>
      <c r="Y4" s="3168" t="s">
        <v>2650</v>
      </c>
      <c r="Z4" s="3169"/>
      <c r="AA4" s="3163" t="s">
        <v>2646</v>
      </c>
      <c r="AB4" s="3164" t="s">
        <v>2647</v>
      </c>
      <c r="AC4" s="3163" t="s">
        <v>2648</v>
      </c>
    </row>
    <row r="5" spans="1:29" ht="15">
      <c r="A5" s="402"/>
      <c r="B5" s="403"/>
      <c r="C5" s="3248" t="s">
        <v>2541</v>
      </c>
      <c r="D5" s="3174"/>
      <c r="E5" s="3246" t="s">
        <v>2542</v>
      </c>
      <c r="F5" s="3247"/>
      <c r="G5" s="3248" t="s">
        <v>2543</v>
      </c>
      <c r="H5" s="3174"/>
      <c r="I5" s="3248" t="s">
        <v>2544</v>
      </c>
      <c r="J5" s="3174"/>
      <c r="K5" s="608"/>
      <c r="L5" s="1125"/>
      <c r="M5" s="1126"/>
      <c r="N5" s="1126"/>
      <c r="O5" s="1126"/>
      <c r="P5" s="3184"/>
      <c r="Q5" s="3185"/>
      <c r="R5" s="3170"/>
      <c r="S5" s="3171"/>
      <c r="T5" s="3170"/>
      <c r="U5" s="3171"/>
      <c r="V5" s="3190"/>
      <c r="W5" s="3190"/>
      <c r="X5" s="1809"/>
      <c r="Y5" s="3170"/>
      <c r="Z5" s="3171"/>
      <c r="AA5" s="3164"/>
      <c r="AB5" s="3164"/>
      <c r="AC5" s="3164"/>
    </row>
    <row r="6" spans="1:29" ht="15.75" thickBot="1">
      <c r="A6" s="404"/>
      <c r="B6" s="405"/>
      <c r="C6" s="3270" t="s">
        <v>2796</v>
      </c>
      <c r="D6" s="3271"/>
      <c r="E6" s="3272" t="s">
        <v>2796</v>
      </c>
      <c r="F6" s="3269"/>
      <c r="G6" s="3270" t="s">
        <v>2796</v>
      </c>
      <c r="H6" s="3271"/>
      <c r="I6" s="3270" t="s">
        <v>2796</v>
      </c>
      <c r="J6" s="3271"/>
      <c r="K6" s="608" t="s">
        <v>2546</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2547</v>
      </c>
      <c r="B7" s="407"/>
      <c r="C7" s="408">
        <f>'数据-取费表'!B2</f>
        <v>43126</v>
      </c>
      <c r="D7" s="409">
        <v>100</v>
      </c>
      <c r="E7" s="410"/>
      <c r="F7" s="411">
        <f>SUMIF(65:65,YEAR(E7)&amp;"-"&amp;INT((MONTH(E7)+2)/3),66:66)</f>
        <v>0</v>
      </c>
      <c r="G7" s="2687"/>
      <c r="H7" s="409">
        <f>SUMIF(65:65,YEAR(G7)&amp;"-"&amp;INT((MONTH(G7)+2)/3),66:66)</f>
        <v>0</v>
      </c>
      <c r="I7" s="2687"/>
      <c r="J7" s="409">
        <f>SUMIF(65:65,YEAR(I7)&amp;"-"&amp;INT((MONTH(I7)+2)/3),66:66)</f>
        <v>0</v>
      </c>
      <c r="K7" s="609"/>
      <c r="L7" s="1127"/>
      <c r="M7" s="1128"/>
      <c r="N7" s="1128"/>
      <c r="O7" s="1128"/>
      <c r="P7" s="3166" t="s">
        <v>2548</v>
      </c>
      <c r="Q7" s="3191"/>
      <c r="R7" s="767" t="s">
        <v>17</v>
      </c>
      <c r="S7" s="768">
        <f t="shared" ref="S7:S15" si="0">F7</f>
        <v>0</v>
      </c>
      <c r="T7" s="767" t="s">
        <v>17</v>
      </c>
      <c r="U7" s="768">
        <f t="shared" ref="U7:U15" si="1">H7</f>
        <v>0</v>
      </c>
      <c r="V7" s="767" t="s">
        <v>17</v>
      </c>
      <c r="W7" s="768">
        <f t="shared" ref="W7:W15" si="2">J7</f>
        <v>0</v>
      </c>
      <c r="X7" s="769"/>
      <c r="Y7" s="3166" t="s">
        <v>2548</v>
      </c>
      <c r="Z7" s="3167"/>
      <c r="AA7" s="770" t="e">
        <f>D7/F7</f>
        <v>#DIV/0!</v>
      </c>
      <c r="AB7" s="770" t="e">
        <f>D7/H7</f>
        <v>#DIV/0!</v>
      </c>
      <c r="AC7" s="770" t="e">
        <f>D7/J7</f>
        <v>#DIV/0!</v>
      </c>
    </row>
    <row r="8" spans="1:29" s="116" customFormat="1" ht="15.75" thickBot="1">
      <c r="A8" s="406" t="s">
        <v>2549</v>
      </c>
      <c r="B8" s="407"/>
      <c r="C8" s="412" t="s">
        <v>2550</v>
      </c>
      <c r="D8" s="409">
        <v>100</v>
      </c>
      <c r="E8" s="412"/>
      <c r="F8" s="411">
        <f>SUMIF(68:68,E8,69:69)-SUMIF(68:68,C8,69:69)+100</f>
        <v>0</v>
      </c>
      <c r="G8" s="412"/>
      <c r="H8" s="409">
        <f>SUMIF(68:68,G8,69:69)-SUMIF(68:68,C8,69:69)+100</f>
        <v>0</v>
      </c>
      <c r="I8" s="412"/>
      <c r="J8" s="409">
        <f>SUMIF(68:68,I8,69:69)-SUMIF(68:68,C8,69:69)+100</f>
        <v>0</v>
      </c>
      <c r="K8" s="609"/>
      <c r="L8" s="1127"/>
      <c r="M8" s="1128"/>
      <c r="N8" s="1128"/>
      <c r="O8" s="1128"/>
      <c r="P8" s="3166" t="s">
        <v>2551</v>
      </c>
      <c r="Q8" s="3167"/>
      <c r="R8" s="767" t="s">
        <v>17</v>
      </c>
      <c r="S8" s="768">
        <f t="shared" si="0"/>
        <v>0</v>
      </c>
      <c r="T8" s="767" t="s">
        <v>17</v>
      </c>
      <c r="U8" s="768">
        <f t="shared" si="1"/>
        <v>0</v>
      </c>
      <c r="V8" s="767" t="s">
        <v>17</v>
      </c>
      <c r="W8" s="768">
        <f t="shared" si="2"/>
        <v>0</v>
      </c>
      <c r="X8" s="769"/>
      <c r="Y8" s="3166" t="s">
        <v>2551</v>
      </c>
      <c r="Z8" s="3167"/>
      <c r="AA8" s="770" t="e">
        <f t="shared" ref="AA8:AA40" si="3">D8/F8</f>
        <v>#DIV/0!</v>
      </c>
      <c r="AB8" s="770" t="e">
        <f t="shared" ref="AB8:AB40" si="4">D8/H8</f>
        <v>#DIV/0!</v>
      </c>
      <c r="AC8" s="770" t="e">
        <f t="shared" ref="AC8:AC40" si="5">D8/J8</f>
        <v>#DIV/0!</v>
      </c>
    </row>
    <row r="9" spans="1:29" s="116" customFormat="1">
      <c r="A9" s="413" t="s">
        <v>2552</v>
      </c>
      <c r="B9" s="70" t="s">
        <v>2553</v>
      </c>
      <c r="C9" s="2690"/>
      <c r="D9" s="133">
        <v>100</v>
      </c>
      <c r="E9" s="2690"/>
      <c r="F9" s="133">
        <f>SUMIF(70:70,E9,71:71)-SUMIF(70:70,C9,71:71)+100</f>
        <v>100</v>
      </c>
      <c r="G9" s="2690"/>
      <c r="H9" s="133">
        <f>SUMIF(70:70,G9,71:71)-SUMIF(70:70,C9,71:71)+100</f>
        <v>100</v>
      </c>
      <c r="I9" s="2690"/>
      <c r="J9" s="133">
        <f>SUMIF(70:70,I9,71:71)-SUMIF(70:70,C9,71:71)+100</f>
        <v>100</v>
      </c>
      <c r="K9" s="609"/>
      <c r="L9" s="1127"/>
      <c r="M9" s="1128"/>
      <c r="N9" s="1128"/>
      <c r="O9" s="1129"/>
      <c r="P9" s="3177" t="s">
        <v>2554</v>
      </c>
      <c r="Q9" s="1791" t="str">
        <f t="shared" ref="Q9:Q15" si="6">B9</f>
        <v>用途</v>
      </c>
      <c r="R9" s="767" t="s">
        <v>17</v>
      </c>
      <c r="S9" s="768">
        <f t="shared" si="0"/>
        <v>100</v>
      </c>
      <c r="T9" s="767" t="s">
        <v>17</v>
      </c>
      <c r="U9" s="768">
        <f t="shared" si="1"/>
        <v>100</v>
      </c>
      <c r="V9" s="767" t="s">
        <v>17</v>
      </c>
      <c r="W9" s="768">
        <f t="shared" si="2"/>
        <v>100</v>
      </c>
      <c r="X9" s="769"/>
      <c r="Y9" s="3043" t="s">
        <v>2555</v>
      </c>
      <c r="Z9" s="54" t="str">
        <f t="shared" ref="Z9:Z15" si="7">Q9</f>
        <v>用途</v>
      </c>
      <c r="AA9" s="770">
        <f t="shared" si="3"/>
        <v>1</v>
      </c>
      <c r="AB9" s="770">
        <f t="shared" si="4"/>
        <v>1</v>
      </c>
      <c r="AC9" s="770">
        <f t="shared" si="5"/>
        <v>1</v>
      </c>
    </row>
    <row r="10" spans="1:29" s="425" customFormat="1" ht="27">
      <c r="A10" s="419"/>
      <c r="B10" s="420" t="s">
        <v>2556</v>
      </c>
      <c r="C10" s="430"/>
      <c r="D10" s="134">
        <v>100</v>
      </c>
      <c r="E10" s="430"/>
      <c r="F10" s="134">
        <f>ROUND(100/'数据-取费表'!G16,0)</f>
        <v>101</v>
      </c>
      <c r="G10" s="430"/>
      <c r="H10" s="134">
        <f>ROUND(100/'数据-取费表'!G16,0)</f>
        <v>101</v>
      </c>
      <c r="I10" s="430"/>
      <c r="J10" s="134">
        <f>ROUND(100/'数据-取费表'!G16,0)</f>
        <v>101</v>
      </c>
      <c r="K10" s="670"/>
      <c r="L10" s="1130"/>
      <c r="M10" s="1131"/>
      <c r="N10" s="1131"/>
      <c r="O10" s="1132"/>
      <c r="P10" s="3177"/>
      <c r="Q10" s="1791" t="str">
        <f t="shared" si="6"/>
        <v>土地使用年限（年）</v>
      </c>
      <c r="R10" s="767" t="s">
        <v>17</v>
      </c>
      <c r="S10" s="768">
        <f t="shared" si="0"/>
        <v>101</v>
      </c>
      <c r="T10" s="767" t="s">
        <v>17</v>
      </c>
      <c r="U10" s="768">
        <f t="shared" si="1"/>
        <v>101</v>
      </c>
      <c r="V10" s="767" t="s">
        <v>17</v>
      </c>
      <c r="W10" s="768">
        <f t="shared" si="2"/>
        <v>101</v>
      </c>
      <c r="X10" s="769"/>
      <c r="Y10" s="3043"/>
      <c r="Z10" s="54" t="str">
        <f t="shared" si="7"/>
        <v>土地使用年限（年）</v>
      </c>
      <c r="AA10" s="770">
        <f t="shared" si="3"/>
        <v>0.99009900990099009</v>
      </c>
      <c r="AB10" s="770">
        <f t="shared" si="4"/>
        <v>0.99009900990099009</v>
      </c>
      <c r="AC10" s="770">
        <f t="shared" si="5"/>
        <v>0.99009900990099009</v>
      </c>
    </row>
    <row r="11" spans="1:29" ht="15">
      <c r="A11" s="426"/>
      <c r="B11" s="420" t="s">
        <v>2557</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3"/>
      <c r="M11" s="1126"/>
      <c r="N11" s="1126"/>
      <c r="O11" s="1134"/>
      <c r="P11" s="3177"/>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770" t="e">
        <f t="shared" si="5"/>
        <v>#N/A</v>
      </c>
    </row>
    <row r="12" spans="1:29" s="116" customFormat="1" ht="15">
      <c r="A12" s="429"/>
      <c r="B12" s="2593">
        <v>111</v>
      </c>
      <c r="C12" s="430"/>
      <c r="D12" s="431">
        <v>100</v>
      </c>
      <c r="E12" s="547"/>
      <c r="F12" s="134">
        <f>SUMIF(77:77,E12,78:78)-SUMIF(77:77,C12,78:78)+100</f>
        <v>100</v>
      </c>
      <c r="G12" s="672"/>
      <c r="H12" s="134">
        <f>SUMIF(77:77,G12,78:78)-SUMIF(77:77,C12,78:78)+100</f>
        <v>100</v>
      </c>
      <c r="I12" s="547"/>
      <c r="J12" s="134">
        <f>SUMIF(77:77,I12,78:78)-SUMIF(77:77,C12,78:78)+100</f>
        <v>100</v>
      </c>
      <c r="K12" s="670"/>
      <c r="L12" s="1127"/>
      <c r="M12" s="1128"/>
      <c r="N12" s="1128"/>
      <c r="O12" s="1129"/>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
      <c r="A13" s="426"/>
      <c r="B13" s="2593">
        <v>111</v>
      </c>
      <c r="C13" s="432"/>
      <c r="D13" s="433">
        <v>100</v>
      </c>
      <c r="E13" s="547"/>
      <c r="F13" s="134">
        <f>SUMIF(79:79,E13,80:80)-SUMIF(79:79,C13,80:80)+100</f>
        <v>100</v>
      </c>
      <c r="G13" s="672"/>
      <c r="H13" s="433">
        <f>SUMIF(79:79,G13,80:80)-SUMIF(79:79,C13,80:80)+100</f>
        <v>100</v>
      </c>
      <c r="I13" s="547"/>
      <c r="J13" s="433">
        <f>SUMIF(79:79,I13,80:80)-SUMIF(79:79,C13,80:80)+100</f>
        <v>100</v>
      </c>
      <c r="K13" s="670"/>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5"/>
      <c r="M14" s="1126"/>
      <c r="N14" s="1126"/>
      <c r="O14" s="1134"/>
      <c r="P14" s="3177"/>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770">
        <f t="shared" si="5"/>
        <v>1</v>
      </c>
    </row>
    <row r="15" spans="1:29" ht="57">
      <c r="A15" s="438" t="s">
        <v>2558</v>
      </c>
      <c r="B15" s="627" t="s">
        <v>2797</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5"/>
      <c r="M15" s="1126"/>
      <c r="N15" s="1126"/>
      <c r="O15" s="1134"/>
      <c r="P15" s="3192" t="s">
        <v>2559</v>
      </c>
      <c r="Q15" s="1806" t="str">
        <f t="shared" si="6"/>
        <v>产业集聚程度</v>
      </c>
      <c r="R15" s="771" t="s">
        <v>17</v>
      </c>
      <c r="S15" s="772">
        <f t="shared" si="0"/>
        <v>100</v>
      </c>
      <c r="T15" s="771" t="s">
        <v>17</v>
      </c>
      <c r="U15" s="772">
        <f t="shared" si="1"/>
        <v>100</v>
      </c>
      <c r="V15" s="771" t="s">
        <v>17</v>
      </c>
      <c r="W15" s="772">
        <f t="shared" si="2"/>
        <v>100</v>
      </c>
      <c r="X15" s="1809"/>
      <c r="Y15" s="3192" t="s">
        <v>2559</v>
      </c>
      <c r="Z15" s="1810" t="str">
        <f t="shared" si="7"/>
        <v>产业集聚程度</v>
      </c>
      <c r="AA15" s="1807">
        <f t="shared" si="3"/>
        <v>1</v>
      </c>
      <c r="AB15" s="1807">
        <f t="shared" si="4"/>
        <v>1</v>
      </c>
      <c r="AC15" s="1807">
        <f t="shared" si="5"/>
        <v>1</v>
      </c>
    </row>
    <row r="16" spans="1:29" ht="15">
      <c r="A16" s="426"/>
      <c r="B16" s="628"/>
      <c r="C16" s="445"/>
      <c r="D16" s="446"/>
      <c r="E16" s="2604"/>
      <c r="F16" s="446"/>
      <c r="G16" s="2604"/>
      <c r="H16" s="448"/>
      <c r="I16" s="2604"/>
      <c r="J16" s="446"/>
      <c r="K16" s="670"/>
      <c r="L16" s="1135"/>
      <c r="M16" s="1126"/>
      <c r="N16" s="1126"/>
      <c r="O16" s="1134"/>
      <c r="P16" s="3193"/>
      <c r="Q16" s="1806"/>
      <c r="R16" s="771"/>
      <c r="S16" s="772"/>
      <c r="T16" s="771"/>
      <c r="U16" s="772"/>
      <c r="V16" s="771"/>
      <c r="W16" s="772"/>
      <c r="X16" s="1809"/>
      <c r="Y16" s="3193"/>
      <c r="Z16" s="1810"/>
      <c r="AA16" s="1807">
        <v>1</v>
      </c>
      <c r="AB16" s="1807">
        <v>1</v>
      </c>
      <c r="AC16" s="1807">
        <v>1</v>
      </c>
    </row>
    <row r="17" spans="1:29" ht="85.5">
      <c r="A17" s="426"/>
      <c r="B17" s="629" t="s">
        <v>2708</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5"/>
      <c r="M17" s="1126"/>
      <c r="N17" s="1126"/>
      <c r="O17" s="1134"/>
      <c r="P17" s="3193"/>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1807">
        <f t="shared" si="5"/>
        <v>1</v>
      </c>
    </row>
    <row r="18" spans="1:29" ht="15">
      <c r="A18" s="426"/>
      <c r="B18" s="630"/>
      <c r="C18" s="445"/>
      <c r="D18" s="446"/>
      <c r="E18" s="2598"/>
      <c r="F18" s="446"/>
      <c r="G18" s="2598"/>
      <c r="H18" s="446"/>
      <c r="I18" s="2597"/>
      <c r="J18" s="446"/>
      <c r="K18" s="670"/>
      <c r="L18" s="1135"/>
      <c r="M18" s="1126"/>
      <c r="N18" s="1126"/>
      <c r="O18" s="1134"/>
      <c r="P18" s="3193"/>
      <c r="Q18" s="1806"/>
      <c r="R18" s="771"/>
      <c r="S18" s="772"/>
      <c r="T18" s="771"/>
      <c r="U18" s="772"/>
      <c r="V18" s="771"/>
      <c r="W18" s="772"/>
      <c r="X18" s="1809"/>
      <c r="Y18" s="3193"/>
      <c r="Z18" s="1810"/>
      <c r="AA18" s="1807">
        <v>1</v>
      </c>
      <c r="AB18" s="1807">
        <v>1</v>
      </c>
      <c r="AC18" s="1807">
        <v>1</v>
      </c>
    </row>
    <row r="19" spans="1:29" ht="15">
      <c r="A19" s="426"/>
      <c r="B19" s="629" t="s">
        <v>2747</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5"/>
      <c r="M19" s="1126"/>
      <c r="N19" s="1126"/>
      <c r="O19" s="1134"/>
      <c r="P19" s="3193"/>
      <c r="Q19" s="1806" t="str">
        <f t="shared" ref="Q19:Q33" si="8">B19</f>
        <v>区域土地利用方向</v>
      </c>
      <c r="R19" s="771" t="s">
        <v>17</v>
      </c>
      <c r="S19" s="772">
        <f>F19</f>
        <v>100</v>
      </c>
      <c r="T19" s="771" t="s">
        <v>17</v>
      </c>
      <c r="U19" s="772">
        <f>H19</f>
        <v>100</v>
      </c>
      <c r="V19" s="771" t="s">
        <v>17</v>
      </c>
      <c r="W19" s="772">
        <f>J19</f>
        <v>100</v>
      </c>
      <c r="X19" s="1809"/>
      <c r="Y19" s="3193"/>
      <c r="Z19" s="1810" t="str">
        <f>Q19</f>
        <v>区域土地利用方向</v>
      </c>
      <c r="AA19" s="1807">
        <f t="shared" si="3"/>
        <v>1</v>
      </c>
      <c r="AB19" s="1807">
        <f t="shared" si="4"/>
        <v>1</v>
      </c>
      <c r="AC19" s="1807">
        <f t="shared" si="5"/>
        <v>1</v>
      </c>
    </row>
    <row r="20" spans="1:29" ht="15">
      <c r="A20" s="402"/>
      <c r="B20" s="630"/>
      <c r="C20" s="445"/>
      <c r="D20" s="446"/>
      <c r="E20" s="2598"/>
      <c r="F20" s="446"/>
      <c r="G20" s="2598"/>
      <c r="H20" s="446"/>
      <c r="I20" s="2598"/>
      <c r="J20" s="446"/>
      <c r="K20" s="804"/>
      <c r="L20" s="1135"/>
      <c r="M20" s="1126"/>
      <c r="N20" s="1126"/>
      <c r="O20" s="1134"/>
      <c r="P20" s="3193"/>
      <c r="Q20" s="1806"/>
      <c r="R20" s="771"/>
      <c r="S20" s="772"/>
      <c r="T20" s="771"/>
      <c r="U20" s="772"/>
      <c r="V20" s="771"/>
      <c r="W20" s="772"/>
      <c r="X20" s="1809"/>
      <c r="Y20" s="3193"/>
      <c r="Z20" s="1810"/>
      <c r="AA20" s="1807"/>
      <c r="AB20" s="1807"/>
      <c r="AC20" s="1807"/>
    </row>
    <row r="21" spans="1:29" ht="71.25">
      <c r="A21" s="402"/>
      <c r="B21" s="629" t="s">
        <v>2798</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5"/>
      <c r="M21" s="1126"/>
      <c r="N21" s="1126"/>
      <c r="O21" s="1134"/>
      <c r="P21" s="3193"/>
      <c r="Q21" s="1806" t="str">
        <f t="shared" si="8"/>
        <v>环境状况</v>
      </c>
      <c r="R21" s="771" t="s">
        <v>17</v>
      </c>
      <c r="S21" s="772">
        <f>F21</f>
        <v>100</v>
      </c>
      <c r="T21" s="771" t="s">
        <v>17</v>
      </c>
      <c r="U21" s="772">
        <f>H21</f>
        <v>100</v>
      </c>
      <c r="V21" s="771" t="s">
        <v>17</v>
      </c>
      <c r="W21" s="772">
        <f>J21</f>
        <v>100</v>
      </c>
      <c r="X21" s="1809"/>
      <c r="Y21" s="3193"/>
      <c r="Z21" s="1810" t="str">
        <f>Q21</f>
        <v>环境状况</v>
      </c>
      <c r="AA21" s="1807">
        <f t="shared" si="3"/>
        <v>1</v>
      </c>
      <c r="AB21" s="1807">
        <f t="shared" si="4"/>
        <v>1</v>
      </c>
      <c r="AC21" s="1807">
        <f t="shared" si="5"/>
        <v>1</v>
      </c>
    </row>
    <row r="22" spans="1:29" ht="15">
      <c r="A22" s="402"/>
      <c r="B22" s="630"/>
      <c r="C22" s="445"/>
      <c r="D22" s="446"/>
      <c r="E22" s="2604"/>
      <c r="F22" s="446"/>
      <c r="G22" s="2604"/>
      <c r="H22" s="446"/>
      <c r="I22" s="445"/>
      <c r="J22" s="446"/>
      <c r="K22" s="670"/>
      <c r="L22" s="1135"/>
      <c r="M22" s="1126"/>
      <c r="N22" s="1126"/>
      <c r="O22" s="1134"/>
      <c r="P22" s="3193"/>
      <c r="Q22" s="1806"/>
      <c r="R22" s="771"/>
      <c r="S22" s="772"/>
      <c r="T22" s="771"/>
      <c r="U22" s="772"/>
      <c r="V22" s="771"/>
      <c r="W22" s="772"/>
      <c r="X22" s="1809"/>
      <c r="Y22" s="3193"/>
      <c r="Z22" s="1810"/>
      <c r="AA22" s="1807">
        <v>1</v>
      </c>
      <c r="AB22" s="1807">
        <v>1</v>
      </c>
      <c r="AC22" s="1807">
        <v>1</v>
      </c>
    </row>
    <row r="23" spans="1:29" s="116" customFormat="1" ht="42.75">
      <c r="A23" s="647"/>
      <c r="B23" s="631" t="s">
        <v>2653</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7"/>
      <c r="M23" s="1128"/>
      <c r="N23" s="1128"/>
      <c r="O23" s="1129"/>
      <c r="P23" s="3193"/>
      <c r="Q23" s="1791" t="str">
        <f t="shared" si="8"/>
        <v>公共配套设施</v>
      </c>
      <c r="R23" s="767" t="s">
        <v>17</v>
      </c>
      <c r="S23" s="768">
        <f>F23</f>
        <v>100</v>
      </c>
      <c r="T23" s="767" t="s">
        <v>17</v>
      </c>
      <c r="U23" s="768">
        <f>H23</f>
        <v>100</v>
      </c>
      <c r="V23" s="767" t="s">
        <v>17</v>
      </c>
      <c r="W23" s="768">
        <f>J23</f>
        <v>100</v>
      </c>
      <c r="X23" s="769"/>
      <c r="Y23" s="3193"/>
      <c r="Z23" s="54" t="str">
        <f>Q23</f>
        <v>公共配套设施</v>
      </c>
      <c r="AA23" s="1807">
        <f>D23/F23</f>
        <v>1</v>
      </c>
      <c r="AB23" s="1807">
        <f>D23/H23</f>
        <v>1</v>
      </c>
      <c r="AC23" s="1807">
        <f>D23/J23</f>
        <v>1</v>
      </c>
    </row>
    <row r="24" spans="1:29" s="116" customFormat="1" ht="15">
      <c r="A24" s="647"/>
      <c r="B24" s="630"/>
      <c r="C24" s="2691"/>
      <c r="D24" s="446"/>
      <c r="E24" s="2604"/>
      <c r="F24" s="446"/>
      <c r="G24" s="2604"/>
      <c r="H24" s="446"/>
      <c r="I24" s="445"/>
      <c r="J24" s="446"/>
      <c r="K24" s="670"/>
      <c r="L24" s="1127"/>
      <c r="M24" s="1128"/>
      <c r="N24" s="1128"/>
      <c r="O24" s="1129"/>
      <c r="P24" s="3193"/>
      <c r="Q24" s="1791"/>
      <c r="R24" s="767"/>
      <c r="S24" s="768"/>
      <c r="T24" s="767"/>
      <c r="U24" s="768"/>
      <c r="V24" s="767"/>
      <c r="W24" s="768"/>
      <c r="X24" s="769"/>
      <c r="Y24" s="3193"/>
      <c r="Z24" s="54"/>
      <c r="AA24" s="770">
        <v>1</v>
      </c>
      <c r="AB24" s="770">
        <v>1</v>
      </c>
      <c r="AC24" s="770">
        <v>1</v>
      </c>
    </row>
    <row r="25" spans="1:29" s="116" customFormat="1" ht="28.5">
      <c r="A25" s="647"/>
      <c r="B25" s="631" t="s">
        <v>2654</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7"/>
      <c r="M25" s="1128"/>
      <c r="N25" s="1128"/>
      <c r="O25" s="1129"/>
      <c r="P25" s="3193"/>
      <c r="Q25" s="1791" t="str">
        <f t="shared" ref="Q25" si="9">B25</f>
        <v>基础设施水平</v>
      </c>
      <c r="R25" s="767" t="s">
        <v>17</v>
      </c>
      <c r="S25" s="768">
        <f>F25</f>
        <v>100</v>
      </c>
      <c r="T25" s="767" t="s">
        <v>17</v>
      </c>
      <c r="U25" s="768">
        <f>H25</f>
        <v>100</v>
      </c>
      <c r="V25" s="767" t="s">
        <v>17</v>
      </c>
      <c r="W25" s="768">
        <f>J25</f>
        <v>100</v>
      </c>
      <c r="X25" s="769"/>
      <c r="Y25" s="3193"/>
      <c r="Z25" s="54" t="str">
        <f>Q25</f>
        <v>基础设施水平</v>
      </c>
      <c r="AA25" s="1807">
        <f>D25/F25</f>
        <v>1</v>
      </c>
      <c r="AB25" s="1807">
        <f>D25/H25</f>
        <v>1</v>
      </c>
      <c r="AC25" s="1807">
        <f>D25/J25</f>
        <v>1</v>
      </c>
    </row>
    <row r="26" spans="1:29" s="116" customFormat="1" ht="15">
      <c r="A26" s="647"/>
      <c r="B26" s="630"/>
      <c r="C26" s="2691"/>
      <c r="D26" s="446"/>
      <c r="E26" s="2692"/>
      <c r="F26" s="446"/>
      <c r="G26" s="2692"/>
      <c r="H26" s="446"/>
      <c r="I26" s="2692"/>
      <c r="J26" s="446"/>
      <c r="K26" s="670"/>
      <c r="L26" s="1127"/>
      <c r="M26" s="1128"/>
      <c r="N26" s="1128"/>
      <c r="O26" s="1129"/>
      <c r="P26" s="3193"/>
      <c r="Q26" s="1791"/>
      <c r="R26" s="767"/>
      <c r="S26" s="768"/>
      <c r="T26" s="767"/>
      <c r="U26" s="768"/>
      <c r="V26" s="767"/>
      <c r="W26" s="768"/>
      <c r="X26" s="769"/>
      <c r="Y26" s="3193"/>
      <c r="Z26" s="54"/>
      <c r="AA26" s="770">
        <v>1</v>
      </c>
      <c r="AB26" s="770">
        <v>1</v>
      </c>
      <c r="AC26" s="770">
        <v>1</v>
      </c>
    </row>
    <row r="27" spans="1:29" ht="15">
      <c r="A27" s="426"/>
      <c r="B27" s="630" t="s">
        <v>2655</v>
      </c>
      <c r="C27" s="614"/>
      <c r="D27" s="433">
        <v>100</v>
      </c>
      <c r="E27" s="632"/>
      <c r="F27" s="433">
        <f>SUMIF(95:95,E27,96:96)-SUMIF(95:95,C27,96:96)+100</f>
        <v>100</v>
      </c>
      <c r="G27" s="632"/>
      <c r="H27" s="433">
        <f>SUMIF(95:95,G27,96:96)-SUMIF(95:95,C27,96:96)+100</f>
        <v>100</v>
      </c>
      <c r="I27" s="632"/>
      <c r="J27" s="433">
        <f>SUMIF(95:95,I27,96:96)-SUMIF(95:95,C27,96:96)+100</f>
        <v>100</v>
      </c>
      <c r="K27" s="671"/>
      <c r="L27" s="1135"/>
      <c r="M27" s="1126"/>
      <c r="N27" s="1126"/>
      <c r="O27" s="1134"/>
      <c r="P27" s="3193"/>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193"/>
      <c r="Z27" s="1810" t="str">
        <f t="shared" ref="Z27:Z40" si="13">Q27</f>
        <v>临街状况</v>
      </c>
      <c r="AA27" s="1807">
        <f t="shared" si="3"/>
        <v>1</v>
      </c>
      <c r="AB27" s="1807">
        <f t="shared" si="4"/>
        <v>1</v>
      </c>
      <c r="AC27" s="1807">
        <f t="shared" si="5"/>
        <v>1</v>
      </c>
    </row>
    <row r="28" spans="1:29" ht="27">
      <c r="A28" s="426"/>
      <c r="B28" s="631" t="s">
        <v>2690</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5"/>
      <c r="M28" s="1126"/>
      <c r="N28" s="1126"/>
      <c r="O28" s="1134"/>
      <c r="P28" s="3193"/>
      <c r="Q28" s="1806" t="str">
        <f t="shared" si="8"/>
        <v>毗邻道路的类型与等级</v>
      </c>
      <c r="R28" s="771" t="s">
        <v>17</v>
      </c>
      <c r="S28" s="772">
        <f t="shared" si="10"/>
        <v>100</v>
      </c>
      <c r="T28" s="771" t="s">
        <v>17</v>
      </c>
      <c r="U28" s="772">
        <f t="shared" si="11"/>
        <v>100</v>
      </c>
      <c r="V28" s="771" t="s">
        <v>17</v>
      </c>
      <c r="W28" s="772">
        <f t="shared" si="12"/>
        <v>100</v>
      </c>
      <c r="X28" s="1809"/>
      <c r="Y28" s="3193"/>
      <c r="Z28" s="1810" t="str">
        <f t="shared" si="13"/>
        <v>毗邻道路的类型与等级</v>
      </c>
      <c r="AA28" s="1807">
        <f t="shared" si="3"/>
        <v>1</v>
      </c>
      <c r="AB28" s="1807">
        <f t="shared" si="4"/>
        <v>1</v>
      </c>
      <c r="AC28" s="1807">
        <f t="shared" si="5"/>
        <v>1</v>
      </c>
    </row>
    <row r="29" spans="1:29" ht="15">
      <c r="A29" s="426"/>
      <c r="B29" s="630"/>
      <c r="C29" s="445"/>
      <c r="D29" s="446"/>
      <c r="E29" s="2604"/>
      <c r="F29" s="446"/>
      <c r="G29" s="2604"/>
      <c r="H29" s="446"/>
      <c r="I29" s="2604"/>
      <c r="J29" s="446"/>
      <c r="K29" s="611"/>
      <c r="L29" s="1135"/>
      <c r="M29" s="1126"/>
      <c r="N29" s="1126"/>
      <c r="O29" s="1134"/>
      <c r="P29" s="3193"/>
      <c r="Q29" s="1806"/>
      <c r="R29" s="771"/>
      <c r="S29" s="772"/>
      <c r="T29" s="771"/>
      <c r="U29" s="772"/>
      <c r="V29" s="771"/>
      <c r="W29" s="772"/>
      <c r="X29" s="1809"/>
      <c r="Y29" s="3193"/>
      <c r="Z29" s="1810"/>
      <c r="AA29" s="1807">
        <v>1</v>
      </c>
      <c r="AB29" s="1807">
        <v>1</v>
      </c>
      <c r="AC29" s="1807">
        <v>1</v>
      </c>
    </row>
    <row r="30" spans="1:29" ht="15">
      <c r="A30" s="426"/>
      <c r="B30" s="652" t="s">
        <v>2749</v>
      </c>
      <c r="C30" s="1384">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5"/>
      <c r="M30" s="1126"/>
      <c r="N30" s="1126"/>
      <c r="O30" s="1134"/>
      <c r="P30" s="3193"/>
      <c r="Q30" s="1806" t="str">
        <f t="shared" si="8"/>
        <v>土地级别</v>
      </c>
      <c r="R30" s="771" t="s">
        <v>17</v>
      </c>
      <c r="S30" s="772">
        <f t="shared" si="10"/>
        <v>100</v>
      </c>
      <c r="T30" s="771" t="s">
        <v>17</v>
      </c>
      <c r="U30" s="772">
        <f t="shared" si="11"/>
        <v>100</v>
      </c>
      <c r="V30" s="771" t="s">
        <v>17</v>
      </c>
      <c r="W30" s="772">
        <f t="shared" si="12"/>
        <v>100</v>
      </c>
      <c r="X30" s="1809"/>
      <c r="Y30" s="3193"/>
      <c r="Z30" s="1810" t="str">
        <f t="shared" si="13"/>
        <v>土地级别</v>
      </c>
      <c r="AA30" s="1807">
        <f t="shared" si="3"/>
        <v>1</v>
      </c>
      <c r="AB30" s="1807">
        <f t="shared" si="4"/>
        <v>1</v>
      </c>
      <c r="AC30" s="1807">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193"/>
      <c r="Q31" s="1806">
        <f t="shared" si="8"/>
        <v>111</v>
      </c>
      <c r="R31" s="771" t="s">
        <v>17</v>
      </c>
      <c r="S31" s="772">
        <f t="shared" si="10"/>
        <v>100</v>
      </c>
      <c r="T31" s="771" t="s">
        <v>17</v>
      </c>
      <c r="U31" s="772">
        <f t="shared" si="11"/>
        <v>100</v>
      </c>
      <c r="V31" s="771" t="s">
        <v>17</v>
      </c>
      <c r="W31" s="772">
        <f t="shared" si="12"/>
        <v>100</v>
      </c>
      <c r="X31" s="1809"/>
      <c r="Y31" s="3193"/>
      <c r="Z31" s="1810">
        <f t="shared" si="13"/>
        <v>111</v>
      </c>
      <c r="AA31" s="1807">
        <f t="shared" si="3"/>
        <v>1</v>
      </c>
      <c r="AB31" s="1807">
        <f t="shared" si="4"/>
        <v>1</v>
      </c>
      <c r="AC31" s="1807">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5"/>
      <c r="M32" s="1126"/>
      <c r="N32" s="1126"/>
      <c r="O32" s="1134"/>
      <c r="P32" s="3194" t="s">
        <v>2564</v>
      </c>
      <c r="Q32" s="1806">
        <f t="shared" si="8"/>
        <v>111</v>
      </c>
      <c r="R32" s="771" t="s">
        <v>17</v>
      </c>
      <c r="S32" s="772">
        <f t="shared" si="10"/>
        <v>100</v>
      </c>
      <c r="T32" s="771" t="s">
        <v>17</v>
      </c>
      <c r="U32" s="772">
        <f t="shared" si="11"/>
        <v>100</v>
      </c>
      <c r="V32" s="771" t="s">
        <v>17</v>
      </c>
      <c r="W32" s="772">
        <f t="shared" si="12"/>
        <v>100</v>
      </c>
      <c r="X32" s="1809"/>
      <c r="Y32" s="3195" t="s">
        <v>2564</v>
      </c>
      <c r="Z32" s="1810">
        <f t="shared" si="13"/>
        <v>111</v>
      </c>
      <c r="AA32" s="1807">
        <f t="shared" si="3"/>
        <v>1</v>
      </c>
      <c r="AB32" s="1807">
        <f t="shared" si="4"/>
        <v>1</v>
      </c>
      <c r="AC32" s="1807">
        <f t="shared" si="5"/>
        <v>1</v>
      </c>
    </row>
    <row r="33" spans="1:29" s="469" customFormat="1" ht="15.75"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3"/>
      <c r="M33" s="1136"/>
      <c r="N33" s="1136"/>
      <c r="O33" s="1137"/>
      <c r="P33" s="3195"/>
      <c r="Q33" s="1806">
        <f t="shared" si="8"/>
        <v>111</v>
      </c>
      <c r="R33" s="774" t="s">
        <v>17</v>
      </c>
      <c r="S33" s="775">
        <f t="shared" si="10"/>
        <v>100</v>
      </c>
      <c r="T33" s="774" t="s">
        <v>17</v>
      </c>
      <c r="U33" s="775">
        <f t="shared" si="11"/>
        <v>100</v>
      </c>
      <c r="V33" s="774" t="s">
        <v>17</v>
      </c>
      <c r="W33" s="775">
        <f t="shared" si="12"/>
        <v>100</v>
      </c>
      <c r="X33" s="776"/>
      <c r="Y33" s="3195"/>
      <c r="Z33" s="777">
        <f t="shared" si="13"/>
        <v>111</v>
      </c>
      <c r="AA33" s="1807">
        <f t="shared" si="3"/>
        <v>1</v>
      </c>
      <c r="AB33" s="1807">
        <f t="shared" si="4"/>
        <v>1</v>
      </c>
      <c r="AC33" s="1807">
        <f t="shared" si="5"/>
        <v>1</v>
      </c>
    </row>
    <row r="34" spans="1:29" ht="15">
      <c r="A34" s="438" t="s">
        <v>2562</v>
      </c>
      <c r="B34" s="454" t="s">
        <v>2750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5"/>
      <c r="M34" s="1126"/>
      <c r="N34" s="1126"/>
      <c r="O34" s="1134"/>
      <c r="P34" s="3195"/>
      <c r="Q34" s="1806" t="str">
        <f>B34</f>
        <v>宗地面积</v>
      </c>
      <c r="R34" s="771" t="s">
        <v>17</v>
      </c>
      <c r="S34" s="772" t="e">
        <f t="shared" si="10"/>
        <v>#N/A</v>
      </c>
      <c r="T34" s="771" t="s">
        <v>17</v>
      </c>
      <c r="U34" s="772" t="e">
        <f t="shared" si="11"/>
        <v>#N/A</v>
      </c>
      <c r="V34" s="771" t="s">
        <v>17</v>
      </c>
      <c r="W34" s="772" t="e">
        <f t="shared" si="12"/>
        <v>#N/A</v>
      </c>
      <c r="X34" s="1809"/>
      <c r="Y34" s="3195"/>
      <c r="Z34" s="1810" t="str">
        <f t="shared" si="13"/>
        <v>宗地面积</v>
      </c>
      <c r="AA34" s="1807" t="e">
        <f t="shared" si="3"/>
        <v>#N/A</v>
      </c>
      <c r="AB34" s="1807" t="e">
        <f t="shared" si="4"/>
        <v>#N/A</v>
      </c>
      <c r="AC34" s="1807" t="e">
        <f t="shared" si="5"/>
        <v>#N/A</v>
      </c>
    </row>
    <row r="35" spans="1:29" ht="15">
      <c r="A35" s="470"/>
      <c r="B35" s="420" t="s">
        <v>2751</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5"/>
      <c r="M35" s="1126"/>
      <c r="N35" s="1126"/>
      <c r="O35" s="1134"/>
      <c r="P35" s="3195"/>
      <c r="Q35" s="1806" t="str">
        <f t="shared" ref="Q35:Q40" si="14">B35</f>
        <v>宗地形状</v>
      </c>
      <c r="R35" s="771" t="s">
        <v>17</v>
      </c>
      <c r="S35" s="772">
        <f t="shared" si="10"/>
        <v>100</v>
      </c>
      <c r="T35" s="771" t="s">
        <v>17</v>
      </c>
      <c r="U35" s="772">
        <f t="shared" si="11"/>
        <v>100</v>
      </c>
      <c r="V35" s="771" t="s">
        <v>17</v>
      </c>
      <c r="W35" s="772">
        <f t="shared" si="12"/>
        <v>100</v>
      </c>
      <c r="X35" s="1809"/>
      <c r="Y35" s="3195"/>
      <c r="Z35" s="1810" t="str">
        <f t="shared" si="13"/>
        <v>宗地形状</v>
      </c>
      <c r="AA35" s="1807">
        <f t="shared" si="3"/>
        <v>1</v>
      </c>
      <c r="AB35" s="1807">
        <f t="shared" si="4"/>
        <v>1</v>
      </c>
      <c r="AC35" s="1807">
        <f t="shared" si="5"/>
        <v>1</v>
      </c>
    </row>
    <row r="36" spans="1:29" s="116" customFormat="1" ht="15">
      <c r="A36" s="471"/>
      <c r="B36" s="420" t="s">
        <v>2753</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27"/>
      <c r="M36" s="1128"/>
      <c r="N36" s="1128"/>
      <c r="O36" s="1129"/>
      <c r="P36" s="3195"/>
      <c r="Q36" s="1806" t="str">
        <f t="shared" si="14"/>
        <v>宗地开发程度</v>
      </c>
      <c r="R36" s="767" t="s">
        <v>17</v>
      </c>
      <c r="S36" s="768">
        <f t="shared" si="10"/>
        <v>100</v>
      </c>
      <c r="T36" s="767" t="s">
        <v>17</v>
      </c>
      <c r="U36" s="768">
        <f t="shared" si="11"/>
        <v>100</v>
      </c>
      <c r="V36" s="767" t="s">
        <v>17</v>
      </c>
      <c r="W36" s="768">
        <f t="shared" si="12"/>
        <v>100</v>
      </c>
      <c r="X36" s="769"/>
      <c r="Y36" s="3195"/>
      <c r="Z36" s="54" t="str">
        <f t="shared" si="13"/>
        <v>宗地开发程度</v>
      </c>
      <c r="AA36" s="770">
        <f t="shared" si="3"/>
        <v>1</v>
      </c>
      <c r="AB36" s="770">
        <f t="shared" si="4"/>
        <v>1</v>
      </c>
      <c r="AC36" s="770">
        <f t="shared" si="5"/>
        <v>1</v>
      </c>
    </row>
    <row r="37" spans="1:29" ht="15">
      <c r="A37" s="470"/>
      <c r="B37" s="420" t="s">
        <v>2754</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5"/>
      <c r="M37" s="1126"/>
      <c r="N37" s="1126"/>
      <c r="O37" s="1134"/>
      <c r="P37" s="3195" t="s">
        <v>2564</v>
      </c>
      <c r="Q37" s="1806" t="str">
        <f t="shared" si="14"/>
        <v>工程地质条件</v>
      </c>
      <c r="R37" s="771" t="s">
        <v>17</v>
      </c>
      <c r="S37" s="772">
        <f t="shared" si="10"/>
        <v>100</v>
      </c>
      <c r="T37" s="771" t="s">
        <v>17</v>
      </c>
      <c r="U37" s="772">
        <f t="shared" si="11"/>
        <v>100</v>
      </c>
      <c r="V37" s="771" t="s">
        <v>17</v>
      </c>
      <c r="W37" s="772">
        <f t="shared" si="12"/>
        <v>100</v>
      </c>
      <c r="X37" s="1809"/>
      <c r="Y37" s="3195" t="s">
        <v>2564</v>
      </c>
      <c r="Z37" s="1810" t="str">
        <f t="shared" si="13"/>
        <v>工程地质条件</v>
      </c>
      <c r="AA37" s="1807">
        <f t="shared" si="3"/>
        <v>1</v>
      </c>
      <c r="AB37" s="1807">
        <f t="shared" si="4"/>
        <v>1</v>
      </c>
      <c r="AC37" s="1807">
        <f t="shared" si="5"/>
        <v>1</v>
      </c>
    </row>
    <row r="38" spans="1:29" ht="15">
      <c r="A38" s="470"/>
      <c r="B38" s="1382">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5"/>
      <c r="M38" s="1126"/>
      <c r="N38" s="1126"/>
      <c r="O38" s="1134"/>
      <c r="P38" s="3195"/>
      <c r="Q38" s="1806">
        <f t="shared" si="14"/>
        <v>111</v>
      </c>
      <c r="R38" s="771" t="s">
        <v>17</v>
      </c>
      <c r="S38" s="772">
        <f t="shared" si="10"/>
        <v>100</v>
      </c>
      <c r="T38" s="771" t="s">
        <v>17</v>
      </c>
      <c r="U38" s="772">
        <f t="shared" si="11"/>
        <v>100</v>
      </c>
      <c r="V38" s="771" t="s">
        <v>17</v>
      </c>
      <c r="W38" s="772">
        <f t="shared" si="12"/>
        <v>100</v>
      </c>
      <c r="X38" s="1809"/>
      <c r="Y38" s="3195"/>
      <c r="Z38" s="1810">
        <f t="shared" si="13"/>
        <v>111</v>
      </c>
      <c r="AA38" s="1807">
        <f t="shared" si="3"/>
        <v>1</v>
      </c>
      <c r="AB38" s="1807">
        <f t="shared" si="4"/>
        <v>1</v>
      </c>
      <c r="AC38" s="1807">
        <f t="shared" si="5"/>
        <v>1</v>
      </c>
    </row>
    <row r="39" spans="1:29" ht="15">
      <c r="A39" s="470"/>
      <c r="B39" s="1382">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5"/>
      <c r="M39" s="1126"/>
      <c r="N39" s="1126"/>
      <c r="O39" s="1134"/>
      <c r="P39" s="3195"/>
      <c r="Q39" s="1806">
        <f t="shared" si="14"/>
        <v>111</v>
      </c>
      <c r="R39" s="771" t="s">
        <v>17</v>
      </c>
      <c r="S39" s="772">
        <f t="shared" si="10"/>
        <v>100</v>
      </c>
      <c r="T39" s="771" t="s">
        <v>17</v>
      </c>
      <c r="U39" s="772">
        <f t="shared" si="11"/>
        <v>100</v>
      </c>
      <c r="V39" s="771" t="s">
        <v>17</v>
      </c>
      <c r="W39" s="772">
        <f t="shared" si="12"/>
        <v>100</v>
      </c>
      <c r="X39" s="1809"/>
      <c r="Y39" s="3195"/>
      <c r="Z39" s="1810">
        <f t="shared" si="13"/>
        <v>111</v>
      </c>
      <c r="AA39" s="1807">
        <f t="shared" si="3"/>
        <v>1</v>
      </c>
      <c r="AB39" s="1807">
        <f t="shared" si="4"/>
        <v>1</v>
      </c>
      <c r="AC39" s="1807">
        <f t="shared" si="5"/>
        <v>1</v>
      </c>
    </row>
    <row r="40" spans="1:29" s="469" customFormat="1" ht="15.75" thickBot="1">
      <c r="A40" s="466"/>
      <c r="B40" s="1382">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3"/>
      <c r="M40" s="1136"/>
      <c r="N40" s="1136"/>
      <c r="O40" s="1137"/>
      <c r="P40" s="3195"/>
      <c r="Q40" s="1806">
        <f t="shared" si="14"/>
        <v>111</v>
      </c>
      <c r="R40" s="774" t="s">
        <v>17</v>
      </c>
      <c r="S40" s="775">
        <f t="shared" si="10"/>
        <v>100</v>
      </c>
      <c r="T40" s="774" t="s">
        <v>17</v>
      </c>
      <c r="U40" s="775">
        <f t="shared" si="11"/>
        <v>100</v>
      </c>
      <c r="V40" s="774" t="s">
        <v>17</v>
      </c>
      <c r="W40" s="775">
        <f t="shared" si="12"/>
        <v>100</v>
      </c>
      <c r="X40" s="776"/>
      <c r="Y40" s="3195"/>
      <c r="Z40" s="777">
        <f t="shared" si="13"/>
        <v>111</v>
      </c>
      <c r="AA40" s="1807">
        <f t="shared" si="3"/>
        <v>1</v>
      </c>
      <c r="AB40" s="1807">
        <f t="shared" si="4"/>
        <v>1</v>
      </c>
      <c r="AC40" s="1807">
        <f t="shared" si="5"/>
        <v>1</v>
      </c>
    </row>
    <row r="41" spans="1:29" ht="15">
      <c r="A41" s="477" t="s">
        <v>2719</v>
      </c>
      <c r="B41" s="2695" t="s">
        <v>2799</v>
      </c>
      <c r="C41" s="680" t="s">
        <v>1</v>
      </c>
      <c r="D41" s="479"/>
      <c r="E41" s="480"/>
      <c r="F41" s="481"/>
      <c r="G41" s="482"/>
      <c r="H41" s="483"/>
      <c r="I41" s="480"/>
      <c r="J41" s="483"/>
      <c r="K41" s="780"/>
      <c r="L41" s="1138"/>
      <c r="M41" s="1126"/>
      <c r="N41" s="1126"/>
      <c r="O41" s="1139"/>
      <c r="P41" s="3177" t="str">
        <f>A41</f>
        <v>成交单价</v>
      </c>
      <c r="Q41" s="3177"/>
      <c r="R41" s="3190">
        <f>E41</f>
        <v>0</v>
      </c>
      <c r="S41" s="3190"/>
      <c r="T41" s="3190">
        <f>G41</f>
        <v>0</v>
      </c>
      <c r="U41" s="3190"/>
      <c r="V41" s="3190">
        <f>I41</f>
        <v>0</v>
      </c>
      <c r="W41" s="3190"/>
      <c r="X41" s="756"/>
      <c r="Y41" s="778"/>
      <c r="Z41" s="756"/>
      <c r="AA41" s="756"/>
      <c r="AB41" s="756"/>
      <c r="AC41" s="756"/>
    </row>
    <row r="42" spans="1:29" ht="15.75" thickBot="1">
      <c r="A42" s="484" t="s">
        <v>2668</v>
      </c>
      <c r="B42" s="681"/>
      <c r="C42" s="488" t="e">
        <f>R43</f>
        <v>#DIV/0!</v>
      </c>
      <c r="D42" s="487"/>
      <c r="E42" s="488" t="e">
        <f>R42</f>
        <v>#DIV/0!</v>
      </c>
      <c r="F42" s="489"/>
      <c r="G42" s="486" t="e">
        <f>T42</f>
        <v>#DIV/0!</v>
      </c>
      <c r="H42" s="487"/>
      <c r="I42" s="488" t="e">
        <f>V42</f>
        <v>#DIV/0!</v>
      </c>
      <c r="J42" s="487"/>
      <c r="K42" s="781"/>
      <c r="L42" s="1138"/>
      <c r="M42" s="1126"/>
      <c r="N42" s="1126"/>
      <c r="O42" s="1139"/>
      <c r="P42" s="3177" t="str">
        <f>A42</f>
        <v>比较价值（元/平方米）</v>
      </c>
      <c r="Q42" s="3177"/>
      <c r="R42" s="3196" t="e">
        <f>ROUND(PRODUCT(R41,AA7:AA40),0)</f>
        <v>#DIV/0!</v>
      </c>
      <c r="S42" s="3196"/>
      <c r="T42" s="3196" t="e">
        <f>ROUND(PRODUCT(T41,AB7:AB40),0)</f>
        <v>#DIV/0!</v>
      </c>
      <c r="U42" s="3196"/>
      <c r="V42" s="3196" t="e">
        <f>ROUND(PRODUCT(V41,AC7:AC40),0)</f>
        <v>#DIV/0!</v>
      </c>
      <c r="W42" s="3196"/>
      <c r="X42" s="756"/>
      <c r="Y42" s="756"/>
      <c r="Z42" s="756"/>
      <c r="AA42" s="756"/>
      <c r="AB42" s="756"/>
      <c r="AC42" s="756"/>
    </row>
    <row r="43" spans="1:29" ht="15.75" thickBot="1">
      <c r="A43" s="490" t="s">
        <v>2669</v>
      </c>
      <c r="B43" s="491"/>
      <c r="C43" s="492" t="e">
        <f>R43</f>
        <v>#DIV/0!</v>
      </c>
      <c r="D43" s="492"/>
      <c r="E43" s="492"/>
      <c r="F43" s="492"/>
      <c r="G43" s="492"/>
      <c r="H43" s="492"/>
      <c r="I43" s="492"/>
      <c r="J43" s="492"/>
      <c r="K43" s="782"/>
      <c r="L43" s="1138"/>
      <c r="M43" s="1126"/>
      <c r="N43" s="1126"/>
      <c r="O43" s="1139"/>
      <c r="P43" s="3197" t="str">
        <f>A43</f>
        <v>估价对象XX用房的比较价值（楼面单价，元/平方米）</v>
      </c>
      <c r="Q43" s="3198"/>
      <c r="R43" s="3199" t="e">
        <f>ROUND(AVERAGE(R42:V42),0)</f>
        <v>#DIV/0!</v>
      </c>
      <c r="S43" s="3199"/>
      <c r="T43" s="3199"/>
      <c r="U43" s="3199"/>
      <c r="V43" s="3199"/>
      <c r="W43" s="3199"/>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2670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6"/>
      <c r="N46" s="1126"/>
      <c r="O46" s="1139"/>
    </row>
    <row r="47" spans="1:29" ht="13.5" customHeight="1">
      <c r="A47" s="1139"/>
      <c r="B47" s="1139"/>
      <c r="C47" s="495" t="s">
        <v>2671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ht="15" thickBot="1">
      <c r="A49" s="1140"/>
      <c r="B49" s="1141"/>
      <c r="C49" s="759"/>
      <c r="D49" s="757"/>
      <c r="E49" s="757"/>
      <c r="F49" s="757"/>
      <c r="G49" s="757"/>
      <c r="H49" s="757"/>
      <c r="I49" s="757"/>
      <c r="J49" s="757"/>
      <c r="K49" s="1143"/>
      <c r="L49" s="1144"/>
      <c r="M49" s="1140"/>
      <c r="N49" s="1140"/>
      <c r="O49" s="1140"/>
    </row>
    <row r="50" spans="1:17" ht="27">
      <c r="A50" s="682" t="s">
        <v>2757</v>
      </c>
      <c r="B50" s="683" t="s">
        <v>2758</v>
      </c>
      <c r="C50" s="2696" t="s">
        <v>2759</v>
      </c>
      <c r="D50" s="2697" t="s">
        <v>2760</v>
      </c>
      <c r="E50" s="684" t="s">
        <v>2761</v>
      </c>
      <c r="F50" s="685" t="s">
        <v>2762</v>
      </c>
      <c r="G50" s="3178" t="s">
        <v>2763</v>
      </c>
      <c r="H50" s="3200"/>
      <c r="I50" s="1810" t="s">
        <v>2800</v>
      </c>
      <c r="J50" s="1810">
        <f>项目基本情况!F35</f>
        <v>0</v>
      </c>
      <c r="K50" s="2699" t="s">
        <v>2765</v>
      </c>
      <c r="L50" s="1101"/>
      <c r="M50" s="1139"/>
      <c r="N50" s="1139"/>
      <c r="O50" s="1139"/>
    </row>
    <row r="51" spans="1:17" s="690" customFormat="1">
      <c r="A51" s="686" t="s">
        <v>2766</v>
      </c>
      <c r="B51" s="687" t="e">
        <f>C43</f>
        <v>#DIV/0!</v>
      </c>
      <c r="C51" s="688">
        <v>1</v>
      </c>
      <c r="D51" s="1158">
        <v>1</v>
      </c>
      <c r="E51" s="688">
        <f>'数据-汇总表'!E8+'数据-汇总表'!E9</f>
        <v>106262.38999999998</v>
      </c>
      <c r="F51" s="689" t="e">
        <f t="shared" ref="F51:F60" si="15">ROUND(B51*E51/10000,0)</f>
        <v>#DIV/0!</v>
      </c>
      <c r="G51" s="3201"/>
      <c r="H51" s="3177"/>
      <c r="I51" s="937">
        <v>1</v>
      </c>
      <c r="J51" s="937">
        <v>1</v>
      </c>
      <c r="K51" s="1140"/>
      <c r="L51" s="936"/>
      <c r="M51" s="936"/>
      <c r="N51" s="936"/>
      <c r="O51" s="936"/>
    </row>
    <row r="52" spans="1:17" s="690" customFormat="1">
      <c r="A52" s="691" t="s">
        <v>2767</v>
      </c>
      <c r="B52" s="260" t="e">
        <f>ROUND($C$43*C52*D52,0)</f>
        <v>#DIV/0!</v>
      </c>
      <c r="C52" s="198">
        <f t="shared" ref="C52:C60" si="16">IF($C$50="北京市系数",I52,J52)</f>
        <v>0.7</v>
      </c>
      <c r="D52" s="1159">
        <v>0.25</v>
      </c>
      <c r="E52" s="692"/>
      <c r="F52" s="689" t="e">
        <f t="shared" si="15"/>
        <v>#DIV/0!</v>
      </c>
      <c r="G52" s="3202" t="s">
        <v>2768</v>
      </c>
      <c r="H52" s="1099" t="str">
        <f>项目基本情况!B37</f>
        <v>七级</v>
      </c>
      <c r="I52" s="937">
        <f>SUMIF(修正!A45:A56,H52,修正!B45:B56)</f>
        <v>0.7</v>
      </c>
      <c r="J52" s="938"/>
      <c r="K52" s="1139"/>
      <c r="L52" s="936"/>
      <c r="M52" s="936"/>
      <c r="N52" s="936"/>
      <c r="O52" s="936"/>
    </row>
    <row r="53" spans="1:17" s="690" customFormat="1">
      <c r="A53" s="691" t="s">
        <v>2769</v>
      </c>
      <c r="B53" s="260" t="e">
        <f t="shared" ref="B53:B60" si="17">ROUND($C$43*C53*D53,0)</f>
        <v>#DIV/0!</v>
      </c>
      <c r="C53" s="198">
        <f t="shared" si="16"/>
        <v>0.4</v>
      </c>
      <c r="D53" s="1159">
        <v>0.25</v>
      </c>
      <c r="E53" s="692"/>
      <c r="F53" s="689" t="e">
        <f t="shared" si="15"/>
        <v>#DIV/0!</v>
      </c>
      <c r="G53" s="3202"/>
      <c r="H53" s="1099" t="str">
        <f>项目基本情况!B37</f>
        <v>七级</v>
      </c>
      <c r="I53" s="937">
        <f>SUMIF(修正!A45:A56,H53,修正!C45:C56)</f>
        <v>0.4</v>
      </c>
      <c r="J53" s="938"/>
      <c r="K53" s="1140"/>
      <c r="L53" s="936"/>
      <c r="M53" s="936"/>
      <c r="N53" s="936"/>
      <c r="O53" s="936"/>
    </row>
    <row r="54" spans="1:17" s="690" customFormat="1">
      <c r="A54" s="691" t="s">
        <v>2770</v>
      </c>
      <c r="B54" s="260" t="e">
        <f t="shared" si="17"/>
        <v>#DIV/0!</v>
      </c>
      <c r="C54" s="198">
        <f t="shared" si="16"/>
        <v>0.28000000000000003</v>
      </c>
      <c r="D54" s="1159">
        <v>0.25</v>
      </c>
      <c r="E54" s="692"/>
      <c r="F54" s="689" t="e">
        <f t="shared" si="15"/>
        <v>#DIV/0!</v>
      </c>
      <c r="G54" s="3202"/>
      <c r="H54" s="1099" t="str">
        <f>项目基本情况!B37</f>
        <v>七级</v>
      </c>
      <c r="I54" s="937">
        <f>SUMIF(修正!A45:A56,H54,修正!D45:D56)</f>
        <v>0.28000000000000003</v>
      </c>
      <c r="J54" s="938"/>
      <c r="K54" s="1139"/>
      <c r="L54" s="936"/>
      <c r="M54" s="936"/>
      <c r="N54" s="936"/>
      <c r="O54" s="936"/>
    </row>
    <row r="55" spans="1:17" s="690" customFormat="1">
      <c r="A55" s="691" t="s">
        <v>2771</v>
      </c>
      <c r="B55" s="260" t="e">
        <f t="shared" si="17"/>
        <v>#DIV/0!</v>
      </c>
      <c r="C55" s="198">
        <f t="shared" si="16"/>
        <v>0.25</v>
      </c>
      <c r="D55" s="1159">
        <v>0.25</v>
      </c>
      <c r="E55" s="692"/>
      <c r="F55" s="689" t="e">
        <f t="shared" si="15"/>
        <v>#DIV/0!</v>
      </c>
      <c r="G55" s="3202"/>
      <c r="H55" s="1099" t="str">
        <f>项目基本情况!B37</f>
        <v>七级</v>
      </c>
      <c r="I55" s="937">
        <f>SUMIF(修正!A45:A56,H55,修正!E45:E56)</f>
        <v>0.25</v>
      </c>
      <c r="J55" s="938"/>
      <c r="K55" s="1140"/>
      <c r="L55" s="936"/>
      <c r="M55" s="936"/>
      <c r="N55" s="936"/>
      <c r="O55" s="936"/>
    </row>
    <row r="56" spans="1:17" s="690" customFormat="1">
      <c r="A56" s="691" t="s">
        <v>2772</v>
      </c>
      <c r="B56" s="260" t="e">
        <f t="shared" si="17"/>
        <v>#DIV/0!</v>
      </c>
      <c r="C56" s="198">
        <f t="shared" si="16"/>
        <v>0.25</v>
      </c>
      <c r="D56" s="1159">
        <v>0.25</v>
      </c>
      <c r="E56" s="259">
        <f>'数据-汇总表'!E11</f>
        <v>50</v>
      </c>
      <c r="F56" s="689" t="e">
        <f t="shared" si="15"/>
        <v>#DIV/0!</v>
      </c>
      <c r="G56" s="2700" t="s">
        <v>2773</v>
      </c>
      <c r="H56" s="1099" t="str">
        <f>项目基本情况!C37</f>
        <v>七级</v>
      </c>
      <c r="I56" s="937">
        <f>SUMIF(修正!A45:A56,H56,修正!F45:F56)</f>
        <v>0.25</v>
      </c>
      <c r="J56" s="938"/>
      <c r="K56" s="1139"/>
      <c r="L56" s="936"/>
      <c r="M56" s="936"/>
      <c r="N56" s="936"/>
      <c r="O56" s="936"/>
    </row>
    <row r="57" spans="1:17" s="690" customFormat="1">
      <c r="A57" s="691" t="s">
        <v>2774</v>
      </c>
      <c r="B57" s="260" t="e">
        <f t="shared" si="17"/>
        <v>#DIV/0!</v>
      </c>
      <c r="C57" s="198">
        <f t="shared" si="16"/>
        <v>0.25</v>
      </c>
      <c r="D57" s="1159">
        <v>0.25</v>
      </c>
      <c r="E57" s="259">
        <f>'数据-汇总表'!E12</f>
        <v>2256.4499999999998</v>
      </c>
      <c r="F57" s="689" t="e">
        <f t="shared" si="15"/>
        <v>#DIV/0!</v>
      </c>
      <c r="G57" s="1104" t="s">
        <v>2775</v>
      </c>
      <c r="H57" s="1099" t="str">
        <f>IF(G57="商业",项目基本情况!B37,IF(G57="办公",项目基本情况!C37,IF(G57="住宅",项目基本情况!D37,项目基本情况!E37)))</f>
        <v>七级</v>
      </c>
      <c r="I57" s="937">
        <f>SUMIF(修正!A45:A56,H57,修正!G45:G56)</f>
        <v>0.25</v>
      </c>
      <c r="J57" s="938"/>
      <c r="K57" s="1140"/>
      <c r="L57" s="936"/>
      <c r="M57" s="936"/>
      <c r="N57" s="936"/>
      <c r="O57" s="936"/>
    </row>
    <row r="58" spans="1:17" s="690" customFormat="1">
      <c r="A58" s="691" t="s">
        <v>2776</v>
      </c>
      <c r="B58" s="260" t="e">
        <f t="shared" si="17"/>
        <v>#DIV/0!</v>
      </c>
      <c r="C58" s="198">
        <f t="shared" si="16"/>
        <v>0.2</v>
      </c>
      <c r="D58" s="1159">
        <v>0.25</v>
      </c>
      <c r="E58" s="259">
        <f>'数据-汇总表'!E13</f>
        <v>20003</v>
      </c>
      <c r="F58" s="689" t="e">
        <f t="shared" si="15"/>
        <v>#DIV/0!</v>
      </c>
      <c r="G58" s="1104" t="s">
        <v>2777</v>
      </c>
      <c r="H58" s="1099" t="str">
        <f>IF(G58="商业",项目基本情况!B37,IF(G58="办公",项目基本情况!C37,IF(G58="住宅",项目基本情况!D37,项目基本情况!E37)))</f>
        <v>七级</v>
      </c>
      <c r="I58" s="937">
        <f>SUMIF(修正!A45:A56,H58,修正!H45:H56)</f>
        <v>0.2</v>
      </c>
      <c r="J58" s="938"/>
      <c r="K58" s="1139"/>
      <c r="L58" s="936"/>
      <c r="M58" s="936"/>
      <c r="N58" s="936"/>
      <c r="O58" s="936"/>
    </row>
    <row r="59" spans="1:17" s="690" customFormat="1">
      <c r="A59" s="691" t="s">
        <v>2778</v>
      </c>
      <c r="B59" s="260" t="e">
        <f t="shared" si="17"/>
        <v>#DIV/0!</v>
      </c>
      <c r="C59" s="198">
        <f t="shared" si="16"/>
        <v>0.2</v>
      </c>
      <c r="D59" s="1159">
        <v>0.25</v>
      </c>
      <c r="E59" s="259">
        <f>'数据-汇总表'!E14</f>
        <v>0</v>
      </c>
      <c r="F59" s="689" t="e">
        <f t="shared" si="15"/>
        <v>#DIV/0!</v>
      </c>
      <c r="G59" s="2700" t="s">
        <v>2768</v>
      </c>
      <c r="H59" s="1099" t="str">
        <f>项目基本情况!B37</f>
        <v>七级</v>
      </c>
      <c r="I59" s="937">
        <f>SUMIF(修正!A45:A56,H59,修正!H45:H56)</f>
        <v>0.2</v>
      </c>
      <c r="J59" s="938"/>
      <c r="K59" s="1140"/>
      <c r="L59" s="936"/>
      <c r="M59" s="936"/>
      <c r="N59" s="936"/>
      <c r="O59" s="936"/>
    </row>
    <row r="60" spans="1:17" s="690" customFormat="1" ht="15" thickBot="1">
      <c r="A60" s="691" t="s">
        <v>2779</v>
      </c>
      <c r="B60" s="260" t="e">
        <f t="shared" si="17"/>
        <v>#DIV/0!</v>
      </c>
      <c r="C60" s="198">
        <f t="shared" si="16"/>
        <v>0.2</v>
      </c>
      <c r="D60" s="1159">
        <v>0.25</v>
      </c>
      <c r="E60" s="259">
        <f>'数据-汇总表'!E15</f>
        <v>0</v>
      </c>
      <c r="F60" s="689" t="e">
        <f t="shared" si="15"/>
        <v>#DIV/0!</v>
      </c>
      <c r="G60" s="2701" t="s">
        <v>2773</v>
      </c>
      <c r="H60" s="1109" t="str">
        <f>项目基本情况!C37</f>
        <v>七级</v>
      </c>
      <c r="I60" s="937">
        <f>SUMIF(修正!A45:A56,H60,修正!H45:H56)</f>
        <v>0.2</v>
      </c>
      <c r="J60" s="938"/>
      <c r="K60" s="1139"/>
      <c r="L60" s="936"/>
      <c r="M60" s="936"/>
      <c r="N60" s="936"/>
      <c r="O60" s="936"/>
    </row>
    <row r="61" spans="1:17" s="690" customFormat="1" ht="15" thickBot="1">
      <c r="A61" s="693" t="s">
        <v>2780</v>
      </c>
      <c r="B61" s="694" t="s">
        <v>28</v>
      </c>
      <c r="C61" s="694" t="s">
        <v>29</v>
      </c>
      <c r="D61" s="694" t="s">
        <v>1029</v>
      </c>
      <c r="E61" s="694">
        <f>IF(B41="楼面地价",SUM(E51:E60),'数据-汇总表'!D3)</f>
        <v>35880.089999999997</v>
      </c>
      <c r="F61" s="695"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2673</v>
      </c>
      <c r="B64" s="756"/>
      <c r="C64" s="761"/>
      <c r="D64" s="761"/>
      <c r="E64" s="761"/>
      <c r="F64" s="762"/>
      <c r="G64" s="762"/>
      <c r="H64" s="761"/>
      <c r="I64" s="761"/>
      <c r="J64" s="761"/>
      <c r="K64" s="763"/>
      <c r="L64" s="764"/>
      <c r="M64" s="761"/>
      <c r="N64" s="761"/>
      <c r="O64" s="1154"/>
      <c r="P64" s="501"/>
      <c r="Q64" s="502"/>
    </row>
    <row r="65" spans="1:17" s="506" customFormat="1" ht="15">
      <c r="A65" s="2702" t="s">
        <v>2781</v>
      </c>
      <c r="B65" s="1354"/>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5"/>
    </row>
    <row r="66" spans="1:17" s="116" customFormat="1" ht="30.75" customHeight="1">
      <c r="A66" s="2707" t="s">
        <v>2801</v>
      </c>
      <c r="B66" s="330" t="str">
        <f>"北京市平均增长率"&amp;TEXT(基准地价修正!P24,"0.00%")</f>
        <v>北京市平均增长率0.00%</v>
      </c>
      <c r="C66" s="601">
        <v>100</v>
      </c>
      <c r="D66" s="593"/>
      <c r="E66" s="593"/>
      <c r="F66" s="593"/>
      <c r="G66" s="593"/>
      <c r="H66" s="593"/>
      <c r="I66" s="593"/>
      <c r="J66" s="593"/>
      <c r="K66" s="593"/>
      <c r="L66" s="593"/>
      <c r="M66" s="1563"/>
      <c r="N66" s="1563"/>
      <c r="O66" s="1565"/>
      <c r="P66" s="502"/>
    </row>
    <row r="67" spans="1:17" s="116" customFormat="1" ht="15.75" thickBot="1">
      <c r="A67" s="513" t="s">
        <v>2584</v>
      </c>
      <c r="B67" s="514"/>
      <c r="C67" s="515"/>
      <c r="D67" s="516"/>
      <c r="E67" s="516"/>
      <c r="F67" s="516"/>
      <c r="G67" s="516"/>
      <c r="H67" s="516"/>
      <c r="I67" s="516"/>
      <c r="J67" s="516"/>
      <c r="K67" s="516"/>
      <c r="L67" s="516"/>
      <c r="M67" s="517"/>
      <c r="N67" s="517"/>
      <c r="O67" s="518"/>
      <c r="P67" s="502"/>
      <c r="Q67" s="502"/>
    </row>
    <row r="68" spans="1:17" s="116" customFormat="1" ht="15">
      <c r="A68" s="519" t="s">
        <v>2549</v>
      </c>
      <c r="B68" s="508"/>
      <c r="C68" s="520" t="s">
        <v>2651</v>
      </c>
      <c r="D68" s="521"/>
      <c r="E68" s="521"/>
      <c r="F68" s="521"/>
      <c r="G68" s="521"/>
      <c r="H68" s="521"/>
      <c r="I68" s="521"/>
      <c r="J68" s="521"/>
      <c r="K68" s="521"/>
      <c r="L68" s="522"/>
      <c r="M68" s="523"/>
      <c r="N68" s="1146"/>
      <c r="O68" s="1146"/>
      <c r="P68" s="524"/>
      <c r="Q68" s="502"/>
    </row>
    <row r="69" spans="1:17" s="116"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2587</v>
      </c>
      <c r="B70" s="526" t="s">
        <v>2553</v>
      </c>
      <c r="C70" s="528"/>
      <c r="D70" s="528"/>
      <c r="E70" s="528"/>
      <c r="F70" s="528"/>
      <c r="G70" s="528"/>
      <c r="H70" s="528"/>
      <c r="I70" s="528"/>
      <c r="J70" s="528"/>
      <c r="K70" s="529"/>
      <c r="L70" s="530"/>
      <c r="M70" s="531"/>
      <c r="N70" s="1147"/>
      <c r="O70" s="1147"/>
      <c r="P70" s="44"/>
      <c r="Q70" s="502"/>
    </row>
    <row r="71" spans="1:17" ht="15.75" thickBot="1">
      <c r="A71" s="532"/>
      <c r="B71" s="533"/>
      <c r="C71" s="534"/>
      <c r="D71" s="534"/>
      <c r="E71" s="534"/>
      <c r="F71" s="534"/>
      <c r="G71" s="534"/>
      <c r="H71" s="534"/>
      <c r="I71" s="534"/>
      <c r="J71" s="534"/>
      <c r="K71" s="534"/>
      <c r="L71" s="534"/>
      <c r="M71" s="535"/>
      <c r="N71" s="1148"/>
      <c r="O71" s="1148"/>
      <c r="P71" s="44"/>
      <c r="Q71" s="502"/>
    </row>
    <row r="72" spans="1:17" ht="27.75" thickTop="1">
      <c r="A72" s="532"/>
      <c r="B72" s="536" t="s">
        <v>2556</v>
      </c>
      <c r="C72" s="537"/>
      <c r="D72" s="537"/>
      <c r="E72" s="537"/>
      <c r="F72" s="537"/>
      <c r="G72" s="537"/>
      <c r="H72" s="537"/>
      <c r="I72" s="537"/>
      <c r="J72" s="537"/>
      <c r="K72" s="538"/>
      <c r="L72" s="539"/>
      <c r="M72" s="540"/>
      <c r="N72" s="1147"/>
      <c r="O72" s="1147"/>
      <c r="P72" s="44"/>
      <c r="Q72" s="502"/>
    </row>
    <row r="73" spans="1:17" ht="15.75" thickBot="1">
      <c r="A73" s="532"/>
      <c r="B73" s="541"/>
      <c r="C73" s="542"/>
      <c r="D73" s="542"/>
      <c r="E73" s="542"/>
      <c r="F73" s="542"/>
      <c r="G73" s="542"/>
      <c r="H73" s="542"/>
      <c r="I73" s="542"/>
      <c r="J73" s="542"/>
      <c r="K73" s="542"/>
      <c r="L73" s="542"/>
      <c r="M73" s="543"/>
      <c r="N73" s="1148"/>
      <c r="O73" s="1148"/>
      <c r="P73" s="44"/>
      <c r="Q73" s="502"/>
    </row>
    <row r="74" spans="1:17" ht="15.75" thickTop="1">
      <c r="A74" s="532"/>
      <c r="B74" s="544" t="s">
        <v>2557</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4"/>
      <c r="Q74" s="502"/>
    </row>
    <row r="75" spans="1:17" ht="15">
      <c r="A75" s="532"/>
      <c r="B75" s="546"/>
      <c r="C75" s="547"/>
      <c r="D75" s="547"/>
      <c r="E75" s="547"/>
      <c r="F75" s="547"/>
      <c r="G75" s="547"/>
      <c r="H75" s="547"/>
      <c r="I75" s="547"/>
      <c r="J75" s="547"/>
      <c r="K75" s="548"/>
      <c r="L75" s="549"/>
      <c r="M75" s="550"/>
      <c r="N75" s="1147"/>
      <c r="O75" s="1147"/>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8"/>
      <c r="O76" s="1148"/>
      <c r="P76" s="44"/>
      <c r="Q76" s="502"/>
    </row>
    <row r="77" spans="1:17" s="469" customFormat="1" ht="15.75" thickTop="1">
      <c r="A77" s="551"/>
      <c r="B77" s="536">
        <f>B12</f>
        <v>111</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111</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111</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2558</v>
      </c>
      <c r="B83" s="526" t="s">
        <v>2704</v>
      </c>
      <c r="C83" s="571" t="s">
        <v>2596</v>
      </c>
      <c r="D83" s="571" t="s">
        <v>2597</v>
      </c>
      <c r="E83" s="571" t="s">
        <v>2598</v>
      </c>
      <c r="F83" s="571" t="s">
        <v>2599</v>
      </c>
      <c r="G83" s="571" t="s">
        <v>2600</v>
      </c>
      <c r="H83" s="527"/>
      <c r="I83" s="527"/>
      <c r="J83" s="527"/>
      <c r="K83" s="572"/>
      <c r="L83" s="573"/>
      <c r="M83" s="574"/>
      <c r="N83" s="1147"/>
      <c r="O83" s="1147"/>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8"/>
      <c r="O84" s="1148"/>
      <c r="P84" s="44"/>
      <c r="Q84" s="502"/>
    </row>
    <row r="85" spans="1:17" ht="15.75" thickTop="1">
      <c r="A85" s="532"/>
      <c r="B85" s="536" t="s">
        <v>2601</v>
      </c>
      <c r="C85" s="576" t="s">
        <v>2596</v>
      </c>
      <c r="D85" s="576" t="s">
        <v>2597</v>
      </c>
      <c r="E85" s="576" t="s">
        <v>2598</v>
      </c>
      <c r="F85" s="576" t="s">
        <v>2599</v>
      </c>
      <c r="G85" s="576" t="s">
        <v>2600</v>
      </c>
      <c r="H85" s="537"/>
      <c r="I85" s="537"/>
      <c r="J85" s="537"/>
      <c r="K85" s="538"/>
      <c r="L85" s="539"/>
      <c r="M85" s="540"/>
      <c r="N85" s="1147"/>
      <c r="O85" s="1147"/>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8"/>
      <c r="O86" s="1148"/>
      <c r="P86" s="44"/>
      <c r="Q86" s="502"/>
    </row>
    <row r="87" spans="1:17" s="116" customFormat="1" ht="15.75" thickTop="1">
      <c r="A87" s="577"/>
      <c r="B87" s="536" t="s">
        <v>2784</v>
      </c>
      <c r="C87" s="571" t="s">
        <v>2596</v>
      </c>
      <c r="D87" s="571" t="s">
        <v>2597</v>
      </c>
      <c r="E87" s="571" t="s">
        <v>2598</v>
      </c>
      <c r="F87" s="571" t="s">
        <v>2599</v>
      </c>
      <c r="G87" s="571" t="s">
        <v>2600</v>
      </c>
      <c r="H87" s="576"/>
      <c r="I87" s="576"/>
      <c r="J87" s="576"/>
      <c r="K87" s="576"/>
      <c r="L87" s="696"/>
      <c r="M87" s="620"/>
      <c r="N87" s="1146"/>
      <c r="O87" s="1146"/>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8"/>
      <c r="O88" s="1148"/>
      <c r="P88" s="44"/>
      <c r="Q88" s="502"/>
    </row>
    <row r="89" spans="1:17" s="116" customFormat="1" ht="27.75" thickTop="1">
      <c r="A89" s="577"/>
      <c r="B89" s="536" t="s">
        <v>2785</v>
      </c>
      <c r="C89" s="571" t="s">
        <v>2596</v>
      </c>
      <c r="D89" s="571" t="s">
        <v>2597</v>
      </c>
      <c r="E89" s="571" t="s">
        <v>2598</v>
      </c>
      <c r="F89" s="571" t="s">
        <v>2599</v>
      </c>
      <c r="G89" s="571" t="s">
        <v>2600</v>
      </c>
      <c r="H89" s="576"/>
      <c r="I89" s="576"/>
      <c r="J89" s="576"/>
      <c r="K89" s="576"/>
      <c r="L89" s="576"/>
      <c r="M89" s="620"/>
      <c r="N89" s="1146"/>
      <c r="O89" s="1146"/>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8"/>
      <c r="O90" s="1148"/>
      <c r="P90" s="44"/>
      <c r="Q90" s="502"/>
    </row>
    <row r="91" spans="1:17" s="469" customFormat="1" ht="15.75" thickTop="1">
      <c r="A91" s="551"/>
      <c r="B91" s="536" t="s">
        <v>2653</v>
      </c>
      <c r="C91" s="571" t="s">
        <v>2596</v>
      </c>
      <c r="D91" s="571" t="s">
        <v>2597</v>
      </c>
      <c r="E91" s="571" t="s">
        <v>2598</v>
      </c>
      <c r="F91" s="571" t="s">
        <v>2599</v>
      </c>
      <c r="G91" s="571" t="s">
        <v>2600</v>
      </c>
      <c r="H91" s="598"/>
      <c r="I91" s="598"/>
      <c r="J91" s="598"/>
      <c r="K91" s="598"/>
      <c r="L91" s="599"/>
      <c r="M91" s="600"/>
      <c r="N91" s="1149"/>
      <c r="O91" s="1149"/>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9"/>
      <c r="O92" s="1149"/>
      <c r="P92" s="556"/>
      <c r="Q92" s="557"/>
    </row>
    <row r="93" spans="1:17" s="469" customFormat="1" ht="15.75" thickTop="1">
      <c r="A93" s="551"/>
      <c r="B93" s="544" t="s">
        <v>2802</v>
      </c>
      <c r="C93" s="658" t="s">
        <v>2674</v>
      </c>
      <c r="D93" s="658" t="s">
        <v>2675</v>
      </c>
      <c r="E93" s="658" t="s">
        <v>2676</v>
      </c>
      <c r="F93" s="658" t="s">
        <v>2677</v>
      </c>
      <c r="G93" s="658" t="s">
        <v>2678</v>
      </c>
      <c r="H93" s="598"/>
      <c r="I93" s="598"/>
      <c r="J93" s="598"/>
      <c r="K93" s="598"/>
      <c r="L93" s="598"/>
      <c r="M93" s="600"/>
      <c r="N93" s="1149"/>
      <c r="O93" s="1149"/>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0"/>
      <c r="N94" s="1149"/>
      <c r="O94" s="1149"/>
      <c r="P94" s="556"/>
      <c r="Q94" s="557"/>
    </row>
    <row r="95" spans="1:17" ht="15.75" thickTop="1">
      <c r="A95" s="532"/>
      <c r="B95" s="536" t="str">
        <f>B27</f>
        <v>临街状况</v>
      </c>
      <c r="C95" s="537" t="s">
        <v>2786</v>
      </c>
      <c r="D95" s="537" t="s">
        <v>2787</v>
      </c>
      <c r="E95" s="537" t="s">
        <v>2788</v>
      </c>
      <c r="F95" s="537" t="s">
        <v>2789</v>
      </c>
      <c r="G95" s="537"/>
      <c r="H95" s="537"/>
      <c r="I95" s="537"/>
      <c r="J95" s="537"/>
      <c r="K95" s="538"/>
      <c r="L95" s="539"/>
      <c r="M95" s="540"/>
      <c r="N95" s="1147"/>
      <c r="O95" s="1147"/>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8"/>
      <c r="O96" s="1148"/>
      <c r="P96" s="44"/>
      <c r="Q96" s="502"/>
    </row>
    <row r="97" spans="1:17" ht="27.75" thickTop="1">
      <c r="A97" s="532"/>
      <c r="B97" s="536" t="s">
        <v>2690</v>
      </c>
      <c r="C97" s="552"/>
      <c r="D97" s="552"/>
      <c r="E97" s="552"/>
      <c r="F97" s="552"/>
      <c r="G97" s="552"/>
      <c r="H97" s="581"/>
      <c r="I97" s="581"/>
      <c r="J97" s="581"/>
      <c r="K97" s="582"/>
      <c r="L97" s="583"/>
      <c r="M97" s="584"/>
      <c r="N97" s="1147"/>
      <c r="O97" s="1147"/>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8"/>
      <c r="O98" s="1148"/>
      <c r="P98" s="44"/>
      <c r="Q98" s="502"/>
    </row>
    <row r="99" spans="1:17" ht="15.75" thickTop="1">
      <c r="A99" s="532"/>
      <c r="B99" s="536" t="s">
        <v>2749</v>
      </c>
      <c r="C99" s="581"/>
      <c r="D99" s="581"/>
      <c r="E99" s="581"/>
      <c r="F99" s="581"/>
      <c r="G99" s="581"/>
      <c r="H99" s="581"/>
      <c r="I99" s="581"/>
      <c r="J99" s="581"/>
      <c r="K99" s="582"/>
      <c r="L99" s="583"/>
      <c r="M99" s="584"/>
      <c r="N99" s="1147"/>
      <c r="O99" s="1147"/>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8"/>
      <c r="O100" s="1148"/>
      <c r="P100" s="44"/>
      <c r="Q100" s="502"/>
    </row>
    <row r="101" spans="1:17" ht="15.75" thickTop="1">
      <c r="A101" s="532"/>
      <c r="B101" s="544">
        <f>B31</f>
        <v>111</v>
      </c>
      <c r="C101" s="552"/>
      <c r="D101" s="552"/>
      <c r="E101" s="552"/>
      <c r="F101" s="552"/>
      <c r="G101" s="585"/>
      <c r="H101" s="585"/>
      <c r="I101" s="585"/>
      <c r="J101" s="585"/>
      <c r="K101" s="586"/>
      <c r="L101" s="587"/>
      <c r="M101" s="588"/>
      <c r="N101" s="1147"/>
      <c r="O101" s="1147"/>
      <c r="P101" s="44"/>
      <c r="Q101" s="502"/>
    </row>
    <row r="102" spans="1:17" ht="15.75" thickBot="1">
      <c r="A102" s="532"/>
      <c r="B102" s="567"/>
      <c r="C102" s="558"/>
      <c r="D102" s="534"/>
      <c r="E102" s="534"/>
      <c r="F102" s="534"/>
      <c r="G102" s="589"/>
      <c r="H102" s="589"/>
      <c r="I102" s="589"/>
      <c r="J102" s="589"/>
      <c r="K102" s="589"/>
      <c r="L102" s="589"/>
      <c r="M102" s="590"/>
      <c r="N102" s="1148"/>
      <c r="O102" s="1148"/>
      <c r="P102" s="44"/>
      <c r="Q102" s="502"/>
    </row>
    <row r="103" spans="1:17" ht="15" thickTop="1">
      <c r="A103" s="673"/>
      <c r="B103" s="536">
        <f>B32</f>
        <v>111</v>
      </c>
      <c r="C103" s="552"/>
      <c r="D103" s="552"/>
      <c r="E103" s="552"/>
      <c r="F103" s="552"/>
      <c r="G103" s="581"/>
      <c r="H103" s="581"/>
      <c r="I103" s="581"/>
      <c r="J103" s="581"/>
      <c r="K103" s="582"/>
      <c r="L103" s="583"/>
      <c r="M103" s="584"/>
      <c r="N103" s="1147"/>
      <c r="O103" s="1147"/>
      <c r="P103" s="44"/>
      <c r="Q103" s="502"/>
    </row>
    <row r="104" spans="1:17" ht="15.75" thickBot="1">
      <c r="A104" s="532"/>
      <c r="B104" s="541"/>
      <c r="C104" s="558"/>
      <c r="D104" s="558"/>
      <c r="E104" s="558"/>
      <c r="F104" s="558"/>
      <c r="G104" s="534"/>
      <c r="H104" s="534"/>
      <c r="I104" s="534"/>
      <c r="J104" s="534"/>
      <c r="K104" s="534"/>
      <c r="L104" s="534"/>
      <c r="M104" s="535"/>
      <c r="N104" s="1148"/>
      <c r="O104" s="1148"/>
      <c r="P104" s="44"/>
      <c r="Q104" s="502"/>
    </row>
    <row r="105" spans="1:17" s="469" customFormat="1" ht="15" thickTop="1">
      <c r="A105" s="591"/>
      <c r="B105" s="592">
        <f>B33</f>
        <v>111</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5"/>
      <c r="H106" s="675"/>
      <c r="I106" s="675"/>
      <c r="J106" s="675"/>
      <c r="K106" s="675"/>
      <c r="L106" s="675"/>
      <c r="M106" s="697"/>
      <c r="N106" s="1148"/>
      <c r="O106" s="1148"/>
      <c r="P106" s="556"/>
      <c r="Q106" s="557"/>
    </row>
    <row r="107" spans="1:17">
      <c r="A107" s="525" t="s">
        <v>2562</v>
      </c>
      <c r="B107" s="526" t="s">
        <v>2790</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7"/>
      <c r="O107" s="1147"/>
      <c r="P107" s="44"/>
      <c r="Q107" s="502"/>
    </row>
    <row r="108" spans="1:17" ht="15">
      <c r="A108" s="532"/>
      <c r="B108" s="544"/>
      <c r="C108" s="593"/>
      <c r="D108" s="593"/>
      <c r="E108" s="593"/>
      <c r="F108" s="593"/>
      <c r="G108" s="593"/>
      <c r="H108" s="593"/>
      <c r="I108" s="593"/>
      <c r="J108" s="594"/>
      <c r="K108" s="594"/>
      <c r="L108" s="595"/>
      <c r="M108" s="596"/>
      <c r="N108" s="1147"/>
      <c r="O108" s="1147"/>
      <c r="P108" s="44"/>
      <c r="Q108" s="502"/>
    </row>
    <row r="109" spans="1:17" ht="15.75" thickBot="1">
      <c r="A109" s="532"/>
      <c r="B109" s="541"/>
      <c r="C109" s="568"/>
      <c r="D109" s="589"/>
      <c r="E109" s="589"/>
      <c r="F109" s="589"/>
      <c r="G109" s="589"/>
      <c r="H109" s="589"/>
      <c r="I109" s="589"/>
      <c r="J109" s="589"/>
      <c r="K109" s="589"/>
      <c r="L109" s="589"/>
      <c r="M109" s="590"/>
      <c r="N109" s="1148"/>
      <c r="O109" s="1148"/>
      <c r="P109" s="44"/>
      <c r="Q109" s="502"/>
    </row>
    <row r="110" spans="1:17" ht="15" thickTop="1">
      <c r="A110" s="597"/>
      <c r="B110" s="536" t="s">
        <v>2791</v>
      </c>
      <c r="C110" s="581"/>
      <c r="D110" s="581"/>
      <c r="E110" s="581"/>
      <c r="F110" s="581"/>
      <c r="G110" s="581"/>
      <c r="H110" s="581"/>
      <c r="I110" s="581"/>
      <c r="J110" s="581"/>
      <c r="K110" s="582"/>
      <c r="L110" s="583"/>
      <c r="M110" s="584"/>
      <c r="N110" s="1147"/>
      <c r="O110" s="1147"/>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8"/>
      <c r="O111" s="1148"/>
      <c r="P111" s="44"/>
      <c r="Q111" s="502"/>
    </row>
    <row r="112" spans="1:17" s="469" customFormat="1" ht="15" thickTop="1">
      <c r="A112" s="591"/>
      <c r="B112" s="536" t="s">
        <v>2793</v>
      </c>
      <c r="C112" s="552"/>
      <c r="D112" s="552"/>
      <c r="E112" s="552"/>
      <c r="F112" s="552"/>
      <c r="G112" s="552"/>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9"/>
      <c r="O113" s="1149"/>
      <c r="P113" s="556"/>
      <c r="Q113" s="557"/>
    </row>
    <row r="114" spans="1:17" ht="15" thickTop="1">
      <c r="A114" s="597"/>
      <c r="B114" s="536" t="s">
        <v>2794</v>
      </c>
      <c r="C114" s="552"/>
      <c r="D114" s="552"/>
      <c r="E114" s="581"/>
      <c r="F114" s="581"/>
      <c r="G114" s="581"/>
      <c r="H114" s="581"/>
      <c r="I114" s="581"/>
      <c r="J114" s="581"/>
      <c r="K114" s="582"/>
      <c r="L114" s="583"/>
      <c r="M114" s="584"/>
      <c r="N114" s="1147"/>
      <c r="O114" s="1147"/>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44"/>
      <c r="Q115" s="502"/>
    </row>
    <row r="116" spans="1:17" ht="15" thickTop="1">
      <c r="A116" s="597"/>
      <c r="B116" s="536">
        <f>B38</f>
        <v>111</v>
      </c>
      <c r="C116" s="552"/>
      <c r="D116" s="552"/>
      <c r="E116" s="552"/>
      <c r="F116" s="552"/>
      <c r="G116" s="552"/>
      <c r="H116" s="581"/>
      <c r="I116" s="581"/>
      <c r="J116" s="581"/>
      <c r="K116" s="582"/>
      <c r="L116" s="583"/>
      <c r="M116" s="584"/>
      <c r="N116" s="1147"/>
      <c r="O116" s="1147"/>
      <c r="P116" s="44"/>
      <c r="Q116" s="502"/>
    </row>
    <row r="117" spans="1:17" ht="15.75" thickBot="1">
      <c r="A117" s="532"/>
      <c r="B117" s="541"/>
      <c r="C117" s="558"/>
      <c r="D117" s="534"/>
      <c r="E117" s="534"/>
      <c r="F117" s="534"/>
      <c r="G117" s="534"/>
      <c r="H117" s="534"/>
      <c r="I117" s="534"/>
      <c r="J117" s="534"/>
      <c r="K117" s="534"/>
      <c r="L117" s="534"/>
      <c r="M117" s="535"/>
      <c r="N117" s="1148"/>
      <c r="O117" s="1148"/>
      <c r="P117" s="44"/>
      <c r="Q117" s="502"/>
    </row>
    <row r="118" spans="1:17" ht="15" thickTop="1">
      <c r="A118" s="597"/>
      <c r="B118" s="536">
        <f>B39</f>
        <v>111</v>
      </c>
      <c r="C118" s="552"/>
      <c r="D118" s="552"/>
      <c r="E118" s="552"/>
      <c r="F118" s="552"/>
      <c r="G118" s="581"/>
      <c r="H118" s="581"/>
      <c r="I118" s="581"/>
      <c r="J118" s="581"/>
      <c r="K118" s="582"/>
      <c r="L118" s="583"/>
      <c r="M118" s="584"/>
      <c r="N118" s="1147"/>
      <c r="O118" s="1147"/>
      <c r="P118" s="44"/>
      <c r="Q118" s="502"/>
    </row>
    <row r="119" spans="1:17" ht="15.75" thickBot="1">
      <c r="A119" s="532"/>
      <c r="B119" s="541"/>
      <c r="C119" s="558"/>
      <c r="D119" s="558"/>
      <c r="E119" s="558"/>
      <c r="F119" s="558"/>
      <c r="G119" s="534"/>
      <c r="H119" s="534"/>
      <c r="I119" s="534"/>
      <c r="J119" s="534"/>
      <c r="K119" s="534"/>
      <c r="L119" s="534"/>
      <c r="M119" s="535"/>
      <c r="N119" s="1148"/>
      <c r="O119" s="1148"/>
      <c r="P119" s="44"/>
      <c r="Q119" s="502"/>
    </row>
    <row r="120" spans="1:17" s="469" customFormat="1" ht="15" thickTop="1">
      <c r="A120" s="591"/>
      <c r="B120" s="536">
        <f>B40</f>
        <v>111</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8"/>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8" t="s">
        <v>2803</v>
      </c>
      <c r="B1" s="239"/>
      <c r="C1" s="243" t="s">
        <v>2804</v>
      </c>
      <c r="D1" s="386">
        <f>SUM(D29:D30,D33:D39)</f>
        <v>0</v>
      </c>
      <c r="E1" s="2708"/>
      <c r="F1" s="2708"/>
      <c r="G1" s="2708"/>
      <c r="H1" s="2708"/>
      <c r="I1" s="2708"/>
      <c r="J1" s="2708"/>
      <c r="K1" s="1365"/>
      <c r="L1" s="2709" t="s">
        <v>2805</v>
      </c>
      <c r="M1" s="1075">
        <f>SUMPRODUCT((区片价!B5:B9=I2)*(区片价!C3:F3=E2)*(区片价!C5:F9))</f>
        <v>0</v>
      </c>
      <c r="N1" s="1078">
        <f>SUMPRODUCT((因素修正幅度!B5:B9=I2)*(因素修正幅度!C3:F3=E2)*(因素修正幅度!C5:F9))</f>
        <v>0</v>
      </c>
      <c r="O1" s="2710"/>
      <c r="P1" s="2710"/>
      <c r="Q1" s="1365"/>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3" t="s">
        <v>2811</v>
      </c>
      <c r="B2" s="246" t="e">
        <f>C26</f>
        <v>#DIV/0!</v>
      </c>
      <c r="C2" s="2712" t="s">
        <v>2812</v>
      </c>
      <c r="D2" s="2713" t="s">
        <v>2813</v>
      </c>
      <c r="E2" s="2714"/>
      <c r="F2" s="2713" t="s">
        <v>2814</v>
      </c>
      <c r="G2" s="2715" t="str">
        <f>IF(E2="商业",项目基本情况!B37,IF(E2="办公",项目基本情况!C37,IF(E2="住宅",项目基本情况!D37,项目基本情况!E37)))</f>
        <v>七级</v>
      </c>
      <c r="H2" s="2713" t="s">
        <v>2815</v>
      </c>
      <c r="I2" s="2715" t="str">
        <f>IF(E2="商业",项目基本情况!B38,IF(E2="办公",项目基本情况!C38,IF(E2="住宅",项目基本情况!D38,项目基本情况!E38)))</f>
        <v>Ⅶ-门1</v>
      </c>
      <c r="J2" s="2716"/>
      <c r="K2" s="1365"/>
      <c r="L2" s="2717" t="s">
        <v>2816</v>
      </c>
      <c r="M2" s="1076">
        <f>SUMPRODUCT((区片价!B10:B28=I2)*(区片价!C3:F3=E2)*(区片价!C10:F28))</f>
        <v>0</v>
      </c>
      <c r="N2" s="1078">
        <f>SUMPRODUCT((因素修正幅度!B10:B28=I2)*(因素修正幅度!C3:F3=E2)*(因素修正幅度!C10:F28))</f>
        <v>0</v>
      </c>
      <c r="O2" s="1365"/>
      <c r="P2" s="1365"/>
      <c r="Q2" s="1365"/>
      <c r="R2" s="1598">
        <v>1</v>
      </c>
      <c r="S2" s="1598">
        <f>ROUND(IF(G3&gt;1,IF(R2&lt;7,SUMPRODUCT((B93:B98=R2)*(C92:N92=G2)*(C93:N98)),SUMIF(C92:N92,G2,C100:N100)),IF(R2&lt;7,SUMPRODUCT((B102:B107=R2)*(C92:N92=G2)*(C102:N107)),SUMIF(C92:N92,G2,C109:N109))),4)</f>
        <v>1.8629</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5" t="s">
        <v>2817</v>
      </c>
      <c r="B3" s="246" t="e">
        <f>ROUND(B2*10000/D1,0)</f>
        <v>#DIV/0!</v>
      </c>
      <c r="C3" s="2712" t="s">
        <v>2818</v>
      </c>
      <c r="D3" s="2713" t="s">
        <v>2819</v>
      </c>
      <c r="E3" s="2718"/>
      <c r="F3" s="2719" t="s">
        <v>2820</v>
      </c>
      <c r="G3" s="908">
        <f>IF(F3="宗地容积率",'数据-汇总表'!I4,IF(F3="估价对象容积率",'数据-汇总表'!I6,'数据-汇总表'!I7))</f>
        <v>2.79</v>
      </c>
      <c r="H3" s="196" t="s">
        <v>2821</v>
      </c>
      <c r="I3" s="939"/>
      <c r="J3" s="2716" t="s">
        <v>2822</v>
      </c>
      <c r="K3" s="1365"/>
      <c r="L3" s="2717" t="s">
        <v>2823</v>
      </c>
      <c r="M3" s="1076">
        <f>SUMPRODUCT((区片价!B29:B48=I2)*(区片价!C3:F3=E2)*(区片价!C29:F48))</f>
        <v>0</v>
      </c>
      <c r="N3" s="1078">
        <f>SUMPRODUCT((因素修正幅度!B29:B48=I2)*(因素修正幅度!C3:F3=E2)*(因素修正幅度!C29:F48))</f>
        <v>0</v>
      </c>
      <c r="O3" s="1365"/>
      <c r="P3" s="1365"/>
      <c r="Q3" s="1365"/>
      <c r="R3" s="1598">
        <v>2</v>
      </c>
      <c r="S3" s="1598">
        <f>ROUND(IF(G3&gt;1,IF(R3&lt;7,SUMPRODUCT((B93:B98=R3)*(C92:N92=G2)*(C93:N98)),SUMIF(C92:N92,G2,C100:N100)),IF(R3&lt;7,SUMPRODUCT((B102:B107=R3)*(C92:N92=G2)*(C102:N107)),SUMIF(C92:N92,G2,C109:N109))),4)</f>
        <v>1.3371999999999999</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87"/>
      <c r="B4" s="3288"/>
      <c r="C4" s="3288"/>
      <c r="D4" s="3289"/>
      <c r="E4" s="3289"/>
      <c r="F4" s="3289"/>
      <c r="G4" s="3289"/>
      <c r="H4" s="3289"/>
      <c r="I4" s="3289"/>
      <c r="J4" s="3290"/>
      <c r="K4" s="1365"/>
      <c r="L4" s="2717" t="s">
        <v>2824</v>
      </c>
      <c r="M4" s="1076">
        <f>SUMPRODUCT((区片价!B49:B75=I2)*(区片价!C3:F3=E2)*(区片价!C49:F75))</f>
        <v>0</v>
      </c>
      <c r="N4" s="1078">
        <f>SUMPRODUCT((因素修正幅度!B49:B75=I2)*(因素修正幅度!C3:F3=E2)*(因素修正幅度!C49:F75))</f>
        <v>0</v>
      </c>
      <c r="O4" s="1365"/>
      <c r="P4" s="1365"/>
      <c r="Q4" s="1365"/>
      <c r="R4" s="1598">
        <v>3</v>
      </c>
      <c r="S4" s="1598">
        <f>ROUND(IF(G3&gt;1,IF(R4&lt;7,SUMPRODUCT((B93:B98=R4)*(C92:N92=G2)*(C93:N98)),SUMIF(C92:N92,G2,C100:N100)),IF(R4&lt;7,SUMPRODUCT((B102:B107=R4)*(C92:N92=G2)*(C102:N107)),SUMIF(C92:N92,G2,C109:N109))),4)</f>
        <v>1.0788</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2825</v>
      </c>
      <c r="C5" s="909" t="e">
        <f>ROUND(IF(E2="商业",IF(F16="增加",C6*C7+C16,C6*C7-C16),IF(E2="住宅",IF(F16="增加",C6*C12+C16,C6*C12-C16),IF(F16="增加",C6+C16,C6-C16))),0)</f>
        <v>#DIV/0!</v>
      </c>
      <c r="D5" s="1783">
        <f>ROUND(IF(E2="商业",IF(F16="增加",C6+C16,C6-C16)),0)</f>
        <v>0</v>
      </c>
      <c r="E5" s="2722"/>
      <c r="F5" s="2722"/>
      <c r="G5" s="2723"/>
      <c r="H5" s="2723"/>
      <c r="I5" s="2723"/>
      <c r="J5" s="2724"/>
      <c r="K5" s="2725"/>
      <c r="L5" s="2717" t="s">
        <v>2826</v>
      </c>
      <c r="M5" s="1076">
        <f>SUMPRODUCT((区片价!B76:B109=I2)*(区片价!C3:F3=E2)*(区片价!C76:F109))</f>
        <v>0</v>
      </c>
      <c r="N5" s="1078">
        <f>SUMPRODUCT((因素修正幅度!B76:B109=I2)*(因素修正幅度!C3:F3=E2)*(因素修正幅度!C76:F109))</f>
        <v>0</v>
      </c>
      <c r="O5" s="1365"/>
      <c r="P5" s="1365"/>
      <c r="Q5" s="1365"/>
      <c r="R5" s="1598">
        <v>4</v>
      </c>
      <c r="S5" s="1598">
        <f>ROUND(IF(G3&gt;1,IF(R5&lt;7,SUMPRODUCT((B93:B98=R5)*(C92:N92=G2)*(C93:N98)),SUMIF(C92:N92,G2,C100:N100)),IF(R5&lt;7,SUMPRODUCT((B102:B107=R5)*(C92:N92=G2)*(C102:N107)),SUMIF(C92:N92,G2,C109:N109))),4)</f>
        <v>0.86560000000000004</v>
      </c>
      <c r="T5" s="1598" t="e">
        <f t="shared" si="0"/>
        <v>#DIV/0!</v>
      </c>
      <c r="U5" s="1599"/>
      <c r="V5" s="1598" t="e">
        <f t="shared" si="1"/>
        <v>#DIV/0!</v>
      </c>
      <c r="W5" s="1602"/>
      <c r="X5" s="1602"/>
      <c r="Y5" s="1602"/>
      <c r="Z5" s="1602"/>
      <c r="AA5" s="1602"/>
      <c r="AB5" s="1602"/>
      <c r="AC5" s="2726"/>
      <c r="AD5" s="2727"/>
      <c r="AE5" s="2727"/>
      <c r="AF5" s="2727"/>
      <c r="AG5" s="2727"/>
      <c r="AH5" s="2727"/>
      <c r="AI5" s="2727"/>
      <c r="AJ5" s="2728"/>
    </row>
    <row r="6" spans="1:36" ht="15.75" thickBot="1">
      <c r="A6" s="2730" t="s">
        <v>2827</v>
      </c>
      <c r="B6" s="2731" t="s">
        <v>2828</v>
      </c>
      <c r="C6" s="910">
        <f>SUMIF(L1:L12,G2,M1:M12)</f>
        <v>0</v>
      </c>
      <c r="D6" s="2732" t="s">
        <v>2829</v>
      </c>
      <c r="E6" s="2733"/>
      <c r="F6" s="2733"/>
      <c r="G6" s="2734"/>
      <c r="H6" s="2734"/>
      <c r="I6" s="2734"/>
      <c r="J6" s="2735"/>
      <c r="K6" s="1838"/>
      <c r="L6" s="2717" t="s">
        <v>2830</v>
      </c>
      <c r="M6" s="1076">
        <f>SUMPRODUCT((区片价!B110:B157=I2)*(区片价!C3:F3=E2)*(区片价!C110:F157))</f>
        <v>0</v>
      </c>
      <c r="N6" s="1078">
        <f>SUMPRODUCT((因素修正幅度!B110:B157=I2)*(因素修正幅度!C3:F3=E2)*(因素修正幅度!C110:F157))</f>
        <v>0</v>
      </c>
      <c r="O6" s="1365"/>
      <c r="P6" s="1365"/>
      <c r="Q6" s="1365"/>
      <c r="R6" s="1598">
        <v>5</v>
      </c>
      <c r="S6" s="1598">
        <f>ROUND(IF(G3&gt;1,IF(R6&lt;7,SUMPRODUCT((B93:B98=R6)*(C92:N92=G2)*(C93:N98)),SUMIF(C92:N92,G2,C100:N100)),IF(R6&lt;7,SUMPRODUCT((B102:B107=R6)*(C92:N92=G2)*(C102:N107)),SUMIF(C92:N92,G2,C109:N109))),4)</f>
        <v>0.73709999999999998</v>
      </c>
      <c r="T6" s="1598" t="e">
        <f t="shared" si="0"/>
        <v>#DIV/0!</v>
      </c>
      <c r="U6" s="1599"/>
      <c r="V6" s="1598" t="e">
        <f t="shared" si="1"/>
        <v>#DIV/0!</v>
      </c>
      <c r="W6" s="1602"/>
      <c r="X6" s="1602"/>
      <c r="Y6" s="1602"/>
      <c r="Z6" s="1602"/>
      <c r="AA6" s="1602"/>
      <c r="AB6" s="1602"/>
      <c r="AC6" s="2726"/>
      <c r="AD6" s="2727"/>
      <c r="AE6" s="2727"/>
      <c r="AF6" s="2727"/>
      <c r="AG6" s="2727"/>
      <c r="AH6" s="2727"/>
      <c r="AI6" s="2727"/>
      <c r="AJ6" s="2728"/>
    </row>
    <row r="7" spans="1:36" ht="24">
      <c r="A7" s="3273" t="str">
        <f>IF(E2="商业",IF(C8="不临58条商业街","",2),"")</f>
        <v/>
      </c>
      <c r="B7" s="2736" t="s">
        <v>2831</v>
      </c>
      <c r="C7" s="911" t="e">
        <f>IF(C8="不临58条商业街",1,ROUND(1+(1.6*E8+1.2*E9+0.8*E10+0.4*E11)*C9,4))</f>
        <v>#DIV/0!</v>
      </c>
      <c r="D7" s="2737" t="s">
        <v>2832</v>
      </c>
      <c r="E7" s="940"/>
      <c r="F7" s="2738"/>
      <c r="G7" s="2739"/>
      <c r="H7" s="2739"/>
      <c r="I7" s="2739"/>
      <c r="J7" s="2740"/>
      <c r="K7" s="1838"/>
      <c r="L7" s="2717" t="s">
        <v>2833</v>
      </c>
      <c r="M7" s="1076">
        <f>SUMPRODUCT((区片价!B158:B205=I2)*(区片价!C3:F3=E2)*(区片价!C158:F205))</f>
        <v>0</v>
      </c>
      <c r="N7" s="1078">
        <f>SUMPRODUCT((因素修正幅度!B158:B205=I2)*(因素修正幅度!C3:F3=E2)*(因素修正幅度!C158:F205))</f>
        <v>0</v>
      </c>
      <c r="O7" s="1365"/>
      <c r="P7" s="1365"/>
      <c r="Q7" s="1365"/>
      <c r="R7" s="1598">
        <v>6</v>
      </c>
      <c r="S7" s="1598">
        <f>ROUND(IF(G3&gt;1,IF(R7&lt;7,SUMPRODUCT((B93:B98=R7)*(C92:N92=G2)*(C93:N98)),SUMIF(C92:N92,G2,C100:N100)),IF(R7&lt;7,SUMPRODUCT((B102:B107=R7)*(C92:N92=G2)*(C102:N107)),SUMIF(C92:N92,G2,C109:N109))),4)</f>
        <v>0.6482</v>
      </c>
      <c r="T7" s="1598" t="e">
        <f t="shared" si="0"/>
        <v>#DIV/0!</v>
      </c>
      <c r="U7" s="1599"/>
      <c r="V7" s="1598" t="e">
        <f t="shared" si="1"/>
        <v>#DIV/0!</v>
      </c>
      <c r="W7" s="1812" t="s">
        <v>2834</v>
      </c>
      <c r="X7" s="1600" t="str">
        <f>G2</f>
        <v>七级</v>
      </c>
      <c r="Y7" s="1600" t="s">
        <v>2835</v>
      </c>
      <c r="Z7" s="1601">
        <f>G3</f>
        <v>2.79</v>
      </c>
      <c r="AA7" s="1602"/>
      <c r="AB7" s="1602"/>
      <c r="AC7" s="1603"/>
      <c r="AD7" s="1604"/>
      <c r="AE7" s="1604"/>
      <c r="AF7" s="1604"/>
      <c r="AG7" s="1604"/>
      <c r="AH7" s="1604"/>
      <c r="AI7" s="1604"/>
      <c r="AJ7" s="1605"/>
    </row>
    <row r="8" spans="1:36" ht="15">
      <c r="A8" s="3274"/>
      <c r="B8" s="196" t="s">
        <v>2836</v>
      </c>
      <c r="C8" s="2741"/>
      <c r="D8" s="912" t="s">
        <v>139</v>
      </c>
      <c r="E8" s="913" t="e">
        <f>ROUND(C11/E7,4)</f>
        <v>#DIV/0!</v>
      </c>
      <c r="F8" s="2742" t="s">
        <v>2837</v>
      </c>
      <c r="G8" s="2743"/>
      <c r="H8" s="2743"/>
      <c r="I8" s="2743"/>
      <c r="J8" s="2744"/>
      <c r="K8" s="1365"/>
      <c r="L8" s="2717" t="s">
        <v>2838</v>
      </c>
      <c r="M8" s="1076">
        <f>SUMPRODUCT((区片价!B206:B244=I2)*(区片价!C3:F3=E2)*(区片价!C206:F244))</f>
        <v>0</v>
      </c>
      <c r="N8" s="1078">
        <f>SUMPRODUCT((因素修正幅度!B206:B244=I2)*(因素修正幅度!C3:F3=E2)*(因素修正幅度!C206:F244))</f>
        <v>0</v>
      </c>
      <c r="O8" s="1365"/>
      <c r="P8" s="1365"/>
      <c r="Q8" s="1365"/>
      <c r="R8" s="1598">
        <v>7</v>
      </c>
      <c r="S8" s="1599"/>
      <c r="T8" s="1598" t="e">
        <f t="shared" si="0"/>
        <v>#DIV/0!</v>
      </c>
      <c r="U8" s="1599"/>
      <c r="V8" s="1598" t="e">
        <f t="shared" si="1"/>
        <v>#DIV/0!</v>
      </c>
      <c r="W8" s="3284" t="s">
        <v>2839</v>
      </c>
      <c r="X8" s="3285"/>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274"/>
      <c r="B9" s="196" t="s">
        <v>2852</v>
      </c>
      <c r="C9" s="914">
        <f>SUMIF(修正!C59:C119,C8,修正!E59:E119)</f>
        <v>0</v>
      </c>
      <c r="D9" s="198" t="s">
        <v>140</v>
      </c>
      <c r="E9" s="198" t="e">
        <f>ROUND(C11/E7,4)</f>
        <v>#DIV/0!</v>
      </c>
      <c r="F9" s="2742" t="s">
        <v>2853</v>
      </c>
      <c r="G9" s="2743"/>
      <c r="H9" s="2743"/>
      <c r="I9" s="2743"/>
      <c r="J9" s="2744"/>
      <c r="K9" s="1365"/>
      <c r="L9" s="2717" t="s">
        <v>2854</v>
      </c>
      <c r="M9" s="1076">
        <f>SUMPRODUCT((区片价!B245:B289=I2)*(区片价!C3:F3=E2)*(区片价!C245:F289))</f>
        <v>0</v>
      </c>
      <c r="N9" s="1078">
        <f>SUMPRODUCT((因素修正幅度!B245:B289=I2)*(因素修正幅度!C3:F3=E2)*(因素修正幅度!C245:F289))</f>
        <v>0</v>
      </c>
      <c r="O9" s="1365"/>
      <c r="P9" s="1365"/>
      <c r="Q9" s="1365"/>
      <c r="R9" s="1598">
        <v>8</v>
      </c>
      <c r="S9" s="1599"/>
      <c r="T9" s="1598" t="e">
        <f t="shared" si="0"/>
        <v>#DIV/0!</v>
      </c>
      <c r="U9" s="1599"/>
      <c r="V9" s="1598" t="e">
        <f t="shared" si="1"/>
        <v>#DIV/0!</v>
      </c>
      <c r="W9" s="3286"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4"/>
      <c r="B10" s="196" t="s">
        <v>2857</v>
      </c>
      <c r="C10" s="198">
        <f>SUMIF(修正!C59:C119,C8,修正!F59:F119)</f>
        <v>0</v>
      </c>
      <c r="D10" s="198" t="s">
        <v>141</v>
      </c>
      <c r="E10" s="198" t="e">
        <f>ROUND(C11/E7,4)</f>
        <v>#DIV/0!</v>
      </c>
      <c r="F10" s="2742" t="s">
        <v>2858</v>
      </c>
      <c r="G10" s="2743"/>
      <c r="H10" s="2743"/>
      <c r="I10" s="2743"/>
      <c r="J10" s="2744"/>
      <c r="K10" s="1365"/>
      <c r="L10" s="2717" t="s">
        <v>2859</v>
      </c>
      <c r="M10" s="1076">
        <f>SUMPRODUCT((区片价!B290:B316=I2)*(区片价!C3:F3=E2)*(区片价!C290:F316))</f>
        <v>0</v>
      </c>
      <c r="N10" s="1078">
        <f>SUMPRODUCT((因素修正幅度!B290:B316=I2)*(因素修正幅度!C3:F3=E2)*(因素修正幅度!C290:F316))</f>
        <v>0</v>
      </c>
      <c r="O10" s="1365"/>
      <c r="P10" s="1365"/>
      <c r="Q10" s="1365"/>
      <c r="R10" s="1598">
        <v>9</v>
      </c>
      <c r="S10" s="1599"/>
      <c r="T10" s="1598" t="e">
        <f t="shared" si="0"/>
        <v>#DIV/0!</v>
      </c>
      <c r="U10" s="1599"/>
      <c r="V10" s="1598" t="e">
        <f t="shared" si="1"/>
        <v>#DIV/0!</v>
      </c>
      <c r="W10" s="3286"/>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4"/>
      <c r="B11" s="2745" t="s">
        <v>2860</v>
      </c>
      <c r="C11" s="915">
        <f>C10/4</f>
        <v>0</v>
      </c>
      <c r="D11" s="915" t="s">
        <v>142</v>
      </c>
      <c r="E11" s="915" t="e">
        <f>ROUND(C11/E7,4)</f>
        <v>#DIV/0!</v>
      </c>
      <c r="F11" s="2746" t="s">
        <v>2861</v>
      </c>
      <c r="G11" s="2747"/>
      <c r="H11" s="2747"/>
      <c r="I11" s="2747"/>
      <c r="J11" s="2748"/>
      <c r="K11" s="1365"/>
      <c r="L11" s="2717" t="s">
        <v>2862</v>
      </c>
      <c r="M11" s="1076">
        <f>SUMPRODUCT((区片价!B317:B337=I2)*(区片价!C3:F3=E2)*(区片价!C317:F337))</f>
        <v>0</v>
      </c>
      <c r="N11" s="1078">
        <f>SUMPRODUCT((因素修正幅度!B317:B337=I2)*(因素修正幅度!C3:F3=E2)*(因素修正幅度!C317:F337))</f>
        <v>0</v>
      </c>
      <c r="O11" s="1365"/>
      <c r="P11" s="1365"/>
      <c r="Q11" s="1365"/>
      <c r="R11" s="1598">
        <v>10</v>
      </c>
      <c r="S11" s="1599"/>
      <c r="T11" s="1598" t="e">
        <f t="shared" si="0"/>
        <v>#DIV/0!</v>
      </c>
      <c r="U11" s="1599"/>
      <c r="V11" s="1598" t="e">
        <f t="shared" si="1"/>
        <v>#DIV/0!</v>
      </c>
      <c r="W11" s="3286" t="s">
        <v>2863</v>
      </c>
      <c r="X11" s="1610" t="s">
        <v>2864</v>
      </c>
      <c r="Y11" s="1611">
        <f>$G$3</f>
        <v>2.79</v>
      </c>
      <c r="Z11" s="1611">
        <f t="shared" ref="Z11:AJ11" si="3">$G$3</f>
        <v>2.79</v>
      </c>
      <c r="AA11" s="1611">
        <f t="shared" si="3"/>
        <v>2.79</v>
      </c>
      <c r="AB11" s="1611">
        <f t="shared" si="3"/>
        <v>2.79</v>
      </c>
      <c r="AC11" s="1611">
        <f t="shared" si="3"/>
        <v>2.79</v>
      </c>
      <c r="AD11" s="1611">
        <f t="shared" si="3"/>
        <v>2.79</v>
      </c>
      <c r="AE11" s="1611">
        <f t="shared" si="3"/>
        <v>2.79</v>
      </c>
      <c r="AF11" s="1611">
        <f t="shared" si="3"/>
        <v>2.79</v>
      </c>
      <c r="AG11" s="1611">
        <f t="shared" si="3"/>
        <v>2.79</v>
      </c>
      <c r="AH11" s="1611">
        <f t="shared" si="3"/>
        <v>2.79</v>
      </c>
      <c r="AI11" s="1611">
        <f t="shared" si="3"/>
        <v>2.79</v>
      </c>
      <c r="AJ11" s="1611">
        <f t="shared" si="3"/>
        <v>2.79</v>
      </c>
    </row>
    <row r="12" spans="1:36" ht="25.5" thickBot="1">
      <c r="A12" s="3273" t="s">
        <v>2865</v>
      </c>
      <c r="B12" s="2749" t="s">
        <v>2866</v>
      </c>
      <c r="C12" s="911">
        <f>ROUND(C15*D15*E15*F15*G15*H15*I15*J15,4)</f>
        <v>1</v>
      </c>
      <c r="D12" s="2750" t="s">
        <v>2867</v>
      </c>
      <c r="E12" s="2751"/>
      <c r="F12" s="2751"/>
      <c r="G12" s="2752"/>
      <c r="H12" s="2752"/>
      <c r="I12" s="2752"/>
      <c r="J12" s="2753"/>
      <c r="K12" s="1365"/>
      <c r="L12" s="2754" t="s">
        <v>2868</v>
      </c>
      <c r="M12" s="1077">
        <f>SUMPRODUCT((区片价!B338:B344=I2)*(区片价!C3:F3=E2)*(区片价!C338:F344))</f>
        <v>0</v>
      </c>
      <c r="N12" s="1078">
        <f>SUMPRODUCT((因素修正幅度!B338:B344=I2)*(因素修正幅度!C3:F3=E2)*(因素修正幅度!C338:F344))</f>
        <v>0</v>
      </c>
      <c r="O12" s="1365"/>
      <c r="P12" s="1365"/>
      <c r="Q12" s="1365"/>
      <c r="R12" s="1598">
        <v>11</v>
      </c>
      <c r="S12" s="1599"/>
      <c r="T12" s="1598" t="e">
        <f t="shared" si="0"/>
        <v>#DIV/0!</v>
      </c>
      <c r="U12" s="1599"/>
      <c r="V12" s="1598" t="e">
        <f t="shared" si="1"/>
        <v>#DIV/0!</v>
      </c>
      <c r="W12" s="3286"/>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1"/>
      <c r="B13" s="2755" t="s">
        <v>2870</v>
      </c>
      <c r="C13" s="2756" t="s">
        <v>2871</v>
      </c>
      <c r="D13" s="1804" t="s">
        <v>2872</v>
      </c>
      <c r="E13" s="1804" t="s">
        <v>2873</v>
      </c>
      <c r="F13" s="29" t="s">
        <v>2874</v>
      </c>
      <c r="G13" s="2757" t="s">
        <v>2875</v>
      </c>
      <c r="H13" s="2757" t="s">
        <v>2875</v>
      </c>
      <c r="I13" s="2757" t="s">
        <v>2875</v>
      </c>
      <c r="J13" s="2758" t="s">
        <v>2875</v>
      </c>
      <c r="K13" s="1365"/>
      <c r="L13" s="1365"/>
      <c r="M13" s="1365"/>
      <c r="N13" s="1365"/>
      <c r="O13" s="1365"/>
      <c r="P13" s="1365"/>
      <c r="Q13" s="1365"/>
      <c r="R13" s="1598">
        <v>12</v>
      </c>
      <c r="S13" s="1599"/>
      <c r="T13" s="1598" t="e">
        <f t="shared" si="0"/>
        <v>#DIV/0!</v>
      </c>
      <c r="U13" s="1599"/>
      <c r="V13" s="1598" t="e">
        <f t="shared" si="1"/>
        <v>#DIV/0!</v>
      </c>
      <c r="W13" s="3286"/>
      <c r="X13" s="1612"/>
      <c r="Y13" s="1609">
        <f>(-0.163*(Y12^2)-0.59*Y12+7617)*(10^(-4))/Y11</f>
        <v>0.27301075268817204</v>
      </c>
      <c r="Z13" s="1609">
        <f t="shared" ref="Z13:AJ13" si="5">(-0.163*(Z12^2)-0.59*Z12+7617)*(10^(-4))/Z11</f>
        <v>0.27301075268817204</v>
      </c>
      <c r="AA13" s="1609">
        <f t="shared" si="5"/>
        <v>0.27301075268817204</v>
      </c>
      <c r="AB13" s="1609">
        <f t="shared" si="5"/>
        <v>0.27301075268817204</v>
      </c>
      <c r="AC13" s="1609">
        <f t="shared" si="5"/>
        <v>0.27301075268817204</v>
      </c>
      <c r="AD13" s="1609">
        <f t="shared" si="5"/>
        <v>0.27301075268817204</v>
      </c>
      <c r="AE13" s="1609">
        <f t="shared" si="5"/>
        <v>0.27301075268817204</v>
      </c>
      <c r="AF13" s="1609">
        <f t="shared" si="5"/>
        <v>0.27301075268817204</v>
      </c>
      <c r="AG13" s="1609">
        <f t="shared" si="5"/>
        <v>0.27301075268817204</v>
      </c>
      <c r="AH13" s="1609">
        <f t="shared" si="5"/>
        <v>0.27301075268817204</v>
      </c>
      <c r="AI13" s="1609">
        <f t="shared" si="5"/>
        <v>0.27301075268817204</v>
      </c>
      <c r="AJ13" s="1609">
        <f t="shared" si="5"/>
        <v>0.27301075268817204</v>
      </c>
    </row>
    <row r="14" spans="1:36" ht="15">
      <c r="A14" s="3291"/>
      <c r="B14" s="2759"/>
      <c r="C14" s="2760"/>
      <c r="D14" s="2761"/>
      <c r="E14" s="2761"/>
      <c r="F14" s="2762"/>
      <c r="G14" s="2763" t="s">
        <v>2876</v>
      </c>
      <c r="H14" s="2764"/>
      <c r="I14" s="2765"/>
      <c r="J14" s="2766"/>
      <c r="K14" s="1365"/>
      <c r="L14" s="1365"/>
      <c r="M14" s="1365"/>
      <c r="N14" s="1365"/>
      <c r="O14" s="1365"/>
      <c r="P14" s="1365"/>
      <c r="Q14" s="1365"/>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92"/>
      <c r="B15" s="2767" t="s">
        <v>2877</v>
      </c>
      <c r="C15" s="227">
        <f>IF(C14="有",1.1,1)</f>
        <v>1</v>
      </c>
      <c r="D15" s="227">
        <f>IF(D14="有",1.1,1)</f>
        <v>1</v>
      </c>
      <c r="E15" s="227">
        <f>IF(E14="有",1.1,1)</f>
        <v>1</v>
      </c>
      <c r="F15" s="227">
        <f>IF(F14="500米范围内",1.2,IF(F14="500-1000米",1.1,1))</f>
        <v>1</v>
      </c>
      <c r="G15" s="941">
        <v>1</v>
      </c>
      <c r="H15" s="941">
        <v>1</v>
      </c>
      <c r="I15" s="941">
        <v>1</v>
      </c>
      <c r="J15" s="942">
        <v>1</v>
      </c>
      <c r="K15" s="1365"/>
      <c r="L15" s="2768" t="s">
        <v>2813</v>
      </c>
      <c r="M15" s="912" t="s">
        <v>2878</v>
      </c>
      <c r="N15" s="912" t="s">
        <v>2879</v>
      </c>
      <c r="O15" s="912" t="s">
        <v>2880</v>
      </c>
      <c r="P15" s="2769" t="s">
        <v>2881</v>
      </c>
      <c r="Q15" s="1365"/>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73" t="s">
        <v>2882</v>
      </c>
      <c r="B16" s="2736" t="s">
        <v>2883</v>
      </c>
      <c r="C16" s="1797" t="e">
        <f>ROUND(SUM(G17:J17)/C17,0)</f>
        <v>#DIV/0!</v>
      </c>
      <c r="D16" s="2770" t="s">
        <v>2884</v>
      </c>
      <c r="E16" s="2771"/>
      <c r="F16" s="2772"/>
      <c r="G16" s="2773"/>
      <c r="H16" s="2773"/>
      <c r="I16" s="2773"/>
      <c r="J16" s="2774"/>
      <c r="K16" s="1365"/>
      <c r="L16" s="2775" t="s">
        <v>2885</v>
      </c>
      <c r="M16" s="914">
        <v>0.25</v>
      </c>
      <c r="N16" s="914">
        <v>0.2</v>
      </c>
      <c r="O16" s="914">
        <v>0.15</v>
      </c>
      <c r="P16" s="1364">
        <v>0.1</v>
      </c>
      <c r="Q16" s="1365"/>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74"/>
      <c r="B17" s="2776" t="s">
        <v>2886</v>
      </c>
      <c r="C17" s="916">
        <f>SUMPRODUCT((修正!A2:A5=E2)*(修正!B1:M1=G2)*(修正!B2:M5))</f>
        <v>0</v>
      </c>
      <c r="D17" s="2777" t="s">
        <v>2887</v>
      </c>
      <c r="E17" s="915" t="str">
        <f>IF(OR(G2="八级",G2="九级",G2="十级",G2="十一级",G2="十二级"),"五通一平","七通一平")</f>
        <v>七通一平</v>
      </c>
      <c r="F17" s="916" t="s">
        <v>2888</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2889</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2890</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2891</v>
      </c>
      <c r="C19" s="919" t="e">
        <f>ROUND(IF(H19="按公示增长率计算",SUMPRODUCT((地价!A3:A20=YEAR(G19)&amp;"-"&amp;ROUNDUP(MONTH(G19)/3,0))*(地价!X2:AB2=E2)*(地价!X3:AB20)),IF(H19="地价指数",M20/M19,(1+I19)^O19)),4)</f>
        <v>#DIV/0!</v>
      </c>
      <c r="D19" s="2788" t="s">
        <v>2892</v>
      </c>
      <c r="E19" s="920">
        <v>41640</v>
      </c>
      <c r="F19" s="2788" t="s">
        <v>2893</v>
      </c>
      <c r="G19" s="921">
        <f>'数据-取费表'!B2</f>
        <v>43126</v>
      </c>
      <c r="H19" s="2789" t="s">
        <v>2894</v>
      </c>
      <c r="I19" s="922" t="str">
        <f>IF(H19="季度增幅（自定义）",SUMIF(N21:N24,E2,O21:O24),"")</f>
        <v/>
      </c>
      <c r="J19" s="2786"/>
      <c r="K19" s="1372"/>
      <c r="L19" s="2790" t="s">
        <v>2895</v>
      </c>
      <c r="M19" s="1730">
        <f>ROUND(SUMIF(地价!B2:F2,E2,地价!B20:F20),0)</f>
        <v>0</v>
      </c>
      <c r="N19" s="2791" t="s">
        <v>2896</v>
      </c>
      <c r="O19" s="923">
        <f>ROUNDDOWN(DATEDIF(E19,G19,"M")/3,0)</f>
        <v>16</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2897</v>
      </c>
      <c r="C20" s="924" t="e">
        <f>ROUND(POWER(1+G20,J20-I20)*(POWER(1+G20,I20)-1)/(POWER(1+G20,J20)-1),4)</f>
        <v>#DIV/0!</v>
      </c>
      <c r="D20" s="2797" t="s">
        <v>2898</v>
      </c>
      <c r="E20" s="1764">
        <f ca="1">存贷款利率!D4/100</f>
        <v>4.3499999999999997E-2</v>
      </c>
      <c r="F20" s="2797" t="s">
        <v>2889</v>
      </c>
      <c r="G20" s="929">
        <f>SUMIF(M15:P15,E2,M17:P17)</f>
        <v>0</v>
      </c>
      <c r="H20" s="2797" t="s">
        <v>2899</v>
      </c>
      <c r="I20" s="930" t="e">
        <f>SUMIF('数据-取费表'!C6:C15,E2,'数据-取费表'!F6:F15)/COUNTIF('数据-取费表'!C6:C15,E2)</f>
        <v>#DIV/0!</v>
      </c>
      <c r="J20" s="931">
        <f>IF(E2="住宅",70,IF(E2="商业",40,50))</f>
        <v>50</v>
      </c>
      <c r="K20" s="1372"/>
      <c r="L20" s="2798" t="s">
        <v>2900</v>
      </c>
      <c r="M20" s="1731">
        <f>ROUND(SUMPRODUCT((地价!A5:A20=YEAR(G19)&amp;"-"&amp;ROUNDUP(MONTH(G19)/3,0))*(地价!B2:F2=E2)*(地价!B5:F20)),0)</f>
        <v>0</v>
      </c>
      <c r="N20" s="2799" t="s">
        <v>2901</v>
      </c>
      <c r="O20" s="2800" t="s">
        <v>2902</v>
      </c>
      <c r="P20" s="2801" t="s">
        <v>2903</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2904</v>
      </c>
      <c r="C21" s="932">
        <f>IF(B21="容积率修正",IF(G3&lt;=10,D22,J22),C23)</f>
        <v>0</v>
      </c>
      <c r="D21" s="2804"/>
      <c r="E21" s="2804"/>
      <c r="F21" s="2804"/>
      <c r="G21" s="2804"/>
      <c r="H21" s="2804"/>
      <c r="I21" s="2804"/>
      <c r="J21" s="2805"/>
      <c r="K21" s="1372"/>
      <c r="N21" s="2806" t="s">
        <v>2905</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2906</v>
      </c>
      <c r="B22" s="2807" t="s">
        <v>2907</v>
      </c>
      <c r="C22" s="1806" t="s">
        <v>2908</v>
      </c>
      <c r="D22" s="1806">
        <f>IF(E22=G22,F22,IF(G3&lt;=10,ROUND(F22+(H22-F22)*(G3-E22)/(G22-E22),4),"——"))</f>
        <v>0.62809999999999999</v>
      </c>
      <c r="E22" s="908">
        <f>ROUNDDOWN(G3,1)</f>
        <v>2.7</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2.8000000000000003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0.69789999999999996</v>
      </c>
      <c r="I22" s="1806" t="s">
        <v>155</v>
      </c>
      <c r="J22" s="933" t="str">
        <f>IF(G3&gt;10,D113,"——")</f>
        <v>——</v>
      </c>
      <c r="K22" s="1372"/>
      <c r="N22" s="2806" t="s">
        <v>2909</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2910</v>
      </c>
      <c r="B23" s="2808" t="s">
        <v>2911</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2912</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2913</v>
      </c>
      <c r="C24" s="919">
        <f>SUMIF(A45:A88,E2,B45:B88)</f>
        <v>0</v>
      </c>
      <c r="D24" s="2784"/>
      <c r="E24" s="2814"/>
      <c r="F24" s="2814"/>
      <c r="G24" s="2814"/>
      <c r="H24" s="2814"/>
      <c r="I24" s="2814"/>
      <c r="J24" s="2815"/>
      <c r="K24" s="1372"/>
      <c r="N24" s="2816" t="s">
        <v>2914</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2915</v>
      </c>
      <c r="C25" s="925"/>
      <c r="D25" s="2739"/>
      <c r="E25" s="2739"/>
      <c r="F25" s="2818"/>
      <c r="G25" s="2739"/>
      <c r="H25" s="2739"/>
      <c r="I25" s="2739"/>
      <c r="J25" s="2740"/>
      <c r="K25" s="1365"/>
      <c r="N25" s="2819" t="s">
        <v>2916</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2917</v>
      </c>
      <c r="C26" s="204"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2918</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2919</v>
      </c>
      <c r="C28" s="2831" t="s">
        <v>2920</v>
      </c>
      <c r="D28" s="2831" t="s">
        <v>2921</v>
      </c>
      <c r="E28" s="2832" t="s">
        <v>2922</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2923</v>
      </c>
      <c r="C29" s="204" t="e">
        <f>ROUND(C5*C18*C19*C20*C21*C24,0)</f>
        <v>#DIV/0!</v>
      </c>
      <c r="D29" s="2836"/>
      <c r="E29" s="937" t="e">
        <f>ROUND(C29*D29/10000,0)</f>
        <v>#DIV/0!</v>
      </c>
      <c r="F29" s="2837" t="s">
        <v>2924</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2925</v>
      </c>
      <c r="C30" s="227" t="e">
        <f>ROUND(IF(E2="工业",C29*M39,C29*M38),0)</f>
        <v>#DIV/0!</v>
      </c>
      <c r="D30" s="2842"/>
      <c r="E30" s="937" t="e">
        <f>ROUND(C30*D30/10000,0)</f>
        <v>#DIV/0!</v>
      </c>
      <c r="F30" s="2843" t="s">
        <v>2926</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2927</v>
      </c>
      <c r="C31" s="2848" t="s">
        <v>2928</v>
      </c>
      <c r="D31" s="2752"/>
      <c r="E31" s="2848"/>
      <c r="F31" s="2848"/>
      <c r="G31" s="2750" t="s">
        <v>2929</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9" t="s">
        <v>2920</v>
      </c>
      <c r="D32" s="496" t="s">
        <v>2921</v>
      </c>
      <c r="E32" s="496" t="s">
        <v>2922</v>
      </c>
      <c r="F32" s="386" t="s">
        <v>2930</v>
      </c>
      <c r="G32" s="2851" t="s">
        <v>2920</v>
      </c>
      <c r="H32" s="2851" t="s">
        <v>2921</v>
      </c>
      <c r="I32" s="2851" t="s">
        <v>2922</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281" t="s">
        <v>2931</v>
      </c>
      <c r="B33" s="2852" t="s">
        <v>2932</v>
      </c>
      <c r="C33" s="204" t="e">
        <f>ROUND(D5*C19*C20*C24*F33,0)</f>
        <v>#DIV/0!</v>
      </c>
      <c r="D33" s="2836"/>
      <c r="E33" s="198" t="e">
        <f>ROUND(C33*D33/10000,0)</f>
        <v>#DIV/0!</v>
      </c>
      <c r="F33" s="198">
        <f>SUMIF(修正!A45:A56,G2,修正!B45:B56)</f>
        <v>0.7</v>
      </c>
      <c r="G33" s="198" t="e">
        <f t="shared" ref="G33:G39" si="6">ROUND(IF(E2="工业",C33*$M$39,C33*$M$38),0)</f>
        <v>#DIV/0!</v>
      </c>
      <c r="H33" s="198">
        <f>D33</f>
        <v>0</v>
      </c>
      <c r="I33" s="198"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82"/>
      <c r="B34" s="2756" t="s">
        <v>2933</v>
      </c>
      <c r="C34" s="204" t="e">
        <f>ROUND(D5*C19*C20*C24*F34,0)</f>
        <v>#DIV/0!</v>
      </c>
      <c r="D34" s="2836"/>
      <c r="E34" s="198" t="e">
        <f t="shared" ref="E34:E39" si="7">ROUND(C34*D34/10000,0)</f>
        <v>#DIV/0!</v>
      </c>
      <c r="F34" s="198">
        <f>SUMIF(修正!A45:A56,G2,修正!C45:C56)</f>
        <v>0.4</v>
      </c>
      <c r="G34" s="198" t="e">
        <f t="shared" si="6"/>
        <v>#DIV/0!</v>
      </c>
      <c r="H34" s="198">
        <f t="shared" ref="H34:H39" si="8">D34</f>
        <v>0</v>
      </c>
      <c r="I34" s="198"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82"/>
      <c r="B35" s="2756" t="s">
        <v>2934</v>
      </c>
      <c r="C35" s="204" t="e">
        <f>ROUND(D5*C19*C20*C24*F35,0)</f>
        <v>#DIV/0!</v>
      </c>
      <c r="D35" s="2836"/>
      <c r="E35" s="198" t="e">
        <f t="shared" si="7"/>
        <v>#DIV/0!</v>
      </c>
      <c r="F35" s="198">
        <f>SUMIF(修正!A45:A56,G2,修正!D45:D56)</f>
        <v>0.28000000000000003</v>
      </c>
      <c r="G35" s="198" t="e">
        <f t="shared" si="6"/>
        <v>#DIV/0!</v>
      </c>
      <c r="H35" s="198">
        <f t="shared" si="8"/>
        <v>0</v>
      </c>
      <c r="I35" s="198"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283"/>
      <c r="B36" s="2756" t="s">
        <v>2935</v>
      </c>
      <c r="C36" s="204" t="e">
        <f>ROUND(D5*C19*C20*C24*F36,0)</f>
        <v>#DIV/0!</v>
      </c>
      <c r="D36" s="2836"/>
      <c r="E36" s="198" t="e">
        <f t="shared" si="7"/>
        <v>#DIV/0!</v>
      </c>
      <c r="F36" s="198">
        <f>SUMIF(修正!A45:A56,G2,修正!E45:E56)</f>
        <v>0.25</v>
      </c>
      <c r="G36" s="198" t="e">
        <f t="shared" si="6"/>
        <v>#DIV/0!</v>
      </c>
      <c r="H36" s="198">
        <f t="shared" si="8"/>
        <v>0</v>
      </c>
      <c r="I36" s="198"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2936</v>
      </c>
      <c r="C37" s="198" t="e">
        <f>ROUND(C5*C19*C20*C24*F37,0)</f>
        <v>#DIV/0!</v>
      </c>
      <c r="D37" s="2836"/>
      <c r="E37" s="198" t="e">
        <f t="shared" si="7"/>
        <v>#DIV/0!</v>
      </c>
      <c r="F37" s="204">
        <f>SUMIF(修正!A45:A56,G2,修正!F45:F56)</f>
        <v>0.25</v>
      </c>
      <c r="G37" s="198" t="e">
        <f t="shared" si="6"/>
        <v>#DIV/0!</v>
      </c>
      <c r="H37" s="198">
        <f t="shared" si="8"/>
        <v>0</v>
      </c>
      <c r="I37" s="198" t="e">
        <f t="shared" si="9"/>
        <v>#DIV/0!</v>
      </c>
      <c r="J37" s="2853"/>
      <c r="K37" s="1365"/>
      <c r="L37" s="2855" t="s">
        <v>2937</v>
      </c>
      <c r="M37" s="2856"/>
      <c r="N37" s="1365"/>
      <c r="O37" s="1365"/>
      <c r="P37" s="1365"/>
      <c r="Q37" s="1365"/>
      <c r="R37" s="1365"/>
      <c r="S37" s="1365"/>
      <c r="T37" s="1365"/>
      <c r="U37" s="1365"/>
      <c r="V37" s="1365"/>
      <c r="W37" s="1365"/>
      <c r="X37" s="1365"/>
      <c r="Y37" s="1365"/>
      <c r="Z37" s="1366"/>
    </row>
    <row r="38" spans="1:37">
      <c r="A38" s="2854"/>
      <c r="B38" s="2756" t="s">
        <v>2938</v>
      </c>
      <c r="C38" s="198" t="e">
        <f>ROUND(C5*C19*C20*C24*F38,0)</f>
        <v>#DIV/0!</v>
      </c>
      <c r="D38" s="2836"/>
      <c r="E38" s="198" t="e">
        <f t="shared" si="7"/>
        <v>#DIV/0!</v>
      </c>
      <c r="F38" s="204">
        <f>SUMIF(修正!A45:A56,G2,修正!G45:G56)</f>
        <v>0.25</v>
      </c>
      <c r="G38" s="198" t="e">
        <f t="shared" si="6"/>
        <v>#DIV/0!</v>
      </c>
      <c r="H38" s="198">
        <f t="shared" si="8"/>
        <v>0</v>
      </c>
      <c r="I38" s="198" t="e">
        <f t="shared" si="9"/>
        <v>#DIV/0!</v>
      </c>
      <c r="J38" s="2853"/>
      <c r="K38" s="1365"/>
      <c r="L38" s="1883" t="s">
        <v>2939</v>
      </c>
      <c r="M38" s="2857">
        <v>0.25</v>
      </c>
      <c r="N38" s="1365"/>
      <c r="O38" s="1365"/>
      <c r="P38" s="1365"/>
      <c r="Q38" s="1365"/>
      <c r="R38" s="1365"/>
      <c r="S38" s="1365"/>
      <c r="T38" s="1365"/>
      <c r="U38" s="1365"/>
      <c r="V38" s="1365"/>
      <c r="W38" s="1365"/>
      <c r="X38" s="1365"/>
      <c r="Y38" s="1365"/>
      <c r="Z38" s="1366"/>
    </row>
    <row r="39" spans="1:37" ht="13.5" thickBot="1">
      <c r="A39" s="2840"/>
      <c r="B39" s="2858" t="s">
        <v>2940</v>
      </c>
      <c r="C39" s="227" t="e">
        <f>ROUND(C5*C19*C20*C24*F39,0)</f>
        <v>#DIV/0!</v>
      </c>
      <c r="D39" s="2842"/>
      <c r="E39" s="227" t="e">
        <f t="shared" si="7"/>
        <v>#DIV/0!</v>
      </c>
      <c r="F39" s="927">
        <f>SUMIF(修正!A45:A56,G2,修正!H45:H56)</f>
        <v>0.2</v>
      </c>
      <c r="G39" s="227" t="e">
        <f t="shared" si="6"/>
        <v>#DIV/0!</v>
      </c>
      <c r="H39" s="227">
        <f t="shared" si="8"/>
        <v>0</v>
      </c>
      <c r="I39" s="227" t="e">
        <f t="shared" si="9"/>
        <v>#DIV/0!</v>
      </c>
      <c r="J39" s="2859"/>
      <c r="K39" s="1365"/>
      <c r="L39" s="2860" t="s">
        <v>2881</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2941</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2942</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2943</v>
      </c>
      <c r="B47" s="1805" t="s">
        <v>2944</v>
      </c>
      <c r="C47" s="1805" t="s">
        <v>2945</v>
      </c>
      <c r="D47" s="1805" t="s">
        <v>2946</v>
      </c>
      <c r="E47" s="811" t="s">
        <v>2947</v>
      </c>
      <c r="F47" s="2870" t="s">
        <v>2948</v>
      </c>
      <c r="G47" s="1805" t="s">
        <v>754</v>
      </c>
      <c r="H47" s="2871" t="s">
        <v>2949</v>
      </c>
      <c r="I47" s="1805" t="s">
        <v>2950</v>
      </c>
      <c r="J47" s="601" t="s">
        <v>2596</v>
      </c>
      <c r="K47" s="601" t="s">
        <v>2597</v>
      </c>
      <c r="L47" s="601" t="s">
        <v>2598</v>
      </c>
      <c r="M47" s="601" t="s">
        <v>2599</v>
      </c>
      <c r="N47" s="601" t="s">
        <v>2600</v>
      </c>
      <c r="AA47" s="1366"/>
      <c r="AB47" s="1366"/>
      <c r="AC47" s="1366"/>
      <c r="AD47" s="1366"/>
      <c r="AE47" s="1366"/>
      <c r="AF47" s="1366"/>
      <c r="AG47" s="1366"/>
      <c r="AH47" s="1366"/>
      <c r="AI47" s="1366"/>
      <c r="AJ47" s="1366"/>
      <c r="AK47" s="1366"/>
    </row>
    <row r="48" spans="1:37" s="1365" customFormat="1" ht="25.5">
      <c r="A48" s="2869" t="s">
        <v>2951</v>
      </c>
      <c r="B48" s="2872" t="str">
        <f>估价对象房地状况!C4</f>
        <v>估价对象零星分布商业，商业繁华度一般</v>
      </c>
      <c r="C48" s="2761"/>
      <c r="D48" s="1281">
        <f t="shared" ref="D48:D56" si="10">SUMIF($J$47:$N$47,C48,J48:N48)</f>
        <v>0</v>
      </c>
      <c r="E48" s="813">
        <f>ROUND(SUM(D48:D56),4)</f>
        <v>0</v>
      </c>
      <c r="F48" s="2495"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38.25">
      <c r="A49" s="2869" t="s">
        <v>2952</v>
      </c>
      <c r="B49" s="2873" t="str">
        <f>估价对象房地状况!C18</f>
        <v>周边有941、981路等公交线路经过，交通便捷度一般</v>
      </c>
      <c r="C49" s="2761"/>
      <c r="D49" s="1281">
        <f t="shared" si="10"/>
        <v>0</v>
      </c>
      <c r="E49" s="814"/>
      <c r="F49" s="2495"/>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5.5">
      <c r="A50" s="2869" t="s">
        <v>2953</v>
      </c>
      <c r="B50" s="2873" t="str">
        <f>估价对象房地状况!C19</f>
        <v>零星有其他用地，基本不影响本宗地</v>
      </c>
      <c r="C50" s="2761"/>
      <c r="D50" s="1281">
        <f t="shared" si="10"/>
        <v>0</v>
      </c>
      <c r="E50" s="814"/>
      <c r="F50" s="2495"/>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2954</v>
      </c>
      <c r="B51" s="2874" t="s">
        <v>2955</v>
      </c>
      <c r="C51" s="2761"/>
      <c r="D51" s="1281">
        <f t="shared" si="10"/>
        <v>0</v>
      </c>
      <c r="E51" s="814"/>
      <c r="F51" s="2495"/>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2956</v>
      </c>
      <c r="B52" s="2873" t="str">
        <f>估价对象房地状况!C24</f>
        <v>城市支路——未命名道路</v>
      </c>
      <c r="C52" s="2761"/>
      <c r="D52" s="1281">
        <f t="shared" si="10"/>
        <v>0</v>
      </c>
      <c r="E52" s="814"/>
      <c r="F52" s="2495"/>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2957</v>
      </c>
      <c r="B53" s="2875" t="s">
        <v>2958</v>
      </c>
      <c r="C53" s="2761"/>
      <c r="D53" s="1281">
        <f t="shared" si="10"/>
        <v>0</v>
      </c>
      <c r="E53" s="814"/>
      <c r="F53" s="2495"/>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2959</v>
      </c>
      <c r="B54" s="1721" t="str">
        <f>估价对象房地状况!C21</f>
        <v>估价对象所在区域公共配套设施齐备较差</v>
      </c>
      <c r="C54" s="2761"/>
      <c r="D54" s="1281">
        <f t="shared" si="10"/>
        <v>0</v>
      </c>
      <c r="E54" s="814"/>
      <c r="F54" s="2495"/>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6" t="s">
        <v>2960</v>
      </c>
      <c r="B55" s="2873" t="str">
        <f>估价对象房地状况!C22</f>
        <v>基础设施为七通</v>
      </c>
      <c r="C55" s="2761"/>
      <c r="D55" s="1281">
        <f t="shared" si="10"/>
        <v>0</v>
      </c>
      <c r="E55" s="814"/>
      <c r="F55" s="2495"/>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thickBot="1">
      <c r="A56" s="2877" t="s">
        <v>2961</v>
      </c>
      <c r="B56" s="2878" t="str">
        <f>估价对象房地状况!C20</f>
        <v>周边无大学等教育配套设施，有石门营文化公园等绿化设施，自然及人文环境一般</v>
      </c>
      <c r="C56" s="2761"/>
      <c r="D56" s="1281">
        <f t="shared" si="10"/>
        <v>0</v>
      </c>
      <c r="E56" s="817"/>
      <c r="F56" s="2495"/>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2962</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2943</v>
      </c>
      <c r="B58" s="1805"/>
      <c r="C58" s="1805" t="s">
        <v>2945</v>
      </c>
      <c r="D58" s="1805" t="s">
        <v>2946</v>
      </c>
      <c r="E58" s="811" t="s">
        <v>2947</v>
      </c>
      <c r="F58" s="2870" t="s">
        <v>2963</v>
      </c>
      <c r="G58" s="1805" t="s">
        <v>754</v>
      </c>
      <c r="H58" s="2871" t="s">
        <v>2949</v>
      </c>
      <c r="I58" s="1805" t="s">
        <v>2950</v>
      </c>
      <c r="J58" s="601" t="s">
        <v>2596</v>
      </c>
      <c r="K58" s="601" t="s">
        <v>2597</v>
      </c>
      <c r="L58" s="601" t="s">
        <v>2598</v>
      </c>
      <c r="M58" s="601" t="s">
        <v>2599</v>
      </c>
      <c r="N58" s="601" t="s">
        <v>2600</v>
      </c>
      <c r="AA58" s="1366"/>
      <c r="AB58" s="1366"/>
      <c r="AC58" s="1366"/>
      <c r="AD58" s="1366"/>
      <c r="AE58" s="1366"/>
      <c r="AF58" s="1366"/>
      <c r="AG58" s="1366"/>
      <c r="AH58" s="1366"/>
      <c r="AI58" s="1366"/>
      <c r="AJ58" s="1366"/>
      <c r="AK58" s="1366"/>
    </row>
    <row r="59" spans="1:37" s="1365" customFormat="1" ht="25.5">
      <c r="A59" s="2869" t="s">
        <v>2964</v>
      </c>
      <c r="B59" s="2872" t="str">
        <f>估价对象房地状况!C17</f>
        <v>估价对象周边办公楼项目较少，办公集聚程度一般</v>
      </c>
      <c r="C59" s="2761"/>
      <c r="D59" s="1281">
        <f t="shared" ref="D59:D67" si="15">SUMIF($J$58:$N$58,C59,J59:N59)</f>
        <v>0</v>
      </c>
      <c r="E59" s="813">
        <f>ROUND(SUM(D59:D67),4)</f>
        <v>0</v>
      </c>
      <c r="F59" s="2495"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38.25">
      <c r="A60" s="2869" t="s">
        <v>2952</v>
      </c>
      <c r="B60" s="2873" t="str">
        <f>估价对象房地状况!C18</f>
        <v>周边有941、981路等公交线路经过，交通便捷度一般</v>
      </c>
      <c r="C60" s="2761"/>
      <c r="D60" s="1281">
        <f t="shared" si="15"/>
        <v>0</v>
      </c>
      <c r="E60" s="814"/>
      <c r="F60" s="2495"/>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5.5">
      <c r="A61" s="2869" t="s">
        <v>2953</v>
      </c>
      <c r="B61" s="2873" t="str">
        <f>估价对象房地状况!C19</f>
        <v>零星有其他用地，基本不影响本宗地</v>
      </c>
      <c r="C61" s="2761"/>
      <c r="D61" s="1281">
        <f t="shared" si="15"/>
        <v>0</v>
      </c>
      <c r="E61" s="814"/>
      <c r="F61" s="2495"/>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2954</v>
      </c>
      <c r="B62" s="2874" t="s">
        <v>2955</v>
      </c>
      <c r="C62" s="2761"/>
      <c r="D62" s="1281">
        <f t="shared" si="15"/>
        <v>0</v>
      </c>
      <c r="E62" s="814"/>
      <c r="F62" s="2495"/>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2956</v>
      </c>
      <c r="B63" s="2873" t="str">
        <f>估价对象房地状况!C24</f>
        <v>城市支路——未命名道路</v>
      </c>
      <c r="C63" s="2761"/>
      <c r="D63" s="1281">
        <f t="shared" si="15"/>
        <v>0</v>
      </c>
      <c r="E63" s="814"/>
      <c r="F63" s="2495"/>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2957</v>
      </c>
      <c r="B64" s="2875" t="s">
        <v>2958</v>
      </c>
      <c r="C64" s="2761"/>
      <c r="D64" s="1281">
        <f t="shared" si="15"/>
        <v>0</v>
      </c>
      <c r="E64" s="814"/>
      <c r="F64" s="2495"/>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2959</v>
      </c>
      <c r="B65" s="1721" t="str">
        <f>估价对象房地状况!C21</f>
        <v>估价对象所在区域公共配套设施齐备较差</v>
      </c>
      <c r="C65" s="2761"/>
      <c r="D65" s="1281">
        <f t="shared" si="15"/>
        <v>0</v>
      </c>
      <c r="E65" s="814"/>
      <c r="F65" s="2495"/>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9" t="s">
        <v>2960</v>
      </c>
      <c r="B66" s="1721" t="str">
        <f>估价对象房地状况!C22</f>
        <v>基础设施为七通</v>
      </c>
      <c r="C66" s="2761"/>
      <c r="D66" s="1281">
        <f t="shared" si="15"/>
        <v>0</v>
      </c>
      <c r="E66" s="814"/>
      <c r="F66" s="2495"/>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thickBot="1">
      <c r="A67" s="2877" t="s">
        <v>2961</v>
      </c>
      <c r="B67" s="2879" t="str">
        <f>估价对象房地状况!C20</f>
        <v>周边无大学等教育配套设施，有石门营文化公园等绿化设施，自然及人文环境一般</v>
      </c>
      <c r="C67" s="2761"/>
      <c r="D67" s="1281">
        <f t="shared" si="15"/>
        <v>0</v>
      </c>
      <c r="E67" s="817"/>
      <c r="F67" s="2495"/>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2965</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2943</v>
      </c>
      <c r="B69" s="1805"/>
      <c r="C69" s="1805" t="s">
        <v>2945</v>
      </c>
      <c r="D69" s="1805" t="s">
        <v>2946</v>
      </c>
      <c r="E69" s="811" t="s">
        <v>2947</v>
      </c>
      <c r="F69" s="2870" t="s">
        <v>2963</v>
      </c>
      <c r="G69" s="1805" t="s">
        <v>754</v>
      </c>
      <c r="H69" s="2871" t="s">
        <v>2949</v>
      </c>
      <c r="I69" s="1805" t="s">
        <v>2950</v>
      </c>
      <c r="J69" s="601" t="s">
        <v>2596</v>
      </c>
      <c r="K69" s="601" t="s">
        <v>2597</v>
      </c>
      <c r="L69" s="601" t="s">
        <v>2598</v>
      </c>
      <c r="M69" s="601" t="s">
        <v>2599</v>
      </c>
      <c r="N69" s="601" t="s">
        <v>2600</v>
      </c>
      <c r="AA69" s="1366"/>
      <c r="AB69" s="1366"/>
      <c r="AC69" s="1366"/>
      <c r="AD69" s="1366"/>
      <c r="AE69" s="1366"/>
      <c r="AF69" s="1366"/>
      <c r="AG69" s="1366"/>
      <c r="AH69" s="1366"/>
      <c r="AI69" s="1366"/>
      <c r="AJ69" s="1366"/>
      <c r="AK69" s="1366"/>
    </row>
    <row r="70" spans="1:37" s="1365" customFormat="1" ht="38.25">
      <c r="A70" s="2869" t="s">
        <v>2966</v>
      </c>
      <c r="B70" s="2872" t="str">
        <f>估价对象房地状况!C15</f>
        <v>周边2公里内有泷悦长安、梧桐苑等住宅项目，居住社区成熟度一般</v>
      </c>
      <c r="C70" s="2761"/>
      <c r="D70" s="1281">
        <f t="shared" ref="D70:D78" si="20">SUMIF($J$69:$N$69,C70,J70:N70)</f>
        <v>0</v>
      </c>
      <c r="E70" s="813">
        <f>ROUND(SUM(D70:D78),4)</f>
        <v>0</v>
      </c>
      <c r="F70" s="2495"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38.25">
      <c r="A71" s="2869" t="s">
        <v>2952</v>
      </c>
      <c r="B71" s="2873" t="str">
        <f>估价对象房地状况!C18</f>
        <v>周边有941、981路等公交线路经过，交通便捷度一般</v>
      </c>
      <c r="C71" s="2761"/>
      <c r="D71" s="1281">
        <f t="shared" si="20"/>
        <v>0</v>
      </c>
      <c r="E71" s="818"/>
      <c r="F71" s="2495"/>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5.5">
      <c r="A72" s="2869" t="s">
        <v>2953</v>
      </c>
      <c r="B72" s="2873" t="str">
        <f>估价对象房地状况!C19</f>
        <v>零星有其他用地，基本不影响本宗地</v>
      </c>
      <c r="C72" s="2761"/>
      <c r="D72" s="1281">
        <f t="shared" si="20"/>
        <v>0</v>
      </c>
      <c r="E72" s="818"/>
      <c r="F72" s="2495"/>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2967</v>
      </c>
      <c r="B73" s="2873" t="str">
        <f>估价对象房地状况!C24</f>
        <v>城市支路——未命名道路</v>
      </c>
      <c r="C73" s="2761"/>
      <c r="D73" s="1281">
        <f t="shared" si="20"/>
        <v>0</v>
      </c>
      <c r="E73" s="818"/>
      <c r="F73" s="2495"/>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2959</v>
      </c>
      <c r="B74" s="1721" t="str">
        <f>估价对象房地状况!C21</f>
        <v>估价对象所在区域公共配套设施齐备较差</v>
      </c>
      <c r="C74" s="2761"/>
      <c r="D74" s="1281">
        <f t="shared" si="20"/>
        <v>0</v>
      </c>
      <c r="E74" s="818"/>
      <c r="F74" s="2495"/>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9" t="s">
        <v>2960</v>
      </c>
      <c r="B75" s="1721" t="str">
        <f>估价对象房地状况!C22</f>
        <v>基础设施为七通</v>
      </c>
      <c r="C75" s="2761"/>
      <c r="D75" s="1281">
        <f t="shared" si="20"/>
        <v>0</v>
      </c>
      <c r="E75" s="818"/>
      <c r="F75" s="2495"/>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2957</v>
      </c>
      <c r="B76" s="2875" t="s">
        <v>2958</v>
      </c>
      <c r="C76" s="2761"/>
      <c r="D76" s="1281">
        <f t="shared" si="20"/>
        <v>0</v>
      </c>
      <c r="E76" s="818"/>
      <c r="F76" s="2495"/>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51">
      <c r="A77" s="2869" t="s">
        <v>2961</v>
      </c>
      <c r="B77" s="2872" t="str">
        <f>估价对象房地状况!C20</f>
        <v>周边无大学等教育配套设施，有石门营文化公园等绿化设施，自然及人文环境一般</v>
      </c>
      <c r="C77" s="2761"/>
      <c r="D77" s="1281">
        <f t="shared" si="20"/>
        <v>0</v>
      </c>
      <c r="E77" s="818"/>
      <c r="F77" s="2495"/>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2968</v>
      </c>
      <c r="B78" s="2881"/>
      <c r="C78" s="2761"/>
      <c r="D78" s="1281">
        <f t="shared" si="20"/>
        <v>0</v>
      </c>
      <c r="E78" s="819"/>
      <c r="F78" s="2495"/>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2969</v>
      </c>
      <c r="B79" s="2866">
        <f>1+E81</f>
        <v>1</v>
      </c>
      <c r="C79" s="806"/>
      <c r="D79" s="806"/>
      <c r="E79" s="807"/>
      <c r="F79" s="2868"/>
      <c r="G79" s="6"/>
      <c r="H79" s="6"/>
      <c r="I79" s="6"/>
      <c r="J79" s="7"/>
      <c r="K79" s="7"/>
      <c r="L79" s="7"/>
      <c r="M79" s="7"/>
      <c r="N79" s="7"/>
      <c r="Z79" s="2711"/>
      <c r="AA79" s="2787"/>
      <c r="AG79" s="1367"/>
      <c r="AK79" s="2787"/>
    </row>
    <row r="80" spans="1:37" ht="24.75">
      <c r="A80" s="2869" t="s">
        <v>2943</v>
      </c>
      <c r="B80" s="1805"/>
      <c r="C80" s="1805" t="s">
        <v>2945</v>
      </c>
      <c r="D80" s="1805" t="s">
        <v>2946</v>
      </c>
      <c r="E80" s="811" t="s">
        <v>2947</v>
      </c>
      <c r="F80" s="2870" t="s">
        <v>2963</v>
      </c>
      <c r="G80" s="1805" t="s">
        <v>754</v>
      </c>
      <c r="H80" s="2871" t="s">
        <v>2949</v>
      </c>
      <c r="I80" s="1805" t="s">
        <v>2950</v>
      </c>
      <c r="J80" s="601" t="s">
        <v>2596</v>
      </c>
      <c r="K80" s="601" t="s">
        <v>2597</v>
      </c>
      <c r="L80" s="601" t="s">
        <v>2598</v>
      </c>
      <c r="M80" s="601" t="s">
        <v>2599</v>
      </c>
      <c r="N80" s="601" t="s">
        <v>2600</v>
      </c>
      <c r="Z80" s="2711"/>
      <c r="AA80" s="2787"/>
      <c r="AG80" s="1367"/>
      <c r="AK80" s="2787"/>
    </row>
    <row r="81" spans="1:37" ht="38.25">
      <c r="A81" s="2869" t="s">
        <v>2970</v>
      </c>
      <c r="B81" s="2873" t="str">
        <f>估价对象房地状况!G15</f>
        <v>估价对象位于XX开发区，园区建设成熟度XX，产业集聚程度XX</v>
      </c>
      <c r="C81" s="2761"/>
      <c r="D81" s="1281">
        <f t="shared" ref="D81:D88" si="25">SUMIF($J$80:$N$80,C81,J81:N81)</f>
        <v>0</v>
      </c>
      <c r="E81" s="813">
        <f>ROUND(SUM(D81:D88),4)</f>
        <v>0</v>
      </c>
      <c r="F81" s="2495"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2952</v>
      </c>
      <c r="B82" s="2873" t="str">
        <f>估价对象房地状况!G16</f>
        <v>估价对象周边道路状况、公共交通通达情况、停车便捷程度，综合评价交通便捷度较好</v>
      </c>
      <c r="C82" s="2761"/>
      <c r="D82" s="1281">
        <f t="shared" si="25"/>
        <v>0</v>
      </c>
      <c r="E82" s="818"/>
      <c r="F82" s="2495"/>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2953</v>
      </c>
      <c r="B83" s="2873">
        <f>估价对象房地状况!G17</f>
        <v>0</v>
      </c>
      <c r="C83" s="2761"/>
      <c r="D83" s="1281">
        <f t="shared" si="25"/>
        <v>0</v>
      </c>
      <c r="E83" s="818"/>
      <c r="F83" s="2495"/>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2967</v>
      </c>
      <c r="B84" s="2873">
        <f>估价对象房地状况!G22</f>
        <v>0</v>
      </c>
      <c r="C84" s="2761"/>
      <c r="D84" s="1281">
        <f t="shared" si="25"/>
        <v>0</v>
      </c>
      <c r="E84" s="818"/>
      <c r="F84" s="2495"/>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2959</v>
      </c>
      <c r="B85" s="1721" t="str">
        <f>估价对象房地状况!G19</f>
        <v>估价对象所在区域公共配套设施齐备情况</v>
      </c>
      <c r="C85" s="2761"/>
      <c r="D85" s="1281">
        <f t="shared" si="25"/>
        <v>0</v>
      </c>
      <c r="E85" s="818"/>
      <c r="F85" s="2495"/>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2960</v>
      </c>
      <c r="B86" s="1721" t="str">
        <f>估价对象房地状况!G20</f>
        <v>估价对象所在区域基础设施水平</v>
      </c>
      <c r="C86" s="2761"/>
      <c r="D86" s="1281">
        <f t="shared" si="25"/>
        <v>0</v>
      </c>
      <c r="E86" s="818"/>
      <c r="F86" s="2495"/>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2957</v>
      </c>
      <c r="B87" s="2875" t="s">
        <v>2971</v>
      </c>
      <c r="C87" s="2761"/>
      <c r="D87" s="1281">
        <f t="shared" si="25"/>
        <v>0</v>
      </c>
      <c r="E87" s="818"/>
      <c r="F87" s="2495"/>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2972</v>
      </c>
      <c r="B88" s="2882" t="str">
        <f>估价对象房地状况!G18</f>
        <v>该园区内是否有污染型企业，绿化情况，卫生条件，整体环境状况判断</v>
      </c>
      <c r="C88" s="2761"/>
      <c r="D88" s="1281">
        <f t="shared" si="25"/>
        <v>0</v>
      </c>
      <c r="E88" s="819"/>
      <c r="F88" s="2495"/>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75" t="s">
        <v>2973</v>
      </c>
      <c r="B90" s="3275"/>
      <c r="C90" s="3275"/>
      <c r="D90" s="3275"/>
      <c r="E90" s="3275"/>
      <c r="F90" s="3275"/>
      <c r="G90" s="3275"/>
      <c r="H90" s="3275"/>
      <c r="I90" s="3275"/>
      <c r="J90" s="3275"/>
      <c r="K90" s="2883"/>
      <c r="L90" s="2883"/>
      <c r="M90" s="2883"/>
      <c r="N90" s="2883"/>
    </row>
    <row r="91" spans="1:37">
      <c r="A91" s="3277" t="s">
        <v>2974</v>
      </c>
      <c r="B91" s="3277" t="s">
        <v>2975</v>
      </c>
      <c r="C91" s="2837" t="s">
        <v>2976</v>
      </c>
      <c r="D91" s="2838"/>
      <c r="E91" s="2838"/>
      <c r="F91" s="2838"/>
      <c r="G91" s="2838"/>
      <c r="H91" s="2838"/>
      <c r="I91" s="2838"/>
      <c r="J91" s="2884"/>
      <c r="K91" s="2885"/>
      <c r="L91" s="2885"/>
      <c r="M91" s="2885"/>
      <c r="N91" s="2885"/>
    </row>
    <row r="92" spans="1:37">
      <c r="A92" s="3277"/>
      <c r="B92" s="3277"/>
      <c r="C92" s="937" t="s">
        <v>2840</v>
      </c>
      <c r="D92" s="937" t="s">
        <v>2841</v>
      </c>
      <c r="E92" s="937" t="s">
        <v>2842</v>
      </c>
      <c r="F92" s="937" t="s">
        <v>2843</v>
      </c>
      <c r="G92" s="937" t="s">
        <v>2844</v>
      </c>
      <c r="H92" s="937" t="s">
        <v>2845</v>
      </c>
      <c r="I92" s="937" t="s">
        <v>2846</v>
      </c>
      <c r="J92" s="937" t="s">
        <v>2847</v>
      </c>
      <c r="K92" s="937" t="s">
        <v>2848</v>
      </c>
      <c r="L92" s="937" t="s">
        <v>2849</v>
      </c>
      <c r="M92" s="937" t="s">
        <v>2850</v>
      </c>
      <c r="N92" s="937" t="s">
        <v>2851</v>
      </c>
    </row>
    <row r="93" spans="1:37">
      <c r="A93" s="3278" t="s">
        <v>2977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7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7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7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7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7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79"/>
      <c r="B99" s="2886" t="s">
        <v>2856</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78" t="s">
        <v>2978</v>
      </c>
      <c r="B101" s="2890" t="s">
        <v>2979</v>
      </c>
      <c r="C101" s="2891">
        <f>$G$3</f>
        <v>2.79</v>
      </c>
      <c r="D101" s="2891">
        <f t="shared" ref="D101:N101" si="31">$G$3</f>
        <v>2.79</v>
      </c>
      <c r="E101" s="2891">
        <f t="shared" si="31"/>
        <v>2.79</v>
      </c>
      <c r="F101" s="2891">
        <f t="shared" si="31"/>
        <v>2.79</v>
      </c>
      <c r="G101" s="2891">
        <f t="shared" si="31"/>
        <v>2.79</v>
      </c>
      <c r="H101" s="2891">
        <f t="shared" si="31"/>
        <v>2.79</v>
      </c>
      <c r="I101" s="2891">
        <f t="shared" si="31"/>
        <v>2.79</v>
      </c>
      <c r="J101" s="2891">
        <f t="shared" si="31"/>
        <v>2.79</v>
      </c>
      <c r="K101" s="2891">
        <f t="shared" si="31"/>
        <v>2.79</v>
      </c>
      <c r="L101" s="2891">
        <f t="shared" si="31"/>
        <v>2.79</v>
      </c>
      <c r="M101" s="2891">
        <f t="shared" si="31"/>
        <v>2.79</v>
      </c>
      <c r="N101" s="2891">
        <f t="shared" si="31"/>
        <v>2.79</v>
      </c>
    </row>
    <row r="102" spans="1:14">
      <c r="A102" s="3279"/>
      <c r="B102" s="2886">
        <v>1</v>
      </c>
      <c r="C102" s="2887">
        <f>1.9362/C101</f>
        <v>0.69397849462365591</v>
      </c>
      <c r="D102" s="2887">
        <f>1.9362/D101</f>
        <v>0.69397849462365591</v>
      </c>
      <c r="E102" s="2887">
        <f>1.8629/E101</f>
        <v>0.6677060931899641</v>
      </c>
      <c r="F102" s="2887">
        <f>1.8629/F101</f>
        <v>0.6677060931899641</v>
      </c>
      <c r="G102" s="2887">
        <f>1.8629/G101</f>
        <v>0.6677060931899641</v>
      </c>
      <c r="H102" s="2887">
        <f>1.8629/H101</f>
        <v>0.6677060931899641</v>
      </c>
      <c r="I102" s="2887">
        <f>1.8629/I101</f>
        <v>0.6677060931899641</v>
      </c>
      <c r="J102" s="2887">
        <f>1.942/J101</f>
        <v>0.69605734767025085</v>
      </c>
      <c r="K102" s="2887">
        <f>1.942/K101</f>
        <v>0.69605734767025085</v>
      </c>
      <c r="L102" s="2887">
        <f>1.942/L101</f>
        <v>0.69605734767025085</v>
      </c>
      <c r="M102" s="2887">
        <f>1.942/M101</f>
        <v>0.69605734767025085</v>
      </c>
      <c r="N102" s="2887">
        <f>1.942/N101</f>
        <v>0.69605734767025085</v>
      </c>
    </row>
    <row r="103" spans="1:14">
      <c r="A103" s="3279"/>
      <c r="B103" s="2886">
        <v>2</v>
      </c>
      <c r="C103" s="2887">
        <f>1.4198/C101</f>
        <v>0.50888888888888884</v>
      </c>
      <c r="D103" s="2887">
        <f>1.4198/D101</f>
        <v>0.50888888888888884</v>
      </c>
      <c r="E103" s="2887">
        <f>1.3372/E101</f>
        <v>0.47928315412186379</v>
      </c>
      <c r="F103" s="2887">
        <f>1.3372/F101</f>
        <v>0.47928315412186379</v>
      </c>
      <c r="G103" s="2887">
        <f>1.3372/G101</f>
        <v>0.47928315412186379</v>
      </c>
      <c r="H103" s="2887">
        <f>1.3372/H101</f>
        <v>0.47928315412186379</v>
      </c>
      <c r="I103" s="2887">
        <f>1.3372/I101</f>
        <v>0.47928315412186379</v>
      </c>
      <c r="J103" s="2887">
        <f>1.2799/J101</f>
        <v>0.45874551971326166</v>
      </c>
      <c r="K103" s="2887">
        <f>1.2799/K101</f>
        <v>0.45874551971326166</v>
      </c>
      <c r="L103" s="2887">
        <f>1.2799/L101</f>
        <v>0.45874551971326166</v>
      </c>
      <c r="M103" s="2887">
        <f>1.2799/M101</f>
        <v>0.45874551971326166</v>
      </c>
      <c r="N103" s="2887">
        <f>1.2799/N101</f>
        <v>0.45874551971326166</v>
      </c>
    </row>
    <row r="104" spans="1:14">
      <c r="A104" s="3279"/>
      <c r="B104" s="2886">
        <v>3</v>
      </c>
      <c r="C104" s="2887">
        <f>1.1594/C101</f>
        <v>0.41555555555555557</v>
      </c>
      <c r="D104" s="2887">
        <f>1.1594/D101</f>
        <v>0.41555555555555557</v>
      </c>
      <c r="E104" s="2887">
        <f>1.0788/E101</f>
        <v>0.38666666666666666</v>
      </c>
      <c r="F104" s="2887">
        <f>1.0788/F101</f>
        <v>0.38666666666666666</v>
      </c>
      <c r="G104" s="2887">
        <f>1.0788/G101</f>
        <v>0.38666666666666666</v>
      </c>
      <c r="H104" s="2887">
        <f>1.0788/H101</f>
        <v>0.38666666666666666</v>
      </c>
      <c r="I104" s="2887">
        <f>1.0788/I101</f>
        <v>0.38666666666666666</v>
      </c>
      <c r="J104" s="2887">
        <f>1.0072/J101</f>
        <v>0.36100358422939072</v>
      </c>
      <c r="K104" s="2887">
        <f>1.0072/K101</f>
        <v>0.36100358422939072</v>
      </c>
      <c r="L104" s="2887">
        <f>1.0072/L101</f>
        <v>0.36100358422939072</v>
      </c>
      <c r="M104" s="2887">
        <f>1.0072/M101</f>
        <v>0.36100358422939072</v>
      </c>
      <c r="N104" s="2887">
        <f>1.0072/N101</f>
        <v>0.36100358422939072</v>
      </c>
    </row>
    <row r="105" spans="1:14">
      <c r="A105" s="3279"/>
      <c r="B105" s="2886">
        <v>4</v>
      </c>
      <c r="C105" s="2887">
        <f>0.9622/C101</f>
        <v>0.34487455197132616</v>
      </c>
      <c r="D105" s="2887">
        <f>0.9622/D101</f>
        <v>0.34487455197132616</v>
      </c>
      <c r="E105" s="2887">
        <f>0.8656/E101</f>
        <v>0.31025089605734768</v>
      </c>
      <c r="F105" s="2887">
        <f>0.8656/F101</f>
        <v>0.31025089605734768</v>
      </c>
      <c r="G105" s="2887">
        <f>0.8656/G101</f>
        <v>0.31025089605734768</v>
      </c>
      <c r="H105" s="2887">
        <f>0.8656/H101</f>
        <v>0.31025089605734768</v>
      </c>
      <c r="I105" s="2887">
        <f>0.8656/I101</f>
        <v>0.31025089605734768</v>
      </c>
      <c r="J105" s="2887">
        <f>0.7525/J101</f>
        <v>0.26971326164874548</v>
      </c>
      <c r="K105" s="2887">
        <f>0.7525/K101</f>
        <v>0.26971326164874548</v>
      </c>
      <c r="L105" s="2887">
        <f>0.7525/L101</f>
        <v>0.26971326164874548</v>
      </c>
      <c r="M105" s="2887">
        <f>0.7525/M101</f>
        <v>0.26971326164874548</v>
      </c>
      <c r="N105" s="2887">
        <f>0.7525/N101</f>
        <v>0.26971326164874548</v>
      </c>
    </row>
    <row r="106" spans="1:14">
      <c r="A106" s="3279"/>
      <c r="B106" s="2886">
        <v>5</v>
      </c>
      <c r="C106" s="2887">
        <f>0.8417/C101</f>
        <v>0.30168458781362006</v>
      </c>
      <c r="D106" s="2887">
        <f>0.8417/D101</f>
        <v>0.30168458781362006</v>
      </c>
      <c r="E106" s="2887">
        <f>0.7371/E101</f>
        <v>0.26419354838709674</v>
      </c>
      <c r="F106" s="2887">
        <f>0.7371/F101</f>
        <v>0.26419354838709674</v>
      </c>
      <c r="G106" s="2887">
        <f>0.7371/G101</f>
        <v>0.26419354838709674</v>
      </c>
      <c r="H106" s="2887">
        <f>0.7371/H101</f>
        <v>0.26419354838709674</v>
      </c>
      <c r="I106" s="2887">
        <f>0.7371/I101</f>
        <v>0.26419354838709674</v>
      </c>
      <c r="J106" s="2887">
        <f>0.5659/J101</f>
        <v>0.20283154121863797</v>
      </c>
      <c r="K106" s="2887">
        <f>0.5659/K101</f>
        <v>0.20283154121863797</v>
      </c>
      <c r="L106" s="2887">
        <f>0.5659/L101</f>
        <v>0.20283154121863797</v>
      </c>
      <c r="M106" s="2887">
        <f>0.5659/M101</f>
        <v>0.20283154121863797</v>
      </c>
      <c r="N106" s="2887">
        <f>0.5659/N101</f>
        <v>0.20283154121863797</v>
      </c>
    </row>
    <row r="107" spans="1:14">
      <c r="A107" s="3279"/>
      <c r="B107" s="2886">
        <v>6</v>
      </c>
      <c r="C107" s="2887">
        <f>0.7608/C101</f>
        <v>0.27268817204301077</v>
      </c>
      <c r="D107" s="2887">
        <f>0.7608/D101</f>
        <v>0.27268817204301077</v>
      </c>
      <c r="E107" s="2887">
        <f>0.6482/E101</f>
        <v>0.23232974910394266</v>
      </c>
      <c r="F107" s="2887">
        <f>0.6482/F101</f>
        <v>0.23232974910394266</v>
      </c>
      <c r="G107" s="2887">
        <f>0.6482/G101</f>
        <v>0.23232974910394266</v>
      </c>
      <c r="H107" s="2887">
        <f>0.6482/H101</f>
        <v>0.23232974910394266</v>
      </c>
      <c r="I107" s="2887">
        <f>0.6482/I101</f>
        <v>0.23232974910394266</v>
      </c>
      <c r="J107" s="2887">
        <f>0.4525/J101</f>
        <v>0.16218637992831542</v>
      </c>
      <c r="K107" s="2887">
        <f>0.4525/K101</f>
        <v>0.16218637992831542</v>
      </c>
      <c r="L107" s="2887">
        <f>0.4525/L101</f>
        <v>0.16218637992831542</v>
      </c>
      <c r="M107" s="2887">
        <f>0.4525/M101</f>
        <v>0.16218637992831542</v>
      </c>
      <c r="N107" s="2887">
        <f>0.4525/N101</f>
        <v>0.16218637992831542</v>
      </c>
    </row>
    <row r="108" spans="1:14">
      <c r="A108" s="3279"/>
      <c r="B108" s="3097" t="s">
        <v>2980</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0"/>
      <c r="B109" s="3098"/>
      <c r="C109" s="2889">
        <f>(-0.163*(C108^2)-0.59*C108+7617)*(10^(-4))/C101</f>
        <v>0.27301075268817204</v>
      </c>
      <c r="D109" s="2889">
        <f>(-0.163*(D108^2)-0.59*D108+7617)*(10^(-4))/D101</f>
        <v>0.27301075268817204</v>
      </c>
      <c r="E109" s="2889">
        <f>(-0.161*(E108^2)-7.509*E108+6533)*(10^(-4))/E101</f>
        <v>0.23415770609318995</v>
      </c>
      <c r="F109" s="2889">
        <f>(-0.161*(F108^2)-7.509*F108+6533)*(10^(-4))/F101</f>
        <v>0.23415770609318995</v>
      </c>
      <c r="G109" s="2889">
        <f>(-0.161*(G108^2)-7.509*G108+6533)*(10^(-4))/G101</f>
        <v>0.23415770609318995</v>
      </c>
      <c r="H109" s="2889">
        <f>(-0.161*(H108^2)-7.509*H108+6533)*(10^(-4))/H101</f>
        <v>0.23415770609318995</v>
      </c>
      <c r="I109" s="2889">
        <f>(-0.161*(I108^2)-7.509*I108+6533)*(10^(-4))/I101</f>
        <v>0.23415770609318995</v>
      </c>
      <c r="J109" s="2889">
        <f>(-0.214*(J108^2)-21.991*J108+4665)*(10^(-4))/J101</f>
        <v>0.16720430107526882</v>
      </c>
      <c r="K109" s="2889">
        <f>(-0.214*(K108^2)-21.991*K108+4665)*(10^(-4))/K101</f>
        <v>0.16720430107526882</v>
      </c>
      <c r="L109" s="2889">
        <f>(-0.214*(L108^2)-21.991*L108+4665)*(10^(-4))/L101</f>
        <v>0.16720430107526882</v>
      </c>
      <c r="M109" s="2889">
        <f>(-0.214*(M108^2)-21.991*M108+4665)*(10^(-4))/M101</f>
        <v>0.16720430107526882</v>
      </c>
      <c r="N109" s="2889">
        <f>(-0.214*(N108^2)-21.991*N108+4665)*(10^(-4))/N101</f>
        <v>0.16720430107526882</v>
      </c>
    </row>
    <row r="110" spans="1:14">
      <c r="A110" s="3276" t="s">
        <v>2981</v>
      </c>
      <c r="B110" s="3276"/>
      <c r="C110" s="3276"/>
      <c r="D110" s="3276"/>
      <c r="E110" s="3276"/>
      <c r="F110" s="3276"/>
      <c r="G110" s="3276"/>
      <c r="H110" s="3276"/>
      <c r="I110" s="3276"/>
      <c r="J110" s="3276"/>
      <c r="K110" s="2892"/>
      <c r="L110" s="2892"/>
      <c r="M110" s="2892"/>
      <c r="N110" s="2892"/>
    </row>
    <row r="112" spans="1:14" ht="13.5" thickBot="1"/>
    <row r="113" spans="1:13" ht="25.5" thickBot="1">
      <c r="A113" s="895" t="s">
        <v>2982</v>
      </c>
      <c r="B113" s="1282">
        <f>G3</f>
        <v>2.79</v>
      </c>
      <c r="C113" s="896" t="s">
        <v>2983</v>
      </c>
      <c r="D113" s="897">
        <f>SUMPRODUCT((A115:A118=F113)*(B114:M114=H113)*B115:M118)</f>
        <v>0</v>
      </c>
      <c r="E113" s="2715" t="s">
        <v>2813</v>
      </c>
      <c r="F113" s="2894">
        <f>E2</f>
        <v>0</v>
      </c>
      <c r="G113" s="2715" t="s">
        <v>2814</v>
      </c>
      <c r="H113" s="2894" t="str">
        <f>G2</f>
        <v>七级</v>
      </c>
      <c r="I113" s="2715"/>
      <c r="J113" s="2895"/>
      <c r="K113" s="2895"/>
      <c r="L113" s="2895"/>
      <c r="M113" s="2895"/>
    </row>
    <row r="114" spans="1:13">
      <c r="A114" s="900"/>
      <c r="B114" s="2896" t="s">
        <v>2984</v>
      </c>
      <c r="C114" s="2896" t="s">
        <v>2985</v>
      </c>
      <c r="D114" s="2896" t="s">
        <v>2986</v>
      </c>
      <c r="E114" s="2897" t="s">
        <v>2987</v>
      </c>
      <c r="F114" s="2897" t="s">
        <v>2988</v>
      </c>
      <c r="G114" s="2897" t="s">
        <v>2989</v>
      </c>
      <c r="H114" s="2898" t="s">
        <v>2990</v>
      </c>
      <c r="I114" s="2898" t="s">
        <v>2991</v>
      </c>
      <c r="J114" s="2899" t="s">
        <v>2992</v>
      </c>
      <c r="K114" s="2899" t="s">
        <v>2993</v>
      </c>
      <c r="L114" s="2899" t="s">
        <v>2994</v>
      </c>
      <c r="M114" s="2900" t="s">
        <v>2995</v>
      </c>
    </row>
    <row r="115" spans="1:13">
      <c r="A115" s="901" t="s">
        <v>2878</v>
      </c>
      <c r="B115" s="902">
        <f>ROUND(0.9335-0.0094*B113,4)</f>
        <v>0.9073</v>
      </c>
      <c r="C115" s="902">
        <f>B115</f>
        <v>0.9073</v>
      </c>
      <c r="D115" s="902">
        <f>ROUND(0.8331-0.0109*B113,4)</f>
        <v>0.80269999999999997</v>
      </c>
      <c r="E115" s="902">
        <f>D115</f>
        <v>0.80269999999999997</v>
      </c>
      <c r="F115" s="902">
        <f>E115</f>
        <v>0.80269999999999997</v>
      </c>
      <c r="G115" s="902">
        <f>F115</f>
        <v>0.80269999999999997</v>
      </c>
      <c r="H115" s="902">
        <f>G115</f>
        <v>0.80269999999999997</v>
      </c>
      <c r="I115" s="902">
        <f>ROUND(0.689-0.0155*B113,4)</f>
        <v>0.64580000000000004</v>
      </c>
      <c r="J115" s="902">
        <f t="shared" ref="J115:M118" si="33">I115</f>
        <v>0.64580000000000004</v>
      </c>
      <c r="K115" s="902">
        <f t="shared" si="33"/>
        <v>0.64580000000000004</v>
      </c>
      <c r="L115" s="902">
        <f t="shared" si="33"/>
        <v>0.64580000000000004</v>
      </c>
      <c r="M115" s="903">
        <f t="shared" si="33"/>
        <v>0.64580000000000004</v>
      </c>
    </row>
    <row r="116" spans="1:13">
      <c r="A116" s="901" t="s">
        <v>2879</v>
      </c>
      <c r="B116" s="902">
        <f>ROUND(0.949-0.012*B113,4)</f>
        <v>0.91549999999999998</v>
      </c>
      <c r="C116" s="902">
        <f>B116</f>
        <v>0.91549999999999998</v>
      </c>
      <c r="D116" s="902">
        <f>ROUND(0.8567-0.013*B113,4)</f>
        <v>0.82040000000000002</v>
      </c>
      <c r="E116" s="902">
        <f t="shared" ref="E116:H117" si="34">D116</f>
        <v>0.82040000000000002</v>
      </c>
      <c r="F116" s="902">
        <f t="shared" si="34"/>
        <v>0.82040000000000002</v>
      </c>
      <c r="G116" s="902">
        <f t="shared" si="34"/>
        <v>0.82040000000000002</v>
      </c>
      <c r="H116" s="902">
        <f t="shared" si="34"/>
        <v>0.82040000000000002</v>
      </c>
      <c r="I116" s="902">
        <f>ROUND(0.7694-0.014*B113,4)</f>
        <v>0.73029999999999995</v>
      </c>
      <c r="J116" s="902">
        <f t="shared" si="33"/>
        <v>0.73029999999999995</v>
      </c>
      <c r="K116" s="902">
        <f t="shared" si="33"/>
        <v>0.73029999999999995</v>
      </c>
      <c r="L116" s="902">
        <f t="shared" si="33"/>
        <v>0.73029999999999995</v>
      </c>
      <c r="M116" s="903">
        <f t="shared" si="33"/>
        <v>0.73029999999999995</v>
      </c>
    </row>
    <row r="117" spans="1:13">
      <c r="A117" s="901" t="s">
        <v>2880</v>
      </c>
      <c r="B117" s="902">
        <f>ROUND(0.8808-0.006*B113,4)</f>
        <v>0.86409999999999998</v>
      </c>
      <c r="C117" s="902">
        <f>B117</f>
        <v>0.86409999999999998</v>
      </c>
      <c r="D117" s="902">
        <f>ROUND(0.8748-0.008*B113,4)</f>
        <v>0.85250000000000004</v>
      </c>
      <c r="E117" s="902">
        <f t="shared" si="34"/>
        <v>0.85250000000000004</v>
      </c>
      <c r="F117" s="902">
        <f t="shared" si="34"/>
        <v>0.85250000000000004</v>
      </c>
      <c r="G117" s="902">
        <f t="shared" si="34"/>
        <v>0.85250000000000004</v>
      </c>
      <c r="H117" s="902">
        <f t="shared" si="34"/>
        <v>0.85250000000000004</v>
      </c>
      <c r="I117" s="902">
        <f>ROUND(0.7412-0.0095*B113,4)</f>
        <v>0.7147</v>
      </c>
      <c r="J117" s="902">
        <f t="shared" si="33"/>
        <v>0.7147</v>
      </c>
      <c r="K117" s="902">
        <f t="shared" si="33"/>
        <v>0.7147</v>
      </c>
      <c r="L117" s="902">
        <f t="shared" si="33"/>
        <v>0.7147</v>
      </c>
      <c r="M117" s="903">
        <f t="shared" si="33"/>
        <v>0.7147</v>
      </c>
    </row>
    <row r="118" spans="1:13" ht="13.5" thickBot="1">
      <c r="A118" s="712" t="s">
        <v>2881</v>
      </c>
      <c r="B118" s="904">
        <f>ROUND(0.7275-0.01*B113,4)</f>
        <v>0.6996</v>
      </c>
      <c r="C118" s="904">
        <f>B118</f>
        <v>0.6996</v>
      </c>
      <c r="D118" s="904">
        <f>ROUND(0.7043-0.012*B113,4)</f>
        <v>0.67079999999999995</v>
      </c>
      <c r="E118" s="904">
        <f>D118</f>
        <v>0.67079999999999995</v>
      </c>
      <c r="F118" s="904">
        <f>E118</f>
        <v>0.67079999999999995</v>
      </c>
      <c r="G118" s="904">
        <f>ROUND(0.6299-0.0122*B113,4)</f>
        <v>0.59589999999999999</v>
      </c>
      <c r="H118" s="904">
        <f>G118</f>
        <v>0.59589999999999999</v>
      </c>
      <c r="I118" s="904">
        <f>ROUND(0.5667-0.0136*B113,4)</f>
        <v>0.52880000000000005</v>
      </c>
      <c r="J118" s="904">
        <f t="shared" si="33"/>
        <v>0.52880000000000005</v>
      </c>
      <c r="K118" s="904">
        <f t="shared" si="33"/>
        <v>0.52880000000000005</v>
      </c>
      <c r="L118" s="904">
        <f t="shared" si="33"/>
        <v>0.52880000000000005</v>
      </c>
      <c r="M118" s="905">
        <f t="shared" si="33"/>
        <v>0.52880000000000005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93" t="s">
        <v>183</v>
      </c>
      <c r="B18" s="874" t="s">
        <v>560</v>
      </c>
      <c r="C18" s="875" t="s">
        <v>561</v>
      </c>
      <c r="D18" s="876"/>
      <c r="E18" s="874">
        <v>1</v>
      </c>
      <c r="F18" s="877" t="s">
        <v>562</v>
      </c>
      <c r="G18" s="878"/>
      <c r="H18" s="870"/>
      <c r="I18" s="870"/>
    </row>
    <row r="19" spans="1:9" s="879" customFormat="1" ht="19.5" customHeight="1">
      <c r="A19" s="3293"/>
      <c r="B19" s="3293" t="s">
        <v>563</v>
      </c>
      <c r="C19" s="875" t="s">
        <v>564</v>
      </c>
      <c r="D19" s="876"/>
      <c r="E19" s="874">
        <v>0.9</v>
      </c>
      <c r="F19" s="877" t="s">
        <v>565</v>
      </c>
      <c r="G19" s="878"/>
      <c r="H19" s="870"/>
      <c r="I19" s="870"/>
    </row>
    <row r="20" spans="1:9" s="879" customFormat="1" ht="19.5" customHeight="1">
      <c r="A20" s="3293"/>
      <c r="B20" s="3293"/>
      <c r="C20" s="875" t="s">
        <v>566</v>
      </c>
      <c r="D20" s="876"/>
      <c r="E20" s="874">
        <v>1.1000000000000001</v>
      </c>
      <c r="F20" s="877" t="s">
        <v>567</v>
      </c>
      <c r="G20" s="878"/>
      <c r="H20" s="870"/>
      <c r="I20" s="870"/>
    </row>
    <row r="21" spans="1:9" s="879" customFormat="1" ht="19.5" customHeight="1">
      <c r="A21" s="3293"/>
      <c r="B21" s="3293"/>
      <c r="C21" s="875" t="s">
        <v>568</v>
      </c>
      <c r="D21" s="876"/>
      <c r="E21" s="874">
        <v>0.8</v>
      </c>
      <c r="F21" s="877" t="s">
        <v>569</v>
      </c>
      <c r="G21" s="878"/>
      <c r="H21" s="870"/>
      <c r="I21" s="870"/>
    </row>
    <row r="22" spans="1:9" s="879" customFormat="1" ht="19.5" customHeight="1">
      <c r="A22" s="3293"/>
      <c r="B22" s="3293"/>
      <c r="C22" s="875" t="s">
        <v>570</v>
      </c>
      <c r="D22" s="876"/>
      <c r="E22" s="874">
        <v>0.5</v>
      </c>
      <c r="F22" s="877"/>
      <c r="G22" s="878"/>
      <c r="H22" s="870"/>
      <c r="I22" s="870"/>
    </row>
    <row r="23" spans="1:9" s="879" customFormat="1" ht="19.5" customHeight="1">
      <c r="A23" s="3293" t="s">
        <v>184</v>
      </c>
      <c r="B23" s="874" t="s">
        <v>560</v>
      </c>
      <c r="C23" s="875" t="s">
        <v>571</v>
      </c>
      <c r="D23" s="876"/>
      <c r="E23" s="874">
        <v>1</v>
      </c>
      <c r="F23" s="877" t="s">
        <v>572</v>
      </c>
      <c r="G23" s="878"/>
      <c r="H23" s="870"/>
      <c r="I23" s="870"/>
    </row>
    <row r="24" spans="1:9" s="879" customFormat="1" ht="19.5" customHeight="1">
      <c r="A24" s="3293"/>
      <c r="B24" s="3293" t="s">
        <v>563</v>
      </c>
      <c r="C24" s="875" t="s">
        <v>573</v>
      </c>
      <c r="D24" s="876"/>
      <c r="E24" s="874">
        <v>0.5</v>
      </c>
      <c r="F24" s="877"/>
      <c r="G24" s="878"/>
      <c r="H24" s="870"/>
      <c r="I24" s="870"/>
    </row>
    <row r="25" spans="1:9" s="879" customFormat="1" ht="19.5" customHeight="1">
      <c r="A25" s="3293"/>
      <c r="B25" s="3293"/>
      <c r="C25" s="875" t="s">
        <v>574</v>
      </c>
      <c r="D25" s="876"/>
      <c r="E25" s="874">
        <v>1.1000000000000001</v>
      </c>
      <c r="F25" s="877"/>
      <c r="G25" s="878"/>
      <c r="H25" s="870"/>
      <c r="I25" s="870"/>
    </row>
    <row r="26" spans="1:9" s="879" customFormat="1" ht="19.5" customHeight="1">
      <c r="A26" s="3293"/>
      <c r="B26" s="3293"/>
      <c r="C26" s="875" t="s">
        <v>575</v>
      </c>
      <c r="D26" s="876"/>
      <c r="E26" s="874">
        <v>1.1000000000000001</v>
      </c>
      <c r="F26" s="877"/>
      <c r="G26" s="878"/>
      <c r="H26" s="870"/>
      <c r="I26" s="870"/>
    </row>
    <row r="27" spans="1:9" s="879" customFormat="1" ht="19.5" customHeight="1">
      <c r="A27" s="3293"/>
      <c r="B27" s="3293"/>
      <c r="C27" s="875" t="s">
        <v>576</v>
      </c>
      <c r="D27" s="876"/>
      <c r="E27" s="874">
        <v>0.9</v>
      </c>
      <c r="F27" s="877" t="s">
        <v>577</v>
      </c>
      <c r="G27" s="878"/>
      <c r="H27" s="870"/>
      <c r="I27" s="870"/>
    </row>
    <row r="28" spans="1:9" s="879" customFormat="1" ht="19.5" customHeight="1">
      <c r="A28" s="3293"/>
      <c r="B28" s="3293"/>
      <c r="C28" s="875" t="s">
        <v>578</v>
      </c>
      <c r="D28" s="876"/>
      <c r="E28" s="874">
        <v>0.9</v>
      </c>
      <c r="F28" s="877" t="s">
        <v>579</v>
      </c>
      <c r="G28" s="878"/>
      <c r="H28" s="870"/>
      <c r="I28" s="870"/>
    </row>
    <row r="29" spans="1:9" s="879" customFormat="1" ht="19.5" customHeight="1">
      <c r="A29" s="3293"/>
      <c r="B29" s="3293"/>
      <c r="C29" s="875" t="s">
        <v>580</v>
      </c>
      <c r="D29" s="876"/>
      <c r="E29" s="874">
        <v>0.9</v>
      </c>
      <c r="F29" s="877" t="s">
        <v>581</v>
      </c>
      <c r="G29" s="878"/>
      <c r="H29" s="870"/>
      <c r="I29" s="870"/>
    </row>
    <row r="30" spans="1:9" s="879" customFormat="1" ht="19.5" customHeight="1">
      <c r="A30" s="3293"/>
      <c r="B30" s="3293"/>
      <c r="C30" s="875" t="s">
        <v>582</v>
      </c>
      <c r="D30" s="876"/>
      <c r="E30" s="874">
        <v>0.9</v>
      </c>
      <c r="F30" s="877" t="s">
        <v>583</v>
      </c>
      <c r="G30" s="878"/>
      <c r="H30" s="870"/>
      <c r="I30" s="870"/>
    </row>
    <row r="31" spans="1:9" s="879" customFormat="1" ht="19.5" customHeight="1">
      <c r="A31" s="3293"/>
      <c r="B31" s="3293"/>
      <c r="C31" s="875" t="s">
        <v>584</v>
      </c>
      <c r="D31" s="876"/>
      <c r="E31" s="874">
        <v>0.8</v>
      </c>
      <c r="F31" s="877" t="s">
        <v>585</v>
      </c>
      <c r="G31" s="878"/>
      <c r="H31" s="870"/>
      <c r="I31" s="870"/>
    </row>
    <row r="32" spans="1:9" s="879" customFormat="1" ht="19.5" customHeight="1">
      <c r="A32" s="3293"/>
      <c r="B32" s="3293"/>
      <c r="C32" s="875" t="s">
        <v>586</v>
      </c>
      <c r="D32" s="876"/>
      <c r="E32" s="874">
        <v>0.8</v>
      </c>
      <c r="F32" s="877" t="s">
        <v>587</v>
      </c>
      <c r="G32" s="878"/>
      <c r="H32" s="870"/>
      <c r="I32" s="870"/>
    </row>
    <row r="33" spans="1:9" s="879" customFormat="1" ht="19.5" customHeight="1">
      <c r="A33" s="3293" t="s">
        <v>185</v>
      </c>
      <c r="B33" s="874" t="s">
        <v>560</v>
      </c>
      <c r="C33" s="875" t="s">
        <v>588</v>
      </c>
      <c r="D33" s="876"/>
      <c r="E33" s="874">
        <v>1</v>
      </c>
      <c r="F33" s="877" t="s">
        <v>589</v>
      </c>
      <c r="G33" s="878"/>
      <c r="H33" s="870"/>
      <c r="I33" s="870"/>
    </row>
    <row r="34" spans="1:9" s="879" customFormat="1" ht="19.5" customHeight="1">
      <c r="A34" s="3293"/>
      <c r="B34" s="874" t="s">
        <v>563</v>
      </c>
      <c r="C34" s="875" t="s">
        <v>590</v>
      </c>
      <c r="D34" s="876"/>
      <c r="E34" s="874">
        <v>1.5</v>
      </c>
      <c r="F34" s="877" t="s">
        <v>591</v>
      </c>
      <c r="G34" s="878"/>
      <c r="H34" s="870"/>
      <c r="I34" s="870"/>
    </row>
    <row r="35" spans="1:9" s="879" customFormat="1" ht="19.5" customHeight="1">
      <c r="A35" s="3293" t="s">
        <v>186</v>
      </c>
      <c r="B35" s="874" t="s">
        <v>560</v>
      </c>
      <c r="C35" s="875" t="s">
        <v>592</v>
      </c>
      <c r="D35" s="876"/>
      <c r="E35" s="874">
        <v>1</v>
      </c>
      <c r="F35" s="877" t="s">
        <v>593</v>
      </c>
      <c r="G35" s="878"/>
      <c r="H35" s="870"/>
      <c r="I35" s="870"/>
    </row>
    <row r="36" spans="1:9" s="879" customFormat="1" ht="19.5" customHeight="1">
      <c r="A36" s="3293"/>
      <c r="B36" s="3293" t="s">
        <v>563</v>
      </c>
      <c r="C36" s="875" t="s">
        <v>594</v>
      </c>
      <c r="D36" s="876"/>
      <c r="E36" s="874">
        <v>1</v>
      </c>
      <c r="F36" s="877" t="s">
        <v>595</v>
      </c>
      <c r="G36" s="878"/>
      <c r="H36" s="870"/>
      <c r="I36" s="870"/>
    </row>
    <row r="37" spans="1:9" s="879" customFormat="1" ht="19.5" customHeight="1">
      <c r="A37" s="3293"/>
      <c r="B37" s="3293"/>
      <c r="C37" s="875" t="s">
        <v>596</v>
      </c>
      <c r="D37" s="876"/>
      <c r="E37" s="874">
        <v>1.5</v>
      </c>
      <c r="F37" s="877" t="s">
        <v>597</v>
      </c>
      <c r="G37" s="878"/>
      <c r="H37" s="870"/>
      <c r="I37" s="870"/>
    </row>
    <row r="38" spans="1:9" s="879" customFormat="1" ht="19.5" customHeight="1">
      <c r="A38" s="3293"/>
      <c r="B38" s="3293"/>
      <c r="C38" s="875" t="s">
        <v>598</v>
      </c>
      <c r="D38" s="876"/>
      <c r="E38" s="874">
        <v>1</v>
      </c>
      <c r="F38" s="877" t="s">
        <v>599</v>
      </c>
      <c r="G38" s="878"/>
      <c r="H38" s="870"/>
      <c r="I38" s="870"/>
    </row>
    <row r="39" spans="1:9" s="879" customFormat="1" ht="19.5" customHeight="1">
      <c r="A39" s="3293"/>
      <c r="B39" s="3293"/>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93" t="s">
        <v>614</v>
      </c>
      <c r="C61" s="810" t="s">
        <v>615</v>
      </c>
      <c r="D61" s="810" t="s">
        <v>616</v>
      </c>
      <c r="E61" s="887">
        <v>0.5</v>
      </c>
      <c r="F61" s="874">
        <v>80</v>
      </c>
    </row>
    <row r="62" spans="1:8" s="870" customFormat="1" ht="24">
      <c r="A62" s="874">
        <v>2</v>
      </c>
      <c r="B62" s="3293"/>
      <c r="C62" s="810" t="s">
        <v>617</v>
      </c>
      <c r="D62" s="810" t="s">
        <v>618</v>
      </c>
      <c r="E62" s="887">
        <v>0.5</v>
      </c>
      <c r="F62" s="874">
        <v>80</v>
      </c>
    </row>
    <row r="63" spans="1:8" s="870" customFormat="1" ht="36">
      <c r="A63" s="874">
        <v>3</v>
      </c>
      <c r="B63" s="3293"/>
      <c r="C63" s="810" t="s">
        <v>619</v>
      </c>
      <c r="D63" s="810" t="s">
        <v>620</v>
      </c>
      <c r="E63" s="887">
        <v>0.5</v>
      </c>
      <c r="F63" s="874">
        <v>80</v>
      </c>
    </row>
    <row r="64" spans="1:8" s="870" customFormat="1" ht="36">
      <c r="A64" s="874">
        <v>4</v>
      </c>
      <c r="B64" s="3293"/>
      <c r="C64" s="810" t="s">
        <v>621</v>
      </c>
      <c r="D64" s="810" t="s">
        <v>622</v>
      </c>
      <c r="E64" s="887">
        <v>0.4</v>
      </c>
      <c r="F64" s="874">
        <v>60</v>
      </c>
    </row>
    <row r="65" spans="1:6" s="870" customFormat="1" ht="36">
      <c r="A65" s="874">
        <v>5</v>
      </c>
      <c r="B65" s="3293"/>
      <c r="C65" s="810" t="s">
        <v>623</v>
      </c>
      <c r="D65" s="810" t="s">
        <v>624</v>
      </c>
      <c r="E65" s="887">
        <v>0.2</v>
      </c>
      <c r="F65" s="874">
        <v>30</v>
      </c>
    </row>
    <row r="66" spans="1:6" s="870" customFormat="1" ht="36">
      <c r="A66" s="874">
        <v>6</v>
      </c>
      <c r="B66" s="3293"/>
      <c r="C66" s="810" t="s">
        <v>625</v>
      </c>
      <c r="D66" s="810" t="s">
        <v>626</v>
      </c>
      <c r="E66" s="887">
        <v>0.3</v>
      </c>
      <c r="F66" s="874">
        <v>50</v>
      </c>
    </row>
    <row r="67" spans="1:6" s="870" customFormat="1" ht="36">
      <c r="A67" s="874">
        <v>7</v>
      </c>
      <c r="B67" s="3293"/>
      <c r="C67" s="810" t="s">
        <v>627</v>
      </c>
      <c r="D67" s="810" t="s">
        <v>628</v>
      </c>
      <c r="E67" s="887">
        <v>0.2</v>
      </c>
      <c r="F67" s="874">
        <v>30</v>
      </c>
    </row>
    <row r="68" spans="1:6" s="870" customFormat="1" ht="36">
      <c r="A68" s="874">
        <v>8</v>
      </c>
      <c r="B68" s="3293"/>
      <c r="C68" s="810" t="s">
        <v>629</v>
      </c>
      <c r="D68" s="810" t="s">
        <v>630</v>
      </c>
      <c r="E68" s="887">
        <v>0.2</v>
      </c>
      <c r="F68" s="874">
        <v>30</v>
      </c>
    </row>
    <row r="69" spans="1:6" s="870" customFormat="1" ht="36">
      <c r="A69" s="874">
        <v>9</v>
      </c>
      <c r="B69" s="3293"/>
      <c r="C69" s="810" t="s">
        <v>631</v>
      </c>
      <c r="D69" s="810" t="s">
        <v>632</v>
      </c>
      <c r="E69" s="887">
        <v>0.2</v>
      </c>
      <c r="F69" s="874">
        <v>30</v>
      </c>
    </row>
    <row r="70" spans="1:6" s="870" customFormat="1" ht="48">
      <c r="A70" s="874">
        <v>10</v>
      </c>
      <c r="B70" s="3293"/>
      <c r="C70" s="810" t="s">
        <v>633</v>
      </c>
      <c r="D70" s="810" t="s">
        <v>634</v>
      </c>
      <c r="E70" s="887">
        <v>0.2</v>
      </c>
      <c r="F70" s="874">
        <v>30</v>
      </c>
    </row>
    <row r="71" spans="1:6" s="870" customFormat="1" ht="48">
      <c r="A71" s="874">
        <v>11</v>
      </c>
      <c r="B71" s="3293"/>
      <c r="C71" s="810" t="s">
        <v>635</v>
      </c>
      <c r="D71" s="810" t="s">
        <v>636</v>
      </c>
      <c r="E71" s="887">
        <v>0.2</v>
      </c>
      <c r="F71" s="874">
        <v>30</v>
      </c>
    </row>
    <row r="72" spans="1:6" s="870" customFormat="1" ht="36">
      <c r="A72" s="874">
        <v>12</v>
      </c>
      <c r="B72" s="3293"/>
      <c r="C72" s="810" t="s">
        <v>637</v>
      </c>
      <c r="D72" s="810" t="s">
        <v>638</v>
      </c>
      <c r="E72" s="887">
        <v>0.5</v>
      </c>
      <c r="F72" s="874">
        <v>80</v>
      </c>
    </row>
    <row r="73" spans="1:6" s="870" customFormat="1" ht="24">
      <c r="A73" s="874">
        <v>13</v>
      </c>
      <c r="B73" s="3293"/>
      <c r="C73" s="810" t="s">
        <v>639</v>
      </c>
      <c r="D73" s="810" t="s">
        <v>640</v>
      </c>
      <c r="E73" s="887">
        <v>0.4</v>
      </c>
      <c r="F73" s="874">
        <v>60</v>
      </c>
    </row>
    <row r="74" spans="1:6" s="870" customFormat="1" ht="24">
      <c r="A74" s="874">
        <v>14</v>
      </c>
      <c r="B74" s="3293"/>
      <c r="C74" s="810" t="s">
        <v>641</v>
      </c>
      <c r="D74" s="810" t="s">
        <v>642</v>
      </c>
      <c r="E74" s="887">
        <v>0.2</v>
      </c>
      <c r="F74" s="874">
        <v>30</v>
      </c>
    </row>
    <row r="75" spans="1:6" s="870" customFormat="1" ht="24">
      <c r="A75" s="874">
        <v>15</v>
      </c>
      <c r="B75" s="3293"/>
      <c r="C75" s="810" t="s">
        <v>643</v>
      </c>
      <c r="D75" s="810" t="s">
        <v>644</v>
      </c>
      <c r="E75" s="887">
        <v>0.2</v>
      </c>
      <c r="F75" s="874">
        <v>30</v>
      </c>
    </row>
    <row r="76" spans="1:6" s="870" customFormat="1" ht="24">
      <c r="A76" s="874">
        <v>16</v>
      </c>
      <c r="B76" s="3293" t="s">
        <v>645</v>
      </c>
      <c r="C76" s="810" t="s">
        <v>646</v>
      </c>
      <c r="D76" s="810" t="s">
        <v>647</v>
      </c>
      <c r="E76" s="887">
        <v>0.5</v>
      </c>
      <c r="F76" s="874">
        <v>80</v>
      </c>
    </row>
    <row r="77" spans="1:6" s="870" customFormat="1" ht="24">
      <c r="A77" s="874">
        <v>17</v>
      </c>
      <c r="B77" s="3293"/>
      <c r="C77" s="810" t="s">
        <v>648</v>
      </c>
      <c r="D77" s="810" t="s">
        <v>649</v>
      </c>
      <c r="E77" s="887">
        <v>0.5</v>
      </c>
      <c r="F77" s="874">
        <v>80</v>
      </c>
    </row>
    <row r="78" spans="1:6" s="870" customFormat="1" ht="24">
      <c r="A78" s="874">
        <v>18</v>
      </c>
      <c r="B78" s="3293"/>
      <c r="C78" s="810" t="s">
        <v>650</v>
      </c>
      <c r="D78" s="810" t="s">
        <v>651</v>
      </c>
      <c r="E78" s="887">
        <v>0.2</v>
      </c>
      <c r="F78" s="874">
        <v>30</v>
      </c>
    </row>
    <row r="79" spans="1:6" s="870" customFormat="1" ht="24">
      <c r="A79" s="874">
        <v>19</v>
      </c>
      <c r="B79" s="3293"/>
      <c r="C79" s="810" t="s">
        <v>652</v>
      </c>
      <c r="D79" s="810" t="s">
        <v>653</v>
      </c>
      <c r="E79" s="887">
        <v>0.5</v>
      </c>
      <c r="F79" s="874">
        <v>80</v>
      </c>
    </row>
    <row r="80" spans="1:6" s="870" customFormat="1" ht="36">
      <c r="A80" s="874">
        <v>20</v>
      </c>
      <c r="B80" s="3293"/>
      <c r="C80" s="810" t="s">
        <v>654</v>
      </c>
      <c r="D80" s="810" t="s">
        <v>655</v>
      </c>
      <c r="E80" s="887">
        <v>0.2</v>
      </c>
      <c r="F80" s="874">
        <v>30</v>
      </c>
    </row>
    <row r="81" spans="1:6" s="870" customFormat="1" ht="36">
      <c r="A81" s="874">
        <v>21</v>
      </c>
      <c r="B81" s="3293"/>
      <c r="C81" s="810" t="s">
        <v>656</v>
      </c>
      <c r="D81" s="810" t="s">
        <v>657</v>
      </c>
      <c r="E81" s="887">
        <v>0.2</v>
      </c>
      <c r="F81" s="874">
        <v>30</v>
      </c>
    </row>
    <row r="82" spans="1:6" s="870" customFormat="1" ht="48">
      <c r="A82" s="874">
        <v>22</v>
      </c>
      <c r="B82" s="3293"/>
      <c r="C82" s="810" t="s">
        <v>658</v>
      </c>
      <c r="D82" s="810" t="s">
        <v>659</v>
      </c>
      <c r="E82" s="887">
        <v>0.2</v>
      </c>
      <c r="F82" s="874">
        <v>30</v>
      </c>
    </row>
    <row r="83" spans="1:6" s="870" customFormat="1" ht="48">
      <c r="A83" s="874">
        <v>23</v>
      </c>
      <c r="B83" s="3293"/>
      <c r="C83" s="810" t="s">
        <v>660</v>
      </c>
      <c r="D83" s="810" t="s">
        <v>661</v>
      </c>
      <c r="E83" s="887">
        <v>0.2</v>
      </c>
      <c r="F83" s="874">
        <v>30</v>
      </c>
    </row>
    <row r="84" spans="1:6" s="870" customFormat="1" ht="36">
      <c r="A84" s="874">
        <v>24</v>
      </c>
      <c r="B84" s="3293"/>
      <c r="C84" s="810" t="s">
        <v>662</v>
      </c>
      <c r="D84" s="810" t="s">
        <v>663</v>
      </c>
      <c r="E84" s="887">
        <v>0.2</v>
      </c>
      <c r="F84" s="874">
        <v>30</v>
      </c>
    </row>
    <row r="85" spans="1:6" s="870" customFormat="1" ht="36">
      <c r="A85" s="874">
        <v>25</v>
      </c>
      <c r="B85" s="3293"/>
      <c r="C85" s="810" t="s">
        <v>664</v>
      </c>
      <c r="D85" s="810" t="s">
        <v>665</v>
      </c>
      <c r="E85" s="887">
        <v>0.5</v>
      </c>
      <c r="F85" s="874">
        <v>80</v>
      </c>
    </row>
    <row r="86" spans="1:6" s="870" customFormat="1" ht="36">
      <c r="A86" s="874">
        <v>26</v>
      </c>
      <c r="B86" s="3293"/>
      <c r="C86" s="810" t="s">
        <v>666</v>
      </c>
      <c r="D86" s="810" t="s">
        <v>667</v>
      </c>
      <c r="E86" s="887">
        <v>0.2</v>
      </c>
      <c r="F86" s="874">
        <v>30</v>
      </c>
    </row>
    <row r="87" spans="1:6" s="870" customFormat="1" ht="36">
      <c r="A87" s="874">
        <v>27</v>
      </c>
      <c r="B87" s="3293"/>
      <c r="C87" s="810" t="s">
        <v>668</v>
      </c>
      <c r="D87" s="810" t="s">
        <v>669</v>
      </c>
      <c r="E87" s="887">
        <v>0.2</v>
      </c>
      <c r="F87" s="874">
        <v>30</v>
      </c>
    </row>
    <row r="88" spans="1:6" s="870" customFormat="1" ht="36">
      <c r="A88" s="874">
        <v>28</v>
      </c>
      <c r="B88" s="3293"/>
      <c r="C88" s="810" t="s">
        <v>670</v>
      </c>
      <c r="D88" s="810" t="s">
        <v>671</v>
      </c>
      <c r="E88" s="887">
        <v>0.2</v>
      </c>
      <c r="F88" s="874">
        <v>30</v>
      </c>
    </row>
    <row r="89" spans="1:6" s="870" customFormat="1" ht="24">
      <c r="A89" s="874">
        <v>29</v>
      </c>
      <c r="B89" s="3293"/>
      <c r="C89" s="810" t="s">
        <v>672</v>
      </c>
      <c r="D89" s="810" t="s">
        <v>673</v>
      </c>
      <c r="E89" s="887">
        <v>0.2</v>
      </c>
      <c r="F89" s="874">
        <v>30</v>
      </c>
    </row>
    <row r="90" spans="1:6" s="870" customFormat="1" ht="24">
      <c r="A90" s="874">
        <v>30</v>
      </c>
      <c r="B90" s="3293"/>
      <c r="C90" s="810" t="s">
        <v>674</v>
      </c>
      <c r="D90" s="810" t="s">
        <v>675</v>
      </c>
      <c r="E90" s="887">
        <v>0.2</v>
      </c>
      <c r="F90" s="874">
        <v>30</v>
      </c>
    </row>
    <row r="91" spans="1:6" s="870" customFormat="1" ht="36">
      <c r="A91" s="874">
        <v>31</v>
      </c>
      <c r="B91" s="3293"/>
      <c r="C91" s="810" t="s">
        <v>676</v>
      </c>
      <c r="D91" s="810" t="s">
        <v>677</v>
      </c>
      <c r="E91" s="887">
        <v>0.2</v>
      </c>
      <c r="F91" s="874">
        <v>30</v>
      </c>
    </row>
    <row r="92" spans="1:6" s="870" customFormat="1" ht="24">
      <c r="A92" s="874">
        <v>32</v>
      </c>
      <c r="B92" s="3293" t="s">
        <v>678</v>
      </c>
      <c r="C92" s="874" t="s">
        <v>679</v>
      </c>
      <c r="D92" s="810" t="s">
        <v>680</v>
      </c>
      <c r="E92" s="887">
        <v>0.2</v>
      </c>
      <c r="F92" s="874">
        <v>30</v>
      </c>
    </row>
    <row r="93" spans="1:6" s="870" customFormat="1" ht="36">
      <c r="A93" s="874">
        <v>33</v>
      </c>
      <c r="B93" s="3293"/>
      <c r="C93" s="874" t="s">
        <v>681</v>
      </c>
      <c r="D93" s="810" t="s">
        <v>682</v>
      </c>
      <c r="E93" s="887">
        <v>0.2</v>
      </c>
      <c r="F93" s="874">
        <v>30</v>
      </c>
    </row>
    <row r="94" spans="1:6" s="870" customFormat="1" ht="48">
      <c r="A94" s="874">
        <v>34</v>
      </c>
      <c r="B94" s="3293"/>
      <c r="C94" s="874" t="s">
        <v>683</v>
      </c>
      <c r="D94" s="810" t="s">
        <v>684</v>
      </c>
      <c r="E94" s="887">
        <v>0.2</v>
      </c>
      <c r="F94" s="874">
        <v>30</v>
      </c>
    </row>
    <row r="95" spans="1:6" s="870" customFormat="1" ht="36">
      <c r="A95" s="874">
        <v>35</v>
      </c>
      <c r="B95" s="3293"/>
      <c r="C95" s="874" t="s">
        <v>685</v>
      </c>
      <c r="D95" s="810" t="s">
        <v>686</v>
      </c>
      <c r="E95" s="887">
        <v>0.2</v>
      </c>
      <c r="F95" s="874">
        <v>30</v>
      </c>
    </row>
    <row r="96" spans="1:6" s="870" customFormat="1" ht="48">
      <c r="A96" s="874">
        <v>36</v>
      </c>
      <c r="B96" s="3293"/>
      <c r="C96" s="810" t="s">
        <v>687</v>
      </c>
      <c r="D96" s="810" t="s">
        <v>688</v>
      </c>
      <c r="E96" s="887">
        <v>0.2</v>
      </c>
      <c r="F96" s="874">
        <v>30</v>
      </c>
    </row>
    <row r="97" spans="1:6" s="870" customFormat="1" ht="36">
      <c r="A97" s="874">
        <v>37</v>
      </c>
      <c r="B97" s="3293"/>
      <c r="C97" s="874" t="s">
        <v>689</v>
      </c>
      <c r="D97" s="810" t="s">
        <v>690</v>
      </c>
      <c r="E97" s="887">
        <v>0.2</v>
      </c>
      <c r="F97" s="874">
        <v>30</v>
      </c>
    </row>
    <row r="98" spans="1:6" s="870" customFormat="1" ht="36">
      <c r="A98" s="874">
        <v>38</v>
      </c>
      <c r="B98" s="3293"/>
      <c r="C98" s="874" t="s">
        <v>691</v>
      </c>
      <c r="D98" s="810" t="s">
        <v>692</v>
      </c>
      <c r="E98" s="887">
        <v>0.2</v>
      </c>
      <c r="F98" s="874">
        <v>30</v>
      </c>
    </row>
    <row r="99" spans="1:6" s="870" customFormat="1" ht="36">
      <c r="A99" s="874">
        <v>39</v>
      </c>
      <c r="B99" s="3293" t="s">
        <v>693</v>
      </c>
      <c r="C99" s="874" t="s">
        <v>694</v>
      </c>
      <c r="D99" s="810" t="s">
        <v>695</v>
      </c>
      <c r="E99" s="887">
        <v>0.3</v>
      </c>
      <c r="F99" s="874">
        <v>50</v>
      </c>
    </row>
    <row r="100" spans="1:6" s="870" customFormat="1" ht="24">
      <c r="A100" s="874">
        <v>40</v>
      </c>
      <c r="B100" s="3293"/>
      <c r="C100" s="874" t="s">
        <v>696</v>
      </c>
      <c r="D100" s="810" t="s">
        <v>697</v>
      </c>
      <c r="E100" s="887">
        <v>0.2</v>
      </c>
      <c r="F100" s="874">
        <v>30</v>
      </c>
    </row>
    <row r="101" spans="1:6" s="870" customFormat="1" ht="36">
      <c r="A101" s="874">
        <v>41</v>
      </c>
      <c r="B101" s="3293"/>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93" t="s">
        <v>708</v>
      </c>
      <c r="C105" s="874" t="s">
        <v>709</v>
      </c>
      <c r="D105" s="810" t="s">
        <v>710</v>
      </c>
      <c r="E105" s="887">
        <v>0.2</v>
      </c>
      <c r="F105" s="874">
        <v>30</v>
      </c>
    </row>
    <row r="106" spans="1:6" s="870" customFormat="1" ht="36">
      <c r="A106" s="874">
        <v>46</v>
      </c>
      <c r="B106" s="3293"/>
      <c r="C106" s="874" t="s">
        <v>711</v>
      </c>
      <c r="D106" s="810" t="s">
        <v>712</v>
      </c>
      <c r="E106" s="887">
        <v>0.2</v>
      </c>
      <c r="F106" s="874">
        <v>30</v>
      </c>
    </row>
    <row r="107" spans="1:6" s="870" customFormat="1" ht="36">
      <c r="A107" s="874">
        <v>47</v>
      </c>
      <c r="B107" s="3293" t="s">
        <v>713</v>
      </c>
      <c r="C107" s="874" t="s">
        <v>714</v>
      </c>
      <c r="D107" s="810" t="s">
        <v>715</v>
      </c>
      <c r="E107" s="887">
        <v>0.3</v>
      </c>
      <c r="F107" s="874">
        <v>50</v>
      </c>
    </row>
    <row r="108" spans="1:6" s="870" customFormat="1" ht="36">
      <c r="A108" s="874">
        <v>48</v>
      </c>
      <c r="B108" s="3293"/>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93" t="s">
        <v>724</v>
      </c>
      <c r="C111" s="874" t="s">
        <v>725</v>
      </c>
      <c r="D111" s="810" t="s">
        <v>726</v>
      </c>
      <c r="E111" s="887">
        <v>0.2</v>
      </c>
      <c r="F111" s="874">
        <v>30</v>
      </c>
    </row>
    <row r="112" spans="1:6" s="870" customFormat="1" ht="24">
      <c r="A112" s="874">
        <v>52</v>
      </c>
      <c r="B112" s="3293"/>
      <c r="C112" s="874" t="s">
        <v>727</v>
      </c>
      <c r="D112" s="810" t="s">
        <v>728</v>
      </c>
      <c r="E112" s="887">
        <v>0.2</v>
      </c>
      <c r="F112" s="874">
        <v>30</v>
      </c>
    </row>
    <row r="113" spans="1:6" s="870" customFormat="1" ht="24">
      <c r="A113" s="874">
        <v>53</v>
      </c>
      <c r="B113" s="3293"/>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93" t="s">
        <v>737</v>
      </c>
      <c r="C116" s="874" t="s">
        <v>738</v>
      </c>
      <c r="D116" s="810" t="s">
        <v>739</v>
      </c>
      <c r="E116" s="887">
        <v>0.2</v>
      </c>
      <c r="F116" s="874">
        <v>30</v>
      </c>
    </row>
    <row r="117" spans="1:6" ht="36">
      <c r="A117" s="874">
        <v>57</v>
      </c>
      <c r="B117" s="3293"/>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0.97540000000000004</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3004</v>
      </c>
    </row>
    <row r="2" spans="1:5" ht="15.75">
      <c r="A2" s="2901" t="s">
        <v>2996</v>
      </c>
      <c r="B2" s="2902" t="e">
        <f ca="1">SUMIF(B6:B13,"&lt;&gt;#ref!",B6:B13)</f>
        <v>#DIV/0!</v>
      </c>
      <c r="C2" s="2901" t="s">
        <v>2997</v>
      </c>
      <c r="D2" s="2901" t="s">
        <v>2998</v>
      </c>
      <c r="E2" s="2902" t="e">
        <f ca="1">SUM(E6:E13)</f>
        <v>#REF!</v>
      </c>
    </row>
    <row r="3" spans="1:5" ht="15.75">
      <c r="A3" s="2901" t="s">
        <v>2999</v>
      </c>
      <c r="B3" s="2902" t="e">
        <f ca="1">ROUND(B2*10000/E2,0)</f>
        <v>#DIV/0!</v>
      </c>
      <c r="C3" s="2901" t="s">
        <v>3005</v>
      </c>
      <c r="D3" s="2903"/>
      <c r="E3" s="2903"/>
    </row>
    <row r="4" spans="1:5" ht="15.75">
      <c r="A4" s="2904"/>
      <c r="B4" s="2903"/>
      <c r="C4" s="2903"/>
      <c r="D4" s="2903"/>
      <c r="E4" s="2903"/>
    </row>
    <row r="5" spans="1:5" ht="28.5">
      <c r="A5" s="2905" t="s">
        <v>3000</v>
      </c>
      <c r="B5" s="2901" t="s">
        <v>3001</v>
      </c>
      <c r="C5" s="2902"/>
      <c r="D5" s="2903"/>
      <c r="E5" s="2901" t="s">
        <v>3002</v>
      </c>
    </row>
    <row r="6" spans="1:5" ht="15.75">
      <c r="A6" s="2906" t="s">
        <v>3003</v>
      </c>
      <c r="B6" s="2902" t="e">
        <f ca="1">SUMIF(INDIRECT("'"&amp;A6&amp;"'"&amp;"!A:A"),"总价",INDIRECT("'"&amp;A6&amp;"'"&amp;"!B:B"))</f>
        <v>#DIV/0!</v>
      </c>
      <c r="C6" s="2901" t="s">
        <v>2997</v>
      </c>
      <c r="D6" s="2903"/>
      <c r="E6" s="2569">
        <f ca="1">SUMIF(INDIRECT("'"&amp;A6&amp;"'"&amp;"!C:C"),"建筑面积",INDIRECT("'"&amp;A6&amp;"'"&amp;"!D:D"))</f>
        <v>0</v>
      </c>
    </row>
    <row r="7" spans="1:5" ht="15.75">
      <c r="A7" s="2906"/>
      <c r="B7" s="2902" t="e">
        <f ca="1">SUMIF(INDIRECT("'"&amp;A7&amp;"'"&amp;"!A:A"),"总价",INDIRECT("'"&amp;A7&amp;"'"&amp;"!B:B"))</f>
        <v>#REF!</v>
      </c>
      <c r="C7" s="2901" t="s">
        <v>2997</v>
      </c>
      <c r="D7" s="2903"/>
      <c r="E7" s="2569" t="e">
        <f t="shared" ref="E7:E13" ca="1" si="0">SUMIF(INDIRECT("'"&amp;A7&amp;"'"&amp;"!C:C"),"建筑面积",INDIRECT("'"&amp;A7&amp;"'"&amp;"!D:D"))</f>
        <v>#REF!</v>
      </c>
    </row>
    <row r="8" spans="1:5" ht="15.75">
      <c r="A8" s="2906"/>
      <c r="B8" s="2902" t="e">
        <f t="shared" ref="B8:B13" ca="1" si="1">SUMIF(INDIRECT("'"&amp;A8&amp;"'"&amp;"!A:A"),"总价",INDIRECT("'"&amp;A8&amp;"'"&amp;"!B:B"))</f>
        <v>#REF!</v>
      </c>
      <c r="C8" s="2901" t="s">
        <v>2997</v>
      </c>
      <c r="D8" s="2903"/>
      <c r="E8" s="2569" t="e">
        <f t="shared" ca="1" si="0"/>
        <v>#REF!</v>
      </c>
    </row>
    <row r="9" spans="1:5" ht="15.75">
      <c r="A9" s="2906"/>
      <c r="B9" s="2902" t="e">
        <f t="shared" ca="1" si="1"/>
        <v>#REF!</v>
      </c>
      <c r="C9" s="2901" t="s">
        <v>2997</v>
      </c>
      <c r="D9" s="2903"/>
      <c r="E9" s="2569" t="e">
        <f t="shared" ca="1" si="0"/>
        <v>#REF!</v>
      </c>
    </row>
    <row r="10" spans="1:5" ht="15.75">
      <c r="A10" s="2906"/>
      <c r="B10" s="2902" t="e">
        <f t="shared" ca="1" si="1"/>
        <v>#REF!</v>
      </c>
      <c r="C10" s="2901" t="s">
        <v>2997</v>
      </c>
      <c r="D10" s="2903"/>
      <c r="E10" s="2569" t="e">
        <f t="shared" ca="1" si="0"/>
        <v>#REF!</v>
      </c>
    </row>
    <row r="11" spans="1:5" ht="15.75">
      <c r="A11" s="2906"/>
      <c r="B11" s="2902" t="e">
        <f t="shared" ca="1" si="1"/>
        <v>#REF!</v>
      </c>
      <c r="C11" s="2901" t="s">
        <v>2997</v>
      </c>
      <c r="D11" s="2903"/>
      <c r="E11" s="2569" t="e">
        <f t="shared" ca="1" si="0"/>
        <v>#REF!</v>
      </c>
    </row>
    <row r="12" spans="1:5" ht="15.75">
      <c r="A12" s="2906"/>
      <c r="B12" s="2902" t="e">
        <f t="shared" ca="1" si="1"/>
        <v>#REF!</v>
      </c>
      <c r="C12" s="2901" t="s">
        <v>2997</v>
      </c>
      <c r="D12" s="2903"/>
      <c r="E12" s="2569" t="e">
        <f t="shared" ca="1" si="0"/>
        <v>#REF!</v>
      </c>
    </row>
    <row r="13" spans="1:5" ht="15.75">
      <c r="A13" s="2906"/>
      <c r="B13" s="2902" t="e">
        <f t="shared" ca="1" si="1"/>
        <v>#REF!</v>
      </c>
      <c r="C13" s="2901" t="s">
        <v>2997</v>
      </c>
      <c r="D13" s="2903"/>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1623</v>
      </c>
      <c r="B1" s="1955"/>
      <c r="C1" s="1955"/>
      <c r="D1" s="1955"/>
      <c r="E1" s="1955"/>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7"/>
      <c r="B4" s="2981" t="s">
        <v>1632</v>
      </c>
      <c r="C4" s="2981"/>
      <c r="D4" s="2981"/>
      <c r="E4" s="1957"/>
    </row>
    <row r="5" spans="1:5" ht="16.5" thickTop="1">
      <c r="A5" s="1955"/>
      <c r="B5" s="2979" t="s">
        <v>1624</v>
      </c>
      <c r="C5" s="1958" t="s">
        <v>1625</v>
      </c>
      <c r="D5" s="1035">
        <f ca="1">结果表!H101</f>
        <v>523022</v>
      </c>
      <c r="E5" s="1955"/>
    </row>
    <row r="6" spans="1:5" ht="15.75">
      <c r="A6" s="1955"/>
      <c r="B6" s="2979"/>
      <c r="C6" s="1958" t="s">
        <v>1626</v>
      </c>
      <c r="D6" s="1035" t="str">
        <f ca="1">NUMBERSTRING(INT(D5*10000),2)&amp;"元整"</f>
        <v>伍拾贰亿叁仟零贰拾贰万元整</v>
      </c>
      <c r="E6" s="1955"/>
    </row>
    <row r="7" spans="1:5" ht="15.75">
      <c r="A7" s="1955"/>
      <c r="B7" s="2984"/>
      <c r="C7" s="1959" t="s">
        <v>1627</v>
      </c>
      <c r="D7" s="1036">
        <f ca="1">结果表!H102</f>
        <v>38342</v>
      </c>
      <c r="E7" s="1955"/>
    </row>
    <row r="8" spans="1:5" ht="15.75">
      <c r="A8" s="1955"/>
      <c r="B8" s="2985" t="str">
        <f>结果表!E103</f>
        <v>2.估价师知悉的法定优先受偿款</v>
      </c>
      <c r="C8" s="1960" t="s">
        <v>1628</v>
      </c>
      <c r="D8" s="1036">
        <f>结果表!H103</f>
        <v>0</v>
      </c>
      <c r="E8" s="1955"/>
    </row>
    <row r="9" spans="1:5" ht="15.75">
      <c r="A9" s="1955"/>
      <c r="B9" s="2987"/>
      <c r="C9" s="1958" t="s">
        <v>1626</v>
      </c>
      <c r="D9" s="1035" t="str">
        <f>NUMBERSTRING(INT(D8*10000),2)&amp;"元整"</f>
        <v>零元整</v>
      </c>
      <c r="E9" s="1955"/>
    </row>
    <row r="10" spans="1:5" ht="15">
      <c r="A10" s="1955"/>
      <c r="B10" s="1961" t="s">
        <v>1631</v>
      </c>
      <c r="C10" s="1962" t="s">
        <v>1629</v>
      </c>
      <c r="D10" s="1037">
        <f>结果表!H104</f>
        <v>0</v>
      </c>
      <c r="E10" s="1955"/>
    </row>
    <row r="11" spans="1:5" ht="15">
      <c r="A11" s="1955"/>
      <c r="B11" s="1961" t="s">
        <v>1633</v>
      </c>
      <c r="C11" s="1962" t="s">
        <v>1634</v>
      </c>
      <c r="D11" s="1037">
        <f>结果表!H105</f>
        <v>0</v>
      </c>
      <c r="E11" s="1955"/>
    </row>
    <row r="12" spans="1:5" ht="15">
      <c r="A12" s="1955"/>
      <c r="B12" s="1961" t="s">
        <v>1635</v>
      </c>
      <c r="C12" s="1962" t="s">
        <v>1634</v>
      </c>
      <c r="D12" s="1037">
        <f>结果表!H106</f>
        <v>0</v>
      </c>
      <c r="E12" s="1955"/>
    </row>
    <row r="13" spans="1:5" ht="15.75">
      <c r="A13" s="1955"/>
      <c r="B13" s="2978" t="str">
        <f>结果表!E107</f>
        <v>3.房地产抵押价值</v>
      </c>
      <c r="C13" s="1963" t="s">
        <v>1625</v>
      </c>
      <c r="D13" s="1038">
        <f ca="1">结果表!H107</f>
        <v>523022</v>
      </c>
      <c r="E13" s="1955"/>
    </row>
    <row r="14" spans="1:5" ht="15.75">
      <c r="A14" s="1955"/>
      <c r="B14" s="2979"/>
      <c r="C14" s="1958" t="s">
        <v>1626</v>
      </c>
      <c r="D14" s="1035" t="str">
        <f ca="1">NUMBERSTRING(INT(D13*10000),2)&amp;"元整"</f>
        <v>伍拾贰亿叁仟零贰拾贰万元整</v>
      </c>
      <c r="E14" s="1955"/>
    </row>
    <row r="15" spans="1:5" ht="15">
      <c r="A15" s="1955"/>
      <c r="B15" s="2984"/>
      <c r="C15" s="1959" t="s">
        <v>1636</v>
      </c>
      <c r="D15" s="1047">
        <f ca="1">结果表!H108</f>
        <v>38342</v>
      </c>
      <c r="E15" s="1955"/>
    </row>
    <row r="16" spans="1:5" ht="15">
      <c r="A16" s="1955"/>
      <c r="B16" s="2985" t="str">
        <f>结果表!E109</f>
        <v>——</v>
      </c>
      <c r="C16" s="1963" t="s">
        <v>1637</v>
      </c>
      <c r="D16" s="1964" t="str">
        <f>结果表!H109</f>
        <v>——</v>
      </c>
      <c r="E16" s="1955"/>
    </row>
    <row r="17" spans="1:5" ht="15.75">
      <c r="A17" s="1955"/>
      <c r="B17" s="2986"/>
      <c r="C17" s="1958" t="s">
        <v>1638</v>
      </c>
      <c r="D17" s="1035" t="e">
        <f>NUMBERSTRING(INT(D16*10000),2)&amp;"元整"</f>
        <v>#VALUE!</v>
      </c>
      <c r="E17" s="1955"/>
    </row>
    <row r="18" spans="1:5" ht="15">
      <c r="A18" s="1955"/>
      <c r="B18" s="2987"/>
      <c r="C18" s="1959" t="s">
        <v>1627</v>
      </c>
      <c r="D18" s="1047" t="str">
        <f>结果表!H110</f>
        <v>——</v>
      </c>
      <c r="E18" s="1955"/>
    </row>
    <row r="19" spans="1:5" ht="15.75">
      <c r="A19" s="1955"/>
      <c r="B19" s="2978" t="str">
        <f>结果表!E111</f>
        <v>——</v>
      </c>
      <c r="C19" s="1963" t="s">
        <v>1625</v>
      </c>
      <c r="D19" s="1036" t="str">
        <f>结果表!H111</f>
        <v>——</v>
      </c>
      <c r="E19" s="1955"/>
    </row>
    <row r="20" spans="1:5" ht="15.75">
      <c r="A20" s="1955"/>
      <c r="B20" s="2979"/>
      <c r="C20" s="1958" t="s">
        <v>1638</v>
      </c>
      <c r="D20" s="1035" t="e">
        <f>NUMBERSTRING(INT(D19*10000),2)&amp;"元整"</f>
        <v>#VALUE!</v>
      </c>
      <c r="E20" s="1955"/>
    </row>
    <row r="21" spans="1:5" ht="15.75" thickBot="1">
      <c r="A21" s="1955"/>
      <c r="B21" s="2980"/>
      <c r="C21" s="1965" t="s">
        <v>1636</v>
      </c>
      <c r="D21" s="1048" t="str">
        <f>结果表!H112</f>
        <v>——</v>
      </c>
      <c r="E21" s="1955"/>
    </row>
    <row r="22" spans="1:5" ht="15" thickTop="1">
      <c r="A22" s="1955"/>
      <c r="B22" s="1966" t="s">
        <v>1639</v>
      </c>
      <c r="C22" s="1955"/>
      <c r="D22" s="1955"/>
      <c r="E22" s="1955"/>
    </row>
    <row r="23" spans="1:5">
      <c r="A23" s="1955"/>
      <c r="B23" s="1955"/>
      <c r="C23" s="1955"/>
      <c r="D23" s="1955"/>
      <c r="E23" s="1955"/>
    </row>
    <row r="24" spans="1:5" ht="18.75">
      <c r="A24" s="1967"/>
      <c r="B24" s="1968" t="s">
        <v>1630</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U43" sqref="U4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99" t="s">
        <v>1150</v>
      </c>
      <c r="C1" s="3299"/>
      <c r="D1" s="3299"/>
      <c r="E1" s="3299"/>
      <c r="F1" s="3299"/>
      <c r="G1" s="3295" t="s">
        <v>1151</v>
      </c>
      <c r="H1" s="3295"/>
      <c r="I1" s="3295"/>
      <c r="J1" s="3295"/>
      <c r="K1" s="3295"/>
      <c r="L1" s="3295"/>
      <c r="N1" s="3295" t="s">
        <v>1152</v>
      </c>
      <c r="O1" s="3295"/>
      <c r="P1" s="3295"/>
      <c r="Q1" s="3295"/>
      <c r="R1" s="1441"/>
      <c r="S1" s="3295" t="s">
        <v>1153</v>
      </c>
      <c r="T1" s="3295"/>
      <c r="U1" s="3295"/>
      <c r="V1" s="3295"/>
      <c r="X1" s="3294" t="s">
        <v>1154</v>
      </c>
      <c r="Y1" s="3295"/>
      <c r="Z1" s="3295"/>
      <c r="AA1" s="3295"/>
      <c r="AB1" s="3295"/>
      <c r="AD1" s="3294" t="s">
        <v>1155</v>
      </c>
      <c r="AE1" s="3295"/>
      <c r="AF1" s="3295"/>
      <c r="AG1" s="3295"/>
      <c r="AH1" s="3295"/>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3041</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7" customFormat="1">
      <c r="A5" s="1725" t="s">
        <v>3039</v>
      </c>
      <c r="B5" s="1787">
        <f t="shared" ref="B5" si="12">B6*(1+N5)</f>
        <v>442.55931008890832</v>
      </c>
      <c r="C5" s="1787">
        <f t="shared" ref="C5" si="13">C6*(1+O5)</f>
        <v>325.83629756950273</v>
      </c>
      <c r="D5" s="1787">
        <f t="shared" ref="D5" si="14">C5</f>
        <v>325.83629756950273</v>
      </c>
      <c r="E5" s="1787">
        <f t="shared" ref="E5" si="15">E6*(1+P5)</f>
        <v>633.08482426575677</v>
      </c>
      <c r="F5" s="1787">
        <f t="shared" ref="F5" si="16">F6*(1+Q5)</f>
        <v>283.35237504580311</v>
      </c>
      <c r="G5" s="2912">
        <v>2017</v>
      </c>
      <c r="H5" s="1726">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8"/>
      <c r="S5" s="1729"/>
      <c r="T5" s="1728"/>
      <c r="U5" s="1728"/>
      <c r="V5" s="1728"/>
      <c r="W5" s="1463"/>
      <c r="X5" s="1722">
        <f>ROUND(SUMPRODUCT(PRODUCT(1+N5:N$19)),4)</f>
        <v>1.4383999999999999</v>
      </c>
      <c r="Y5" s="1722">
        <f>ROUND(SUMPRODUCT(PRODUCT(1+O5:O$19)),4)</f>
        <v>1.2667999999999999</v>
      </c>
      <c r="Z5" s="1722">
        <f t="shared" si="0"/>
        <v>1.2667999999999999</v>
      </c>
      <c r="AA5" s="1722">
        <f>ROUND(SUMPRODUCT(PRODUCT(1+P5:P$19)),4)</f>
        <v>1.4982</v>
      </c>
      <c r="AB5" s="1722">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3040</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6" t="s">
        <v>1162</v>
      </c>
      <c r="X6" s="1784">
        <f>ROUND(SUMPRODUCT(PRODUCT(1+N6:N$19)),4)</f>
        <v>1.4034</v>
      </c>
      <c r="Y6" s="1784">
        <f>ROUND(SUMPRODUCT(PRODUCT(1+O6:O$19)),4)</f>
        <v>1.2463</v>
      </c>
      <c r="Z6" s="1784">
        <f t="shared" si="0"/>
        <v>1.2463</v>
      </c>
      <c r="AA6" s="1784">
        <f>ROUND(SUMPRODUCT(PRODUCT(1+P6:P$19)),4)</f>
        <v>1.4577</v>
      </c>
      <c r="AB6" s="1784">
        <f>ROUND(SUMPRODUCT(PRODUCT(1+Q6:Q$19)),4)</f>
        <v>1.2136</v>
      </c>
      <c r="AC6" s="1786"/>
      <c r="AD6" s="1785">
        <f>ROUND(AVERAGE(I6:I$20)/100,4)</f>
        <v>2.4899999999999999E-2</v>
      </c>
      <c r="AE6" s="1785">
        <f>ROUND(AVERAGE(J6:J$20)/100,4)</f>
        <v>1.6400000000000001E-2</v>
      </c>
      <c r="AF6" s="1785">
        <f t="shared" si="1"/>
        <v>1.6400000000000001E-2</v>
      </c>
      <c r="AG6" s="1785">
        <f>ROUND(AVERAGE(K6:K$20)/100,4)</f>
        <v>2.7799999999999998E-2</v>
      </c>
      <c r="AH6" s="1785">
        <f>ROUND(AVERAGE(L6:L$20)/100,4)</f>
        <v>1.3899999999999999E-2</v>
      </c>
    </row>
    <row r="7" spans="1:34" s="1727"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4">
        <f>ROUND(SUMPRODUCT(PRODUCT(1+N7:N$19)),4)</f>
        <v>1.3628</v>
      </c>
      <c r="Y7" s="1784">
        <f>ROUND(SUMPRODUCT(PRODUCT(1+O7:O$19)),4)</f>
        <v>1.2205999999999999</v>
      </c>
      <c r="Z7" s="1784">
        <f t="shared" si="0"/>
        <v>1.2205999999999999</v>
      </c>
      <c r="AA7" s="1784">
        <f>ROUND(SUMPRODUCT(PRODUCT(1+P7:P$19)),4)</f>
        <v>1.4118999999999999</v>
      </c>
      <c r="AB7" s="1784">
        <f>ROUND(SUMPRODUCT(PRODUCT(1+Q7:Q$19)),4)</f>
        <v>1.1930000000000001</v>
      </c>
      <c r="AC7" s="1448"/>
      <c r="AD7" s="1785">
        <f>ROUND(AVERAGE(I7:I$20)/100,4)</f>
        <v>2.46E-2</v>
      </c>
      <c r="AE7" s="1785">
        <f>ROUND(AVERAGE(J7:J$20)/100,4)</f>
        <v>1.6E-2</v>
      </c>
      <c r="AF7" s="1785">
        <f t="shared" si="1"/>
        <v>1.6E-2</v>
      </c>
      <c r="AG7" s="1785">
        <f>ROUND(AVERAGE(K7:K$20)/100,4)</f>
        <v>2.75E-2</v>
      </c>
      <c r="AH7" s="1785">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6"/>
      <c r="X8" s="1784">
        <f>ROUND(SUMPRODUCT(PRODUCT(1+N8:N$19)),4)</f>
        <v>1.3180000000000001</v>
      </c>
      <c r="Y8" s="1784">
        <f>ROUND(SUMPRODUCT(PRODUCT(1+O8:O$19)),4)</f>
        <v>1.1966000000000001</v>
      </c>
      <c r="Z8" s="1784">
        <f t="shared" si="0"/>
        <v>1.1966000000000001</v>
      </c>
      <c r="AA8" s="1784">
        <f>ROUND(SUMPRODUCT(PRODUCT(1+P8:P$19)),4)</f>
        <v>1.36</v>
      </c>
      <c r="AB8" s="1784">
        <f>ROUND(SUMPRODUCT(PRODUCT(1+Q8:Q$19)),4)</f>
        <v>1.1733</v>
      </c>
      <c r="AC8" s="1786"/>
      <c r="AD8" s="1785">
        <f>ROUND(AVERAGE(I8:I$20)/100,4)</f>
        <v>2.3900000000000001E-2</v>
      </c>
      <c r="AE8" s="1785">
        <f>ROUND(AVERAGE(J8:J$20)/100,4)</f>
        <v>1.5699999999999999E-2</v>
      </c>
      <c r="AF8" s="1785">
        <f t="shared" si="1"/>
        <v>1.5699999999999999E-2</v>
      </c>
      <c r="AG8" s="1785">
        <f>ROUND(AVERAGE(K8:K$20)/100,4)</f>
        <v>2.6599999999999999E-2</v>
      </c>
      <c r="AH8" s="1785">
        <f>ROUND(AVERAGE(L8:L$20)/100,4)</f>
        <v>1.34E-2</v>
      </c>
    </row>
    <row r="9" spans="1:34">
      <c r="A9" s="1456" t="s">
        <v>154</v>
      </c>
      <c r="B9" s="1465">
        <v>392</v>
      </c>
      <c r="C9" s="1465">
        <v>302</v>
      </c>
      <c r="D9" s="1465">
        <f>C9</f>
        <v>302</v>
      </c>
      <c r="E9" s="1465">
        <v>553</v>
      </c>
      <c r="F9" s="1466">
        <v>266</v>
      </c>
      <c r="G9" s="3300">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97"/>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97"/>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98"/>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96">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97"/>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97"/>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98"/>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96">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97"/>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97"/>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98"/>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3">
        <f>I20/100</f>
        <v>2.9700000000000001E-2</v>
      </c>
      <c r="AE20" s="1723">
        <f>J20/100</f>
        <v>2.3399999999999997E-2</v>
      </c>
      <c r="AF20" s="1723">
        <f>AE20</f>
        <v>2.3399999999999997E-2</v>
      </c>
      <c r="AG20" s="1723">
        <f>K20/100</f>
        <v>3.2799999999999996E-2</v>
      </c>
      <c r="AH20" s="1723">
        <f>L20/100</f>
        <v>1.3600000000000001E-2</v>
      </c>
    </row>
    <row r="21" spans="1:34" ht="13.5" thickBot="1">
      <c r="A21" s="1456" t="s">
        <v>1164</v>
      </c>
      <c r="B21" s="1465">
        <v>299</v>
      </c>
      <c r="C21" s="1465">
        <v>252</v>
      </c>
      <c r="D21" s="1465">
        <f t="shared" si="34"/>
        <v>252</v>
      </c>
      <c r="E21" s="1465">
        <v>409</v>
      </c>
      <c r="F21" s="1466">
        <v>227</v>
      </c>
      <c r="G21" s="3301">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302"/>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302"/>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303"/>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96">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97"/>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97"/>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98"/>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96">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97">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97">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98">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96">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97">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97">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98">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96">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97">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97">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98">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96">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97">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97">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98">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96">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97">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97">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98">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96">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97">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97">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98">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96">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97">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97">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98">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96">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97">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97">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98">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96">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97">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97">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98">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96">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97">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97">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98">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199" t="s">
        <v>3006</v>
      </c>
      <c r="C1" s="3305" t="s">
        <v>3007</v>
      </c>
      <c r="D1" s="3306"/>
      <c r="E1" s="3306"/>
      <c r="F1" s="3306"/>
      <c r="G1" s="3306"/>
      <c r="H1" s="3306"/>
      <c r="I1" s="3306"/>
      <c r="J1" s="3306"/>
      <c r="K1" s="3306"/>
      <c r="L1" s="3306"/>
      <c r="M1" s="3306"/>
      <c r="N1" s="3306"/>
      <c r="O1" s="3306"/>
      <c r="P1" s="3306"/>
      <c r="Q1" s="3306"/>
      <c r="R1" s="3306"/>
      <c r="S1" s="3307"/>
      <c r="T1" s="1199" t="s">
        <v>3008</v>
      </c>
    </row>
    <row r="2" spans="1:45" s="705" customFormat="1">
      <c r="A2" s="1200"/>
      <c r="B2" s="701" t="s">
        <v>3009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2"/>
      <c r="B3" s="706"/>
      <c r="C3" s="707"/>
      <c r="D3" s="708"/>
      <c r="E3" s="708"/>
      <c r="F3" s="1700"/>
      <c r="G3" s="1700"/>
      <c r="H3" s="1700"/>
      <c r="I3" s="1700"/>
      <c r="J3" s="1700"/>
      <c r="K3" s="1700"/>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3"/>
      <c r="B4" s="1204"/>
      <c r="C4" s="1205"/>
      <c r="D4" s="1206"/>
      <c r="E4" s="1206"/>
      <c r="F4" s="1704"/>
      <c r="G4" s="1704"/>
      <c r="H4" s="1704"/>
      <c r="I4" s="1704"/>
      <c r="J4" s="1704"/>
      <c r="K4" s="1704"/>
      <c r="L4" s="1704"/>
      <c r="M4" s="1705"/>
      <c r="N4" s="1705"/>
      <c r="O4" s="1704"/>
      <c r="P4" s="1704"/>
      <c r="Q4" s="1704"/>
      <c r="R4" s="1704"/>
      <c r="S4" s="1706"/>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0"/>
      <c r="B5" s="1765" t="s">
        <v>3010</v>
      </c>
      <c r="C5" s="1211"/>
      <c r="D5" s="1212"/>
      <c r="E5" s="1212"/>
      <c r="F5" s="1707"/>
      <c r="G5" s="1707"/>
      <c r="H5" s="1707"/>
      <c r="I5" s="1707"/>
      <c r="J5" s="1707"/>
      <c r="K5" s="1707"/>
      <c r="L5" s="1708"/>
      <c r="M5" s="1709"/>
      <c r="N5" s="1709"/>
      <c r="O5" s="1707"/>
      <c r="P5" s="1707"/>
      <c r="Q5" s="1707"/>
      <c r="R5" s="1707"/>
      <c r="S5" s="1710"/>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0"/>
      <c r="B6" s="1111"/>
      <c r="C6" s="1117">
        <v>100</v>
      </c>
      <c r="D6" s="1114">
        <f>C6-$T5</f>
        <v>100</v>
      </c>
      <c r="E6" s="1114">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0"/>
      <c r="B7" s="1766" t="s">
        <v>3011</v>
      </c>
      <c r="C7" s="1116"/>
      <c r="D7" s="1110"/>
      <c r="E7" s="1110"/>
      <c r="F7" s="1712"/>
      <c r="G7" s="1712"/>
      <c r="H7" s="1712"/>
      <c r="I7" s="1712"/>
      <c r="J7" s="1712"/>
      <c r="K7" s="1712"/>
      <c r="L7" s="1712"/>
      <c r="M7" s="1713"/>
      <c r="N7" s="1714"/>
      <c r="O7" s="1715"/>
      <c r="P7" s="1716"/>
      <c r="Q7" s="1717"/>
      <c r="R7" s="1718"/>
      <c r="S7" s="1719"/>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0"/>
      <c r="B8" s="1111"/>
      <c r="C8" s="1117">
        <v>100</v>
      </c>
      <c r="D8" s="1114">
        <f>C8-$T7</f>
        <v>100</v>
      </c>
      <c r="E8" s="1114">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0"/>
      <c r="B9" s="1766" t="s">
        <v>3012</v>
      </c>
      <c r="C9" s="1116"/>
      <c r="D9" s="1110"/>
      <c r="E9" s="1110"/>
      <c r="F9" s="1712"/>
      <c r="G9" s="1712"/>
      <c r="H9" s="1712"/>
      <c r="I9" s="1712"/>
      <c r="J9" s="1712"/>
      <c r="K9" s="1712"/>
      <c r="L9" s="1720"/>
      <c r="M9" s="1713"/>
      <c r="N9" s="1714"/>
      <c r="O9" s="1715"/>
      <c r="P9" s="1716"/>
      <c r="Q9" s="1717"/>
      <c r="R9" s="1718"/>
      <c r="S9" s="1719"/>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0"/>
      <c r="B10" s="1204"/>
      <c r="C10" s="1215">
        <v>100</v>
      </c>
      <c r="D10" s="1216">
        <f>C10-$T9</f>
        <v>100</v>
      </c>
      <c r="E10" s="1216">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0"/>
      <c r="B11" s="1765" t="s">
        <v>3013</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0"/>
      <c r="B13" s="1765" t="s">
        <v>3014</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0"/>
      <c r="B15" s="1765" t="s">
        <v>3015</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7" t="s">
        <v>3016</v>
      </c>
      <c r="B17" s="2908" t="s">
        <v>3017</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6"/>
      <c r="B19" s="166"/>
      <c r="C19" s="166"/>
      <c r="D19" s="2909" t="s">
        <v>3018</v>
      </c>
      <c r="E19" s="1788"/>
      <c r="F19" s="1788"/>
      <c r="G19" s="1788"/>
      <c r="H19" s="1275"/>
      <c r="I19" s="166"/>
      <c r="J19" s="166"/>
      <c r="K19" s="166"/>
      <c r="L19" s="166"/>
      <c r="M19" s="166"/>
      <c r="N19" s="166"/>
      <c r="O19" s="166"/>
      <c r="P19" s="166"/>
      <c r="Q19" s="166"/>
      <c r="R19" s="785"/>
      <c r="S19" s="136"/>
    </row>
    <row r="20" spans="1:45" ht="16.5" thickBot="1">
      <c r="A20" s="713" t="s">
        <v>3019</v>
      </c>
      <c r="B20" s="336" t="e">
        <f ca="1">IF(D20="——",S22,S22-F20)</f>
        <v>#REF!</v>
      </c>
      <c r="C20" s="166"/>
      <c r="D20" s="2910" t="s">
        <v>3020</v>
      </c>
      <c r="E20" s="1789"/>
      <c r="F20" s="1199" t="e">
        <f ca="1">SUMIF(INDIRECT("'"&amp;H20&amp;"'"&amp;"!A:A"),"承租人权益价值",INDIRECT("'"&amp;H20&amp;"'"&amp;"!c:c"))</f>
        <v>#REF!</v>
      </c>
      <c r="G20" s="1199" t="s">
        <v>3021</v>
      </c>
      <c r="H20" s="2911"/>
      <c r="I20" s="166"/>
      <c r="J20" s="166"/>
      <c r="K20" s="166"/>
      <c r="L20" s="166"/>
      <c r="M20" s="166"/>
      <c r="N20" s="166"/>
      <c r="O20" s="166"/>
      <c r="P20" s="166"/>
      <c r="Q20" s="166"/>
      <c r="R20" s="785"/>
      <c r="S20" s="136"/>
    </row>
    <row r="21" spans="1:45" ht="15.75">
      <c r="A21" s="713" t="s">
        <v>3022</v>
      </c>
      <c r="B21" s="336">
        <f>R22</f>
        <v>10000</v>
      </c>
      <c r="C21" s="166"/>
      <c r="D21" s="166"/>
      <c r="E21" s="166"/>
      <c r="F21" s="166"/>
      <c r="G21" s="166"/>
      <c r="H21" s="166"/>
      <c r="I21" s="166"/>
      <c r="J21" s="166"/>
      <c r="K21" s="166"/>
      <c r="L21" s="166"/>
      <c r="M21" s="166"/>
      <c r="N21" s="166"/>
      <c r="O21" s="166"/>
      <c r="P21" s="166"/>
      <c r="Q21" s="166"/>
      <c r="R21" s="785"/>
      <c r="S21" s="136"/>
    </row>
    <row r="22" spans="1:45">
      <c r="A22" s="359" t="s">
        <v>3023</v>
      </c>
      <c r="B22" s="23">
        <f>SUM(B24:B10000)</f>
        <v>100</v>
      </c>
      <c r="C22" s="3078" t="s">
        <v>33</v>
      </c>
      <c r="D22" s="3079"/>
      <c r="E22" s="3079"/>
      <c r="F22" s="3079"/>
      <c r="G22" s="3079"/>
      <c r="H22" s="3079"/>
      <c r="I22" s="3079"/>
      <c r="J22" s="3079"/>
      <c r="K22" s="3079"/>
      <c r="L22" s="3079"/>
      <c r="M22" s="3079"/>
      <c r="N22" s="3079"/>
      <c r="O22" s="3079"/>
      <c r="P22" s="3079"/>
      <c r="Q22" s="3304"/>
      <c r="R22" s="714">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63777</v>
      </c>
      <c r="C2" s="2" t="s">
        <v>133</v>
      </c>
      <c r="D2" s="241"/>
      <c r="E2" s="241"/>
      <c r="F2" s="241"/>
      <c r="G2" s="241"/>
    </row>
    <row r="3" spans="1:7" s="242" customFormat="1" ht="18" customHeight="1" thickBot="1">
      <c r="A3" s="245" t="s">
        <v>85</v>
      </c>
      <c r="B3" s="246">
        <f ca="1">ROUND(B2*10000/'数据-汇总表'!E3,0)</f>
        <v>4675</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1148</v>
      </c>
    </row>
    <row r="9" spans="1:7" s="256" customFormat="1" ht="13.5" customHeight="1">
      <c r="A9" s="945" t="s">
        <v>800</v>
      </c>
      <c r="B9" s="266" t="s">
        <v>93</v>
      </c>
      <c r="C9" s="267">
        <f>ROUND(D9*E9/10000,0)</f>
        <v>1657</v>
      </c>
      <c r="D9" s="1027">
        <f>'数据-汇总表'!E5</f>
        <v>103555.41999999998</v>
      </c>
      <c r="E9" s="267">
        <f>'数据-取费表'!B27</f>
        <v>160</v>
      </c>
      <c r="F9" s="263"/>
      <c r="G9" s="268"/>
    </row>
    <row r="10" spans="1:7" s="256" customFormat="1" ht="13.5" customHeight="1">
      <c r="A10" s="945" t="s">
        <v>801</v>
      </c>
      <c r="B10" s="266" t="s">
        <v>94</v>
      </c>
      <c r="C10" s="267">
        <f>ROUND(D10*E10/10000,0)</f>
        <v>657</v>
      </c>
      <c r="D10" s="1027">
        <f>'数据-汇总表'!E6</f>
        <v>32853.400000000023</v>
      </c>
      <c r="E10" s="267">
        <f>'数据-取费表'!B28</f>
        <v>200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2728</v>
      </c>
      <c r="D19" s="1031">
        <f>'数据-汇总表'!E3</f>
        <v>136408.82</v>
      </c>
      <c r="E19" s="253">
        <f>'数据-取费表'!B31</f>
        <v>200</v>
      </c>
      <c r="F19" s="273"/>
      <c r="G19" s="1" t="s">
        <v>1074</v>
      </c>
    </row>
    <row r="20" spans="1:7" s="256" customFormat="1" ht="13.5" customHeight="1">
      <c r="A20" s="943" t="s">
        <v>1057</v>
      </c>
      <c r="B20" s="252" t="s">
        <v>104</v>
      </c>
      <c r="C20" s="274">
        <f>ROUND((C5+C19)*F20,0)</f>
        <v>467</v>
      </c>
      <c r="D20" s="274"/>
      <c r="E20" s="274"/>
      <c r="F20" s="275">
        <f>'数据-取费表'!B37</f>
        <v>0.02</v>
      </c>
      <c r="G20" s="1284" t="s">
        <v>1068</v>
      </c>
    </row>
    <row r="21" spans="1:7" s="256" customFormat="1" ht="13.5" customHeight="1">
      <c r="A21" s="943" t="s">
        <v>1059</v>
      </c>
      <c r="B21" s="252" t="s">
        <v>105</v>
      </c>
      <c r="C21" s="277">
        <f>F21</f>
        <v>0.02</v>
      </c>
      <c r="D21" s="278" t="s">
        <v>126</v>
      </c>
      <c r="E21" s="274"/>
      <c r="F21" s="275">
        <f>'数据-取费表'!B38</f>
        <v>0.02</v>
      </c>
      <c r="G21" s="276" t="s">
        <v>106</v>
      </c>
    </row>
    <row r="22" spans="1:7" s="256" customFormat="1" ht="13.5" customHeight="1">
      <c r="A22" s="943" t="s">
        <v>786</v>
      </c>
      <c r="B22" s="252" t="s">
        <v>107</v>
      </c>
      <c r="C22" s="1349">
        <f ca="1">ROUND(SUM(C23:C25),0)</f>
        <v>1120</v>
      </c>
      <c r="D22" s="277">
        <f ca="1">C26</f>
        <v>5.0000000000000001E-4</v>
      </c>
      <c r="E22" s="278" t="s">
        <v>126</v>
      </c>
      <c r="F22" s="279">
        <f ca="1">'数据-取费表'!B40</f>
        <v>4.7500000000000001E-2</v>
      </c>
      <c r="G22" s="1284" t="str">
        <f>IF('数据-取费表'!B22&lt;=1,"单利计息","复利计息")</f>
        <v>复利计息</v>
      </c>
    </row>
    <row r="23" spans="1:7" s="256" customFormat="1" ht="13.5" customHeight="1">
      <c r="A23" s="946" t="s">
        <v>794</v>
      </c>
      <c r="B23" s="257" t="s">
        <v>1061</v>
      </c>
      <c r="C23" s="1350">
        <f ca="1">ROUND(IF('数据-取费表'!B22&lt;=1,C5*F22*'数据-取费表'!B23,C5*(POWER((1+F22),'数据-取费表'!B23)-1)),0)</f>
        <v>979</v>
      </c>
      <c r="D23" s="280"/>
      <c r="E23" s="280"/>
      <c r="F23" s="281"/>
      <c r="G23" s="282" t="s">
        <v>108</v>
      </c>
    </row>
    <row r="24" spans="1:7" s="256" customFormat="1" ht="13.5" customHeight="1">
      <c r="A24" s="946" t="s">
        <v>792</v>
      </c>
      <c r="B24" s="257" t="s">
        <v>1056</v>
      </c>
      <c r="C24" s="1350">
        <f ca="1">ROUND(IF('数据-取费表'!B22&lt;=1,C19*F22*('数据-取费表'!B19/2+'数据-取费表'!B21),C19*(POWER((1+F22),('数据-取费表'!B19/2+'数据-取费表'!B21))-1)),0)</f>
        <v>130</v>
      </c>
      <c r="D24" s="280"/>
      <c r="E24" s="280"/>
      <c r="F24" s="281"/>
      <c r="G24" s="282" t="s">
        <v>109</v>
      </c>
    </row>
    <row r="25" spans="1:7" s="256" customFormat="1" ht="24">
      <c r="A25" s="946" t="s">
        <v>793</v>
      </c>
      <c r="B25" s="257" t="s">
        <v>1058</v>
      </c>
      <c r="C25" s="1350">
        <f ca="1">ROUND(IF('数据-取费表'!B22&lt;=1,C20*F22*'数据-取费表'!B23/2,C20*(POWER((1+F22),'数据-取费表'!B23/2)-1)),0)</f>
        <v>11</v>
      </c>
      <c r="D25" s="280"/>
      <c r="E25" s="283"/>
      <c r="F25" s="281"/>
      <c r="G25" s="284" t="s">
        <v>110</v>
      </c>
    </row>
    <row r="26" spans="1:7" s="256" customFormat="1">
      <c r="A26" s="946" t="s">
        <v>795</v>
      </c>
      <c r="B26" s="257" t="s">
        <v>1060</v>
      </c>
      <c r="C26" s="280">
        <f ca="1">ROUND(IF('数据-取费表'!B22&lt;=1,F21*F22*'数据-取费表'!B23/2,F21*(POWER((1+F22),'数据-取费表'!B23/2)-1)),4)</f>
        <v>5.0000000000000001E-4</v>
      </c>
      <c r="D26" s="280"/>
      <c r="E26" s="283"/>
      <c r="F26" s="281"/>
      <c r="G26" s="285"/>
    </row>
    <row r="27" spans="1:7" s="256" customFormat="1" ht="24.75">
      <c r="A27" s="943" t="s">
        <v>787</v>
      </c>
      <c r="B27" s="286" t="s">
        <v>112</v>
      </c>
      <c r="C27" s="287">
        <f>C28</f>
        <v>1071</v>
      </c>
      <c r="D27" s="277">
        <f>C29</f>
        <v>8.9999999999999998E-4</v>
      </c>
      <c r="E27" s="278" t="s">
        <v>126</v>
      </c>
      <c r="F27" s="288">
        <f>'数据-取费表'!Q16</f>
        <v>0.09</v>
      </c>
      <c r="G27" s="289" t="s">
        <v>1069</v>
      </c>
    </row>
    <row r="28" spans="1:7" s="256" customFormat="1" ht="13.5" customHeight="1">
      <c r="A28" s="946" t="s">
        <v>794</v>
      </c>
      <c r="B28" s="290" t="s">
        <v>1062</v>
      </c>
      <c r="C28" s="291">
        <f>ROUND((C5+C19+C20)*F27*'数据-取费表'!B21/'数据-取费表'!B20,0)</f>
        <v>1071</v>
      </c>
      <c r="D28" s="277"/>
      <c r="E28" s="278"/>
      <c r="F28" s="288"/>
      <c r="G28" s="289"/>
    </row>
    <row r="29" spans="1:7" s="256" customFormat="1" ht="13.5" customHeight="1">
      <c r="A29" s="946" t="s">
        <v>792</v>
      </c>
      <c r="B29" s="290" t="s">
        <v>1063</v>
      </c>
      <c r="C29" s="280">
        <f>ROUND(C21*F27*'数据-取费表'!B21/'数据-取费表'!B20,4)</f>
        <v>8.9999999999999998E-4</v>
      </c>
      <c r="D29" s="277"/>
      <c r="E29" s="278"/>
      <c r="F29" s="288"/>
      <c r="G29" s="289"/>
    </row>
    <row r="30" spans="1:7" s="256" customFormat="1" ht="13.5" customHeight="1">
      <c r="A30" s="943"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28096</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29039</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25514</v>
      </c>
      <c r="D34" s="259"/>
      <c r="E34" s="262"/>
      <c r="F34" s="299">
        <f>IF('数据-取费表'!B24=0,1,'数据-取费表'!N16)</f>
        <v>0.47</v>
      </c>
      <c r="G34" s="261" t="s">
        <v>116</v>
      </c>
    </row>
    <row r="35" spans="1:7" ht="13.5" customHeight="1">
      <c r="A35" s="946" t="s">
        <v>796</v>
      </c>
      <c r="B35" s="257" t="s">
        <v>60</v>
      </c>
      <c r="C35" s="262">
        <f>ROUND(C34*F35,0)</f>
        <v>765</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1095</v>
      </c>
      <c r="D36" s="262"/>
      <c r="E36" s="262"/>
      <c r="F36" s="301">
        <f>'数据-取费表'!B34</f>
        <v>0.05</v>
      </c>
      <c r="G36" s="302" t="s">
        <v>62</v>
      </c>
    </row>
    <row r="37" spans="1:7" s="300" customFormat="1" ht="13.5" customHeight="1">
      <c r="A37" s="946" t="s">
        <v>798</v>
      </c>
      <c r="B37" s="257" t="s">
        <v>118</v>
      </c>
      <c r="C37" s="291">
        <f>ROUND(E37*D37*F34/10000,0)</f>
        <v>1282</v>
      </c>
      <c r="D37" s="259">
        <f>'数据-汇总表'!E3</f>
        <v>136408.82</v>
      </c>
      <c r="E37" s="291">
        <f>'数据-取费表'!B35</f>
        <v>200</v>
      </c>
      <c r="F37" s="301"/>
      <c r="G37" s="303" t="s">
        <v>119</v>
      </c>
    </row>
    <row r="38" spans="1:7" ht="13.5" customHeight="1">
      <c r="A38" s="946" t="s">
        <v>799</v>
      </c>
      <c r="B38" s="257" t="s">
        <v>63</v>
      </c>
      <c r="C38" s="262">
        <f>ROUND(C34*F38,0)</f>
        <v>383</v>
      </c>
      <c r="D38" s="262"/>
      <c r="E38" s="262"/>
      <c r="F38" s="301">
        <f>'数据-取费表'!B36</f>
        <v>1.4999999999999999E-2</v>
      </c>
      <c r="G38" s="261" t="s">
        <v>117</v>
      </c>
    </row>
    <row r="39" spans="1:7" s="256" customFormat="1" ht="13.5" customHeight="1">
      <c r="A39" s="943" t="s">
        <v>783</v>
      </c>
      <c r="B39" s="252" t="s">
        <v>104</v>
      </c>
      <c r="C39" s="274">
        <f>ROUND(C33*F20,0)</f>
        <v>581</v>
      </c>
      <c r="D39" s="274"/>
      <c r="E39" s="274"/>
      <c r="F39" s="275"/>
      <c r="G39" s="1284" t="s">
        <v>1071</v>
      </c>
    </row>
    <row r="40" spans="1:7" s="256" customFormat="1" ht="13.5" customHeight="1">
      <c r="A40" s="943" t="s">
        <v>784</v>
      </c>
      <c r="B40" s="252" t="s">
        <v>105</v>
      </c>
      <c r="C40" s="304">
        <f>F21</f>
        <v>0.02</v>
      </c>
      <c r="D40" s="278" t="s">
        <v>129</v>
      </c>
      <c r="E40" s="274"/>
      <c r="F40" s="275"/>
      <c r="G40" s="276" t="s">
        <v>120</v>
      </c>
    </row>
    <row r="41" spans="1:7" s="256" customFormat="1" ht="13.5" customHeight="1">
      <c r="A41" s="943" t="s">
        <v>785</v>
      </c>
      <c r="B41" s="252" t="s">
        <v>107</v>
      </c>
      <c r="C41" s="274">
        <f ca="1">ROUND(SUM(C42:C43),0)</f>
        <v>696</v>
      </c>
      <c r="D41" s="277">
        <f ca="1">C44</f>
        <v>5.0000000000000001E-4</v>
      </c>
      <c r="E41" s="278" t="s">
        <v>129</v>
      </c>
      <c r="F41" s="279"/>
      <c r="G41" s="1284" t="str">
        <f>IF('数据-取费表'!B22&lt;=1,"单利计息","复利计息")</f>
        <v>复利计息</v>
      </c>
    </row>
    <row r="42" spans="1:7" ht="13.5" customHeight="1">
      <c r="A42" s="946" t="s">
        <v>794</v>
      </c>
      <c r="B42" s="257" t="s">
        <v>1061</v>
      </c>
      <c r="C42" s="280">
        <f ca="1">ROUND(IF('数据-取费表'!B22&lt;=1,C33*F22*'数据-取费表'!B21/2,C33*(POWER((1+F22),'数据-取费表'!B21/2)-1)),0)</f>
        <v>682</v>
      </c>
      <c r="D42" s="280"/>
      <c r="E42" s="280"/>
      <c r="F42" s="281"/>
      <c r="G42" s="3203" t="s">
        <v>121</v>
      </c>
    </row>
    <row r="43" spans="1:7" ht="13.5" customHeight="1">
      <c r="A43" s="946" t="s">
        <v>792</v>
      </c>
      <c r="B43" s="257" t="s">
        <v>1064</v>
      </c>
      <c r="C43" s="280">
        <f ca="1">ROUND(IF('数据-取费表'!B22&lt;=1,C39*F22*'数据-取费表'!B21/2,C39*(POWER((1+F22),'数据-取费表'!B21/2)-1)),0)</f>
        <v>14</v>
      </c>
      <c r="D43" s="280"/>
      <c r="E43" s="280"/>
      <c r="F43" s="281"/>
      <c r="G43" s="3204"/>
    </row>
    <row r="44" spans="1:7" ht="13.5" customHeight="1">
      <c r="A44" s="946" t="s">
        <v>793</v>
      </c>
      <c r="B44" s="257" t="s">
        <v>1066</v>
      </c>
      <c r="C44" s="280">
        <f ca="1">ROUND(IF('数据-取费表'!B22&lt;=1,C40*F22*'数据-取费表'!B21/2,C40*(POWER((1+F22),'数据-取费表'!B21/2)-1)),4)</f>
        <v>5.0000000000000001E-4</v>
      </c>
      <c r="D44" s="280"/>
      <c r="E44" s="280"/>
      <c r="F44" s="281"/>
      <c r="G44" s="3205"/>
    </row>
    <row r="45" spans="1:7" s="256" customFormat="1" ht="13.5" customHeight="1">
      <c r="A45" s="943" t="s">
        <v>786</v>
      </c>
      <c r="B45" s="286" t="s">
        <v>112</v>
      </c>
      <c r="C45" s="287">
        <f>C46</f>
        <v>2666</v>
      </c>
      <c r="D45" s="277">
        <f>C47</f>
        <v>1.8E-3</v>
      </c>
      <c r="E45" s="278" t="s">
        <v>129</v>
      </c>
      <c r="F45" s="288"/>
      <c r="G45" s="289" t="s">
        <v>1072</v>
      </c>
    </row>
    <row r="46" spans="1:7" s="256" customFormat="1" ht="13.5" customHeight="1">
      <c r="A46" s="946" t="s">
        <v>794</v>
      </c>
      <c r="B46" s="290" t="s">
        <v>1065</v>
      </c>
      <c r="C46" s="291">
        <f>ROUND((C33+C39)*F27,0)</f>
        <v>2666</v>
      </c>
      <c r="D46" s="305"/>
      <c r="E46" s="278"/>
      <c r="F46" s="288"/>
      <c r="G46" s="289"/>
    </row>
    <row r="47" spans="1:7" s="256" customFormat="1" ht="13.5" customHeight="1">
      <c r="A47" s="946" t="s">
        <v>792</v>
      </c>
      <c r="B47" s="290" t="s">
        <v>1067</v>
      </c>
      <c r="C47" s="280">
        <f>ROUND(C40*F27,4)</f>
        <v>1.8E-3</v>
      </c>
      <c r="D47" s="305"/>
      <c r="E47" s="278"/>
      <c r="F47" s="288"/>
      <c r="G47" s="289"/>
    </row>
    <row r="48" spans="1:7" s="256" customFormat="1" ht="13.5" customHeight="1">
      <c r="A48" s="943" t="s">
        <v>787</v>
      </c>
      <c r="B48" s="252" t="s">
        <v>122</v>
      </c>
      <c r="C48" s="304">
        <f>F30</f>
        <v>5.6000000000000001E-2</v>
      </c>
      <c r="D48" s="278" t="s">
        <v>130</v>
      </c>
      <c r="E48" s="274"/>
      <c r="F48" s="279"/>
      <c r="G48" s="276" t="s">
        <v>123</v>
      </c>
    </row>
    <row r="49" spans="1:7" ht="16.5" customHeight="1">
      <c r="A49" s="943" t="s">
        <v>788</v>
      </c>
      <c r="B49" s="252" t="s">
        <v>131</v>
      </c>
      <c r="C49" s="274">
        <f ca="1">ROUND((C33+C39+C41+C45)/(1-C40-D41-D45-C48/(1+'数据-取费表'!B42)),0)</f>
        <v>35681</v>
      </c>
      <c r="D49" s="274"/>
      <c r="E49" s="274"/>
      <c r="F49" s="306"/>
      <c r="G49" s="276" t="s">
        <v>1073</v>
      </c>
    </row>
    <row r="50" spans="1:7" s="300" customFormat="1" ht="24">
      <c r="A50" s="943" t="s">
        <v>789</v>
      </c>
      <c r="B50" s="252" t="s">
        <v>124</v>
      </c>
      <c r="C50" s="274"/>
      <c r="D50" s="274"/>
      <c r="E50" s="274"/>
      <c r="F50" s="306">
        <f>IF('数据-取费表'!B24=0,'数据-取费表'!N16,1)</f>
        <v>1</v>
      </c>
      <c r="G50" s="289" t="s">
        <v>125</v>
      </c>
    </row>
    <row r="51" spans="1:7" ht="16.5" customHeight="1">
      <c r="A51" s="943" t="s">
        <v>790</v>
      </c>
      <c r="B51" s="252" t="s">
        <v>132</v>
      </c>
      <c r="C51" s="274">
        <f ca="1">ROUND(C49*F50,0)</f>
        <v>35681</v>
      </c>
      <c r="D51" s="274"/>
      <c r="E51" s="274"/>
      <c r="F51" s="306"/>
      <c r="G51" s="276" t="s">
        <v>64</v>
      </c>
    </row>
    <row r="52" spans="1:7" s="250" customFormat="1" ht="16.5" thickBot="1">
      <c r="A52" s="307" t="s">
        <v>65</v>
      </c>
      <c r="B52" s="308"/>
      <c r="C52" s="309">
        <f ca="1">C31+C51</f>
        <v>63777</v>
      </c>
      <c r="D52" s="308"/>
      <c r="E52" s="308"/>
      <c r="F52" s="308"/>
      <c r="G52" s="310"/>
    </row>
    <row r="55" spans="1:7" ht="15">
      <c r="B55" s="312" t="s">
        <v>66</v>
      </c>
      <c r="C55" s="313"/>
    </row>
    <row r="56" spans="1:7">
      <c r="B56" s="315" t="s">
        <v>67</v>
      </c>
      <c r="C56" s="316">
        <f ca="1">ROUND(C51/C52,3)</f>
        <v>0.55900000000000005</v>
      </c>
    </row>
    <row r="57" spans="1:7">
      <c r="B57" s="315" t="s">
        <v>68</v>
      </c>
      <c r="C57" s="317">
        <f ca="1">1-C56</f>
        <v>0.44099999999999995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08" t="s">
        <v>156</v>
      </c>
      <c r="B1" s="3308"/>
      <c r="C1" s="3308"/>
      <c r="D1" s="3308"/>
      <c r="E1" s="3308"/>
      <c r="F1" s="3308"/>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09" t="s">
        <v>169</v>
      </c>
      <c r="B2" s="3309"/>
      <c r="C2" s="3309"/>
      <c r="D2" s="3309"/>
      <c r="E2" s="3309"/>
      <c r="F2" s="3309"/>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10"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11"/>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08" t="s">
        <v>871</v>
      </c>
      <c r="B1" s="3308"/>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1301</v>
      </c>
      <c r="C1" s="1690">
        <f>项目基本情况!D3</f>
        <v>43126</v>
      </c>
      <c r="D1" s="1696" t="s">
        <v>1302</v>
      </c>
      <c r="E1" s="1691">
        <f>'数据-取费表'!B22</f>
        <v>2</v>
      </c>
      <c r="F1" s="1696" t="s">
        <v>1303</v>
      </c>
      <c r="G1" s="1692">
        <f ca="1">INDIRECT("d"&amp;$K$1)/100</f>
        <v>4.7500000000000001E-2</v>
      </c>
      <c r="H1" s="1696" t="s">
        <v>1333</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1304</v>
      </c>
      <c r="E2" s="1632"/>
      <c r="F2" s="1632" t="s">
        <v>1305</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1306</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1307</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1308</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1309</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1310</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1311</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1312</v>
      </c>
      <c r="C10" s="1660"/>
      <c r="D10" s="1660"/>
      <c r="E10" s="1660"/>
      <c r="F10" s="1660"/>
      <c r="G10" s="1660"/>
      <c r="H10" s="1660"/>
      <c r="I10" s="1634"/>
      <c r="J10" s="1634"/>
      <c r="K10" s="1660"/>
      <c r="L10" s="1661" t="s">
        <v>1313</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1314</v>
      </c>
      <c r="C11" s="1665" t="s">
        <v>1315</v>
      </c>
      <c r="D11" s="1666" t="s">
        <v>1316</v>
      </c>
      <c r="E11" s="1667"/>
      <c r="F11" s="1666" t="s">
        <v>1317</v>
      </c>
      <c r="G11" s="1668"/>
      <c r="H11" s="1667"/>
      <c r="I11" s="1666" t="s">
        <v>1318</v>
      </c>
      <c r="J11" s="1667"/>
      <c r="K11" s="1663"/>
      <c r="L11" s="1664" t="s">
        <v>1314</v>
      </c>
      <c r="M11" s="1665" t="s">
        <v>1315</v>
      </c>
      <c r="N11" s="1664" t="s">
        <v>1319</v>
      </c>
      <c r="O11" s="1666" t="s">
        <v>1320</v>
      </c>
      <c r="P11" s="1668"/>
      <c r="Q11" s="1668"/>
      <c r="R11" s="1668"/>
      <c r="S11" s="1668"/>
      <c r="T11" s="1667"/>
      <c r="U11" s="1666" t="s">
        <v>1321</v>
      </c>
      <c r="V11" s="1668"/>
      <c r="W11" s="1667"/>
      <c r="X11" s="1664" t="s">
        <v>1322</v>
      </c>
      <c r="Y11" s="1664" t="s">
        <v>1323</v>
      </c>
      <c r="Z11" s="1664" t="s">
        <v>1324</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1325</v>
      </c>
      <c r="E12" s="1673" t="s">
        <v>1326</v>
      </c>
      <c r="F12" s="1673" t="s">
        <v>1327</v>
      </c>
      <c r="G12" s="1673" t="s">
        <v>1328</v>
      </c>
      <c r="H12" s="1673" t="s">
        <v>1310</v>
      </c>
      <c r="I12" s="1674" t="s">
        <v>1329</v>
      </c>
      <c r="J12" s="1674" t="s">
        <v>1329</v>
      </c>
      <c r="K12" s="1670"/>
      <c r="L12" s="1671"/>
      <c r="M12" s="1672"/>
      <c r="N12" s="1671"/>
      <c r="O12" s="1674" t="s">
        <v>1330</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1331</v>
      </c>
      <c r="C13" s="1678">
        <v>42301</v>
      </c>
      <c r="D13" s="1679">
        <v>4.3499999999999996</v>
      </c>
      <c r="E13" s="1679">
        <v>4.3499999999999996</v>
      </c>
      <c r="F13" s="1679">
        <v>4.75</v>
      </c>
      <c r="G13" s="1679">
        <v>4.75</v>
      </c>
      <c r="H13" s="1679">
        <v>4.9000000000000004</v>
      </c>
      <c r="I13" s="1679">
        <v>2.75</v>
      </c>
      <c r="J13" s="1679">
        <v>3.25</v>
      </c>
      <c r="K13" s="1676"/>
      <c r="L13" s="1677" t="s">
        <v>1331</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1332</v>
      </c>
      <c r="Y42" s="1683" t="s">
        <v>1332</v>
      </c>
      <c r="Z42" s="1683" t="s">
        <v>1332</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1332</v>
      </c>
      <c r="Y43" s="1683" t="s">
        <v>1332</v>
      </c>
      <c r="Z43" s="1683" t="s">
        <v>1332</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1332</v>
      </c>
      <c r="Y44" s="1683" t="s">
        <v>1332</v>
      </c>
      <c r="Z44" s="1683" t="s">
        <v>1332</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1332</v>
      </c>
      <c r="Y45" s="1683" t="s">
        <v>1332</v>
      </c>
      <c r="Z45" s="1683" t="s">
        <v>1332</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1332</v>
      </c>
      <c r="Y46" s="1683" t="s">
        <v>1332</v>
      </c>
      <c r="Z46" s="1683" t="s">
        <v>1332</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1332</v>
      </c>
      <c r="Y47" s="1683" t="s">
        <v>1332</v>
      </c>
      <c r="Z47" s="1683" t="s">
        <v>1332</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1332</v>
      </c>
      <c r="Y48" s="1683" t="s">
        <v>1332</v>
      </c>
      <c r="Z48" s="1683" t="s">
        <v>1332</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1332</v>
      </c>
      <c r="Y49" s="1683" t="s">
        <v>1332</v>
      </c>
      <c r="Z49" s="1683" t="s">
        <v>1332</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1332</v>
      </c>
      <c r="Y50" s="1683" t="s">
        <v>1332</v>
      </c>
      <c r="Z50" s="1683" t="s">
        <v>1332</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1332</v>
      </c>
      <c r="V51" s="1683" t="s">
        <v>1332</v>
      </c>
      <c r="W51" s="1683" t="s">
        <v>1332</v>
      </c>
      <c r="X51" s="1683" t="s">
        <v>1332</v>
      </c>
      <c r="Y51" s="1683" t="s">
        <v>1332</v>
      </c>
      <c r="Z51" s="1683" t="s">
        <v>1332</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1332</v>
      </c>
      <c r="J55" s="1683" t="s">
        <v>1332</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1373</v>
      </c>
      <c r="E1" s="1772" t="s">
        <v>1377</v>
      </c>
      <c r="F1" s="1773" t="s">
        <v>1381</v>
      </c>
    </row>
    <row r="2" spans="1:13" ht="20.25">
      <c r="A2" s="1779" t="s">
        <v>1374</v>
      </c>
    </row>
    <row r="3" spans="1:13" ht="16.5">
      <c r="A3" s="1780" t="s">
        <v>1375</v>
      </c>
    </row>
    <row r="4" spans="1:13" ht="14.25">
      <c r="A4" s="1770" t="s">
        <v>1376</v>
      </c>
      <c r="B4" s="1775" t="s">
        <v>1378</v>
      </c>
      <c r="C4" s="1776"/>
      <c r="D4" s="1777"/>
      <c r="E4" s="1775" t="s">
        <v>27</v>
      </c>
      <c r="F4" s="1776"/>
      <c r="G4" s="1777"/>
      <c r="H4" s="1775" t="s">
        <v>1379</v>
      </c>
      <c r="I4" s="1776"/>
      <c r="J4" s="1777"/>
      <c r="K4" s="1775" t="s">
        <v>6</v>
      </c>
      <c r="L4" s="1776"/>
      <c r="M4" s="1777"/>
    </row>
    <row r="5" spans="1:13" ht="14.25">
      <c r="A5" s="1771" t="s">
        <v>1380</v>
      </c>
      <c r="B5" s="1770" t="s">
        <v>1382</v>
      </c>
      <c r="C5" s="1770" t="s">
        <v>1383</v>
      </c>
      <c r="D5" s="1770" t="s">
        <v>1384</v>
      </c>
      <c r="E5" s="1770" t="s">
        <v>1382</v>
      </c>
      <c r="F5" s="1770" t="s">
        <v>1383</v>
      </c>
      <c r="G5" s="1770" t="s">
        <v>1384</v>
      </c>
      <c r="H5" s="1770" t="s">
        <v>1382</v>
      </c>
      <c r="I5" s="1770" t="s">
        <v>1383</v>
      </c>
      <c r="J5" s="1770" t="s">
        <v>1384</v>
      </c>
      <c r="K5" s="1770" t="s">
        <v>1382</v>
      </c>
      <c r="L5" s="1770" t="s">
        <v>1383</v>
      </c>
      <c r="M5" s="1770" t="s">
        <v>1384</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1643</v>
      </c>
      <c r="B2" s="2989" t="s">
        <v>1644</v>
      </c>
      <c r="C2" s="2989" t="s">
        <v>1645</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90"/>
      <c r="B3" s="2990"/>
      <c r="C3" s="2990"/>
      <c r="D3" s="1039" t="s">
        <v>1640</v>
      </c>
      <c r="E3" s="1039" t="s">
        <v>1646</v>
      </c>
      <c r="F3" s="1039" t="s">
        <v>1640</v>
      </c>
      <c r="G3" s="1039" t="s">
        <v>1641</v>
      </c>
      <c r="H3" s="1039" t="s">
        <v>1640</v>
      </c>
      <c r="I3" s="1039" t="s">
        <v>1641</v>
      </c>
    </row>
    <row r="4" spans="1:9" ht="60">
      <c r="A4" s="1969" t="str">
        <f>项目基本情况!S2</f>
        <v>北京市门头沟区永定镇MC00-0017-0620地块出让国有建设用地使用权及在建建筑物房地产</v>
      </c>
      <c r="B4" s="1039">
        <f>项目基本情况!C17</f>
        <v>136408.82</v>
      </c>
      <c r="C4" s="1039">
        <f>项目基本情况!C18</f>
        <v>35880.089999999997</v>
      </c>
      <c r="D4" s="1039">
        <f ca="1">结果表!D118</f>
        <v>489026</v>
      </c>
      <c r="E4" s="1039">
        <f ca="1">结果表!E118</f>
        <v>35850</v>
      </c>
      <c r="F4" s="1039">
        <f ca="1">结果表!F118</f>
        <v>33996</v>
      </c>
      <c r="G4" s="1039">
        <f ca="1">结果表!G118</f>
        <v>2492</v>
      </c>
      <c r="H4" s="1039">
        <f ca="1">结果表!H118</f>
        <v>523022</v>
      </c>
      <c r="I4" s="1039">
        <f ca="1">结果表!I118</f>
        <v>38342</v>
      </c>
    </row>
    <row r="5" spans="1:9" ht="30" customHeight="1">
      <c r="A5" s="2990" t="s">
        <v>1642</v>
      </c>
      <c r="B5" s="2990"/>
      <c r="C5" s="2990"/>
      <c r="D5" s="2991" t="str">
        <f ca="1">结果表!D119</f>
        <v>肆拾捌亿玖仟零贰拾陆万元整</v>
      </c>
      <c r="E5" s="2991"/>
      <c r="F5" s="2991" t="str">
        <f ca="1">结果表!F119</f>
        <v>叁亿叁仟玖佰玖拾陆万元整</v>
      </c>
      <c r="G5" s="2991"/>
      <c r="H5" s="2991" t="str">
        <f ca="1">结果表!H119</f>
        <v>伍拾贰亿叁仟零贰拾贰万元整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1642</v>
      </c>
      <c r="B7" s="2990"/>
      <c r="C7" s="2990"/>
      <c r="D7" s="2993" t="str">
        <f>结果表!D121</f>
        <v>零元整</v>
      </c>
      <c r="E7" s="2994"/>
      <c r="F7" s="2994"/>
      <c r="G7" s="2994"/>
      <c r="H7" s="2994"/>
      <c r="I7" s="2995"/>
    </row>
    <row r="8" spans="1:9" ht="15.75">
      <c r="A8" s="2992" t="str">
        <f>结果表!A122</f>
        <v>房地产抵押价值</v>
      </c>
      <c r="B8" s="2992"/>
      <c r="C8" s="2992"/>
      <c r="D8" s="2992">
        <f ca="1">结果表!D122</f>
        <v>523022</v>
      </c>
      <c r="E8" s="2992"/>
      <c r="F8" s="2992"/>
      <c r="G8" s="2992"/>
      <c r="H8" s="2992"/>
      <c r="I8" s="2992"/>
    </row>
    <row r="9" spans="1:9" ht="15">
      <c r="A9" s="2990" t="s">
        <v>1642</v>
      </c>
      <c r="B9" s="2990"/>
      <c r="C9" s="2990"/>
      <c r="D9" s="2991" t="str">
        <f ca="1">结果表!D123</f>
        <v>伍拾贰亿叁仟零贰拾贰万元整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1642</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1642</v>
      </c>
      <c r="B13" s="2996"/>
      <c r="C13" s="2996"/>
      <c r="D13" s="2997" t="e">
        <f>结果表!D127</f>
        <v>#VALUE!</v>
      </c>
      <c r="E13" s="2997"/>
      <c r="F13" s="2997"/>
      <c r="G13" s="2997"/>
      <c r="H13" s="2997"/>
      <c r="I13" s="2997"/>
    </row>
    <row r="14" spans="1:9" ht="15" thickTop="1">
      <c r="A14" s="2998" t="s">
        <v>1647</v>
      </c>
      <c r="B14" s="2998"/>
      <c r="C14" s="2998"/>
      <c r="D14" s="2998"/>
      <c r="E14" s="2998"/>
      <c r="F14" s="2998"/>
      <c r="G14" s="2998"/>
      <c r="H14" s="2998"/>
      <c r="I14" s="2998"/>
    </row>
    <row r="16" spans="1:9" ht="18.75">
      <c r="A16" s="1970" t="s">
        <v>1630</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99" t="s">
        <v>1664</v>
      </c>
      <c r="B1" s="2999"/>
      <c r="C1" s="2999"/>
      <c r="D1" s="2999"/>
    </row>
    <row r="2" spans="1:4" ht="18">
      <c r="A2" s="3000" t="s">
        <v>1648</v>
      </c>
      <c r="B2" s="3000"/>
      <c r="C2" s="3000"/>
      <c r="D2" s="3000"/>
    </row>
    <row r="3" spans="1:4" ht="18.75">
      <c r="A3" s="1973" t="s">
        <v>1649</v>
      </c>
      <c r="B3" s="1973" t="s">
        <v>1650</v>
      </c>
      <c r="C3" s="1973" t="s">
        <v>1651</v>
      </c>
      <c r="D3" s="1973" t="s">
        <v>1652</v>
      </c>
    </row>
    <row r="4" spans="1:4" ht="56.25" customHeight="1">
      <c r="A4" s="1974" t="str">
        <f>项目基本情况!B4</f>
        <v>欧红伟</v>
      </c>
      <c r="B4" s="1975">
        <f ca="1">项目基本情况!C4</f>
        <v>1120000080</v>
      </c>
      <c r="C4" s="1976"/>
      <c r="D4" s="1977" t="s">
        <v>1653</v>
      </c>
    </row>
    <row r="5" spans="1:4" ht="56.25" customHeight="1">
      <c r="A5" s="1974" t="str">
        <f>项目基本情况!D4</f>
        <v>崔锴</v>
      </c>
      <c r="B5" s="1975">
        <f ca="1">项目基本情况!E4</f>
        <v>1120100036</v>
      </c>
      <c r="C5" s="1978"/>
      <c r="D5" s="1977" t="s">
        <v>1653</v>
      </c>
    </row>
    <row r="6" spans="1:4" ht="18">
      <c r="A6" s="3000" t="s">
        <v>1654</v>
      </c>
      <c r="B6" s="3000"/>
      <c r="C6" s="3000"/>
      <c r="D6" s="3000"/>
    </row>
    <row r="7" spans="1:4" ht="18.75">
      <c r="A7" s="1973" t="s">
        <v>1649</v>
      </c>
      <c r="B7" s="1975" t="s">
        <v>1655</v>
      </c>
      <c r="C7" s="1973" t="s">
        <v>1651</v>
      </c>
      <c r="D7" s="1973" t="s">
        <v>1652</v>
      </c>
    </row>
    <row r="8" spans="1:4" ht="56.25" customHeight="1">
      <c r="A8" s="1979" t="s">
        <v>869</v>
      </c>
      <c r="B8" s="1979" t="s">
        <v>1</v>
      </c>
      <c r="C8" s="1976"/>
      <c r="D8" s="1977" t="s">
        <v>1653</v>
      </c>
    </row>
    <row r="9" spans="1:4">
      <c r="A9" s="725"/>
      <c r="B9" s="725"/>
      <c r="C9" s="725"/>
      <c r="D9" s="725"/>
    </row>
    <row r="10" spans="1:4" ht="18.75">
      <c r="A10" s="1980" t="s">
        <v>1656</v>
      </c>
      <c r="B10" s="725"/>
      <c r="C10" s="725"/>
      <c r="D10" s="725"/>
    </row>
    <row r="11" spans="1:4" ht="30" customHeight="1">
      <c r="A11" s="3001" t="s">
        <v>1657</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5" t="s">
        <v>1658</v>
      </c>
      <c r="B16" s="3005"/>
      <c r="C16" s="3005"/>
      <c r="D16" s="3005"/>
    </row>
    <row r="17" spans="1:4" ht="144" customHeight="1">
      <c r="A17" s="3005" t="s">
        <v>1659</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1660</v>
      </c>
      <c r="B22" s="3007"/>
      <c r="C22" s="3007"/>
      <c r="D22" s="3007"/>
    </row>
    <row r="23" spans="1:4">
      <c r="A23" s="1981"/>
      <c r="B23" s="1953"/>
      <c r="C23" s="1953"/>
      <c r="D23" s="1953"/>
    </row>
    <row r="24" spans="1:4">
      <c r="A24" s="1981"/>
      <c r="B24" s="1953"/>
      <c r="C24" s="1953"/>
      <c r="D24" s="1953"/>
    </row>
    <row r="25" spans="1:4" ht="18.75">
      <c r="A25" s="1982" t="s">
        <v>1661</v>
      </c>
    </row>
    <row r="26" spans="1:4" ht="18">
      <c r="A26" s="1951"/>
    </row>
    <row r="27" spans="1:4" ht="18.75">
      <c r="A27" s="1951" t="s">
        <v>1662</v>
      </c>
    </row>
    <row r="30" spans="1:4" ht="18.75">
      <c r="D30" s="1982" t="s">
        <v>1663</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1665</v>
      </c>
    </row>
    <row r="3" spans="1:7">
      <c r="A3" s="1987" t="s">
        <v>82</v>
      </c>
      <c r="B3" s="1971" t="s">
        <v>1666</v>
      </c>
      <c r="G3" s="1988"/>
    </row>
    <row r="4" spans="1:7">
      <c r="G4" s="1988"/>
    </row>
    <row r="5" spans="1:7">
      <c r="A5" s="1990" t="s">
        <v>73</v>
      </c>
      <c r="B5" s="1971" t="s">
        <v>1667</v>
      </c>
      <c r="G5" s="1988"/>
    </row>
    <row r="6" spans="1:7">
      <c r="G6" s="1988"/>
    </row>
    <row r="7" spans="1:7">
      <c r="A7" s="1991" t="s">
        <v>135</v>
      </c>
      <c r="B7" s="1971" t="s">
        <v>1668</v>
      </c>
      <c r="G7" s="1988"/>
    </row>
    <row r="8" spans="1:7">
      <c r="G8" s="1988"/>
    </row>
    <row r="9" spans="1:7">
      <c r="A9" s="1992" t="s">
        <v>74</v>
      </c>
      <c r="B9" s="1971" t="s">
        <v>1669</v>
      </c>
    </row>
    <row r="11" spans="1:7">
      <c r="A11" s="1993" t="s">
        <v>75</v>
      </c>
      <c r="B11" s="1994" t="s">
        <v>72</v>
      </c>
    </row>
    <row r="13" spans="1:7">
      <c r="A13" s="1995" t="s">
        <v>1670</v>
      </c>
    </row>
    <row r="15" spans="1:7" ht="13.5">
      <c r="A15" s="3013" t="s">
        <v>1671</v>
      </c>
      <c r="B15" s="3008" t="s">
        <v>136</v>
      </c>
      <c r="C15" s="3009"/>
    </row>
    <row r="16" spans="1:7" ht="13.5">
      <c r="A16" s="3014"/>
      <c r="B16" s="3008" t="s">
        <v>69</v>
      </c>
      <c r="C16" s="3009"/>
    </row>
    <row r="17" spans="1:3" ht="13.5">
      <c r="A17" s="3014"/>
      <c r="B17" s="3011" t="s">
        <v>1672</v>
      </c>
      <c r="C17" s="1996" t="s">
        <v>1671</v>
      </c>
    </row>
    <row r="18" spans="1:3" ht="13.5">
      <c r="A18" s="3014"/>
      <c r="B18" s="3011"/>
      <c r="C18" s="1996" t="s">
        <v>1673</v>
      </c>
    </row>
    <row r="19" spans="1:3" ht="13.5">
      <c r="A19" s="3014"/>
      <c r="B19" s="3011"/>
      <c r="C19" s="1996" t="s">
        <v>1674</v>
      </c>
    </row>
    <row r="20" spans="1:3" ht="13.5">
      <c r="A20" s="3015"/>
      <c r="B20" s="3010" t="s">
        <v>1675</v>
      </c>
      <c r="C20" s="3009"/>
    </row>
    <row r="21" spans="1:3" ht="13.5">
      <c r="A21" s="1997" t="s">
        <v>1676</v>
      </c>
      <c r="B21" s="1998"/>
      <c r="C21" s="1999"/>
    </row>
    <row r="22" spans="1:3" ht="13.5">
      <c r="A22" s="3012" t="s">
        <v>1677</v>
      </c>
      <c r="B22" s="3010" t="s">
        <v>1678</v>
      </c>
      <c r="C22" s="3009"/>
    </row>
    <row r="23" spans="1:3" ht="13.5">
      <c r="A23" s="3012"/>
      <c r="B23" s="3010" t="s">
        <v>1679</v>
      </c>
      <c r="C23" s="3009"/>
    </row>
    <row r="24" spans="1:3" ht="13.5">
      <c r="A24" s="3012"/>
      <c r="B24" s="3010" t="s">
        <v>1680</v>
      </c>
      <c r="C24" s="3009"/>
    </row>
    <row r="25" spans="1:3" ht="13.5">
      <c r="A25" s="3012"/>
      <c r="B25" s="3011" t="s">
        <v>1681</v>
      </c>
      <c r="C25" s="1996" t="s">
        <v>1682</v>
      </c>
    </row>
    <row r="26" spans="1:3" ht="13.5">
      <c r="A26" s="3012"/>
      <c r="B26" s="3011"/>
      <c r="C26" s="1996" t="s">
        <v>1683</v>
      </c>
    </row>
    <row r="27" spans="1:3" ht="13.5">
      <c r="A27" s="3012"/>
      <c r="B27" s="3011"/>
      <c r="C27" s="1996" t="s">
        <v>1684</v>
      </c>
    </row>
    <row r="28" spans="1:3" ht="13.5">
      <c r="A28" s="3012"/>
      <c r="B28" s="3011"/>
      <c r="C28" s="1996" t="s">
        <v>1685</v>
      </c>
    </row>
    <row r="29" spans="1:3" ht="13.5">
      <c r="A29" s="3012"/>
      <c r="B29" s="3011"/>
      <c r="C29" s="1996" t="s">
        <v>1686</v>
      </c>
    </row>
    <row r="30" spans="1:3" ht="13.5">
      <c r="A30" s="3012"/>
      <c r="B30" s="3011"/>
      <c r="C30" s="1996" t="s">
        <v>1687</v>
      </c>
    </row>
    <row r="31" spans="1:3" ht="13.5">
      <c r="A31" s="3012"/>
      <c r="B31" s="3011"/>
      <c r="C31" s="1996" t="s">
        <v>1688</v>
      </c>
    </row>
    <row r="32" spans="1:3" ht="13.5">
      <c r="A32" s="3012"/>
      <c r="B32" s="3011"/>
      <c r="C32" s="1996" t="s">
        <v>1689</v>
      </c>
    </row>
    <row r="33" spans="1:3" ht="13.5">
      <c r="A33" s="3012"/>
      <c r="B33" s="3011"/>
      <c r="C33" s="1996" t="s">
        <v>1690</v>
      </c>
    </row>
    <row r="34" spans="1:3">
      <c r="A34" s="2000" t="s">
        <v>76</v>
      </c>
    </row>
    <row r="37" spans="1:3">
      <c r="A37" s="2000" t="s">
        <v>1691</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43164</v>
      </c>
      <c r="C2" s="1014" t="s">
        <v>826</v>
      </c>
      <c r="D2" s="1014"/>
    </row>
    <row r="3" spans="1:6" ht="24" customHeight="1">
      <c r="A3" s="1015" t="s">
        <v>827</v>
      </c>
      <c r="B3" s="1016" t="s">
        <v>828</v>
      </c>
      <c r="C3" s="2340" t="s">
        <v>829</v>
      </c>
      <c r="D3" s="2343" t="s">
        <v>830</v>
      </c>
      <c r="E3" s="1017" t="s">
        <v>831</v>
      </c>
      <c r="F3" s="1016" t="s">
        <v>829</v>
      </c>
    </row>
    <row r="4" spans="1:6" ht="24" customHeight="1">
      <c r="A4" s="1698" t="s">
        <v>832</v>
      </c>
      <c r="B4" s="1017">
        <f ca="1">IF(C4&lt;B2,"已过期",1119970066)</f>
        <v>1119970066</v>
      </c>
      <c r="C4" s="2341">
        <v>43849</v>
      </c>
      <c r="D4" s="2344" t="s">
        <v>832</v>
      </c>
      <c r="E4" s="1017">
        <f ca="1">IF(F4&lt;B2,"已过期",96010014)</f>
        <v>96010014</v>
      </c>
      <c r="F4" s="1025">
        <v>47118</v>
      </c>
    </row>
    <row r="5" spans="1:6" ht="24" customHeight="1">
      <c r="A5" s="1698" t="s">
        <v>833</v>
      </c>
      <c r="B5" s="1017">
        <f ca="1">IF(C5&lt;B2,"已过期",1119970074)</f>
        <v>1119970074</v>
      </c>
      <c r="C5" s="2341">
        <v>43849</v>
      </c>
      <c r="D5" s="2344" t="s">
        <v>833</v>
      </c>
      <c r="E5" s="1017">
        <f ca="1">IF(F5&lt;B2,"已过期",2002110027)</f>
        <v>2002110027</v>
      </c>
      <c r="F5" s="1025">
        <v>46752</v>
      </c>
    </row>
    <row r="6" spans="1:6" ht="24" customHeight="1">
      <c r="A6" s="1698" t="s">
        <v>834</v>
      </c>
      <c r="B6" s="1017">
        <f ca="1">IF(C6&lt;B2,"已过期",1119970111)</f>
        <v>1119970111</v>
      </c>
      <c r="C6" s="2341">
        <v>43849</v>
      </c>
      <c r="D6" s="2344" t="s">
        <v>834</v>
      </c>
      <c r="E6" s="1017">
        <f ca="1">IF(F6&lt;B2,"已过期",94010078)</f>
        <v>94010078</v>
      </c>
      <c r="F6" s="1025">
        <v>46387</v>
      </c>
    </row>
    <row r="7" spans="1:6" ht="24" customHeight="1">
      <c r="A7" s="1698" t="s">
        <v>835</v>
      </c>
      <c r="B7" s="1017">
        <f ca="1">IF(C7&lt;B2,"已过期",1120050019)</f>
        <v>1120050019</v>
      </c>
      <c r="C7" s="2341">
        <v>43359</v>
      </c>
      <c r="D7" s="2344" t="s">
        <v>835</v>
      </c>
      <c r="E7" s="1017">
        <f ca="1">IF(F7&lt;B2,"已过期",2002110030)</f>
        <v>2002110030</v>
      </c>
      <c r="F7" s="1025">
        <v>46387</v>
      </c>
    </row>
    <row r="8" spans="1:6" ht="24" customHeight="1">
      <c r="A8" s="1698" t="s">
        <v>836</v>
      </c>
      <c r="B8" s="1017">
        <f ca="1">IF(C8&lt;B2,"已过期",1120000080)</f>
        <v>1120000080</v>
      </c>
      <c r="C8" s="2341">
        <v>43849</v>
      </c>
      <c r="D8" s="2344" t="s">
        <v>836</v>
      </c>
      <c r="E8" s="1017">
        <f ca="1">IF(F8&lt;B2,"已过期",2000110082)</f>
        <v>2000110082</v>
      </c>
      <c r="F8" s="1025">
        <v>46387</v>
      </c>
    </row>
    <row r="9" spans="1:6" ht="24" customHeight="1">
      <c r="A9" s="1698" t="s">
        <v>837</v>
      </c>
      <c r="B9" s="1017">
        <f ca="1">IF(C9&lt;B2,"已过期",1419970001)</f>
        <v>1419970001</v>
      </c>
      <c r="C9" s="2341">
        <v>43867</v>
      </c>
      <c r="D9" s="2344" t="s">
        <v>837</v>
      </c>
      <c r="E9" s="1017">
        <f ca="1">IF(F9&lt;B2,"已过期",2002110125)</f>
        <v>2002110125</v>
      </c>
      <c r="F9" s="1025">
        <v>47118</v>
      </c>
    </row>
    <row r="10" spans="1:6" ht="24" customHeight="1">
      <c r="A10" s="1698" t="s">
        <v>838</v>
      </c>
      <c r="B10" s="1017">
        <f ca="1">IF(C10&lt;B2,"已过期",1120060040)</f>
        <v>1120060040</v>
      </c>
      <c r="C10" s="2341">
        <v>43483</v>
      </c>
      <c r="D10" s="2344" t="s">
        <v>838</v>
      </c>
      <c r="E10" s="1017">
        <f ca="1">IF(F10&lt;B2,"已过期",2004110096)</f>
        <v>2004110096</v>
      </c>
      <c r="F10" s="1025">
        <v>47118</v>
      </c>
    </row>
    <row r="11" spans="1:6" ht="24" customHeight="1">
      <c r="A11" s="1698" t="s">
        <v>839</v>
      </c>
      <c r="B11" s="1017">
        <f ca="1">IF(C11&lt;B2,"已过期",1120100036)</f>
        <v>1120100036</v>
      </c>
      <c r="C11" s="2341">
        <v>43622</v>
      </c>
      <c r="D11" s="2344" t="s">
        <v>839</v>
      </c>
      <c r="E11" s="1017">
        <f ca="1">IF(F11&lt;B2,"已过期",2010110070)</f>
        <v>2010110070</v>
      </c>
      <c r="F11" s="1025">
        <v>47907</v>
      </c>
    </row>
    <row r="12" spans="1:6" ht="24" customHeight="1">
      <c r="A12" s="1698"/>
      <c r="B12" s="1017"/>
      <c r="C12" s="2341"/>
      <c r="D12" s="2344"/>
      <c r="E12" s="1017"/>
      <c r="F12" s="1017"/>
    </row>
    <row r="13" spans="1:6" ht="24" customHeight="1">
      <c r="A13" s="1698" t="s">
        <v>840</v>
      </c>
      <c r="B13" s="1017">
        <f ca="1">IF(C13&lt;B2,"已过期",1120070131)</f>
        <v>1120070131</v>
      </c>
      <c r="C13" s="2341">
        <v>43814</v>
      </c>
      <c r="D13" s="2344" t="s">
        <v>840</v>
      </c>
      <c r="E13" s="1017">
        <v>2014110011</v>
      </c>
      <c r="F13" s="1025">
        <v>49302</v>
      </c>
    </row>
    <row r="14" spans="1:6" ht="24" customHeight="1">
      <c r="A14" s="1698" t="s">
        <v>841</v>
      </c>
      <c r="B14" s="1017">
        <f ca="1">IF(C14&lt;B2,"已过期",1120130020)</f>
        <v>1120130020</v>
      </c>
      <c r="C14" s="2341">
        <v>43622</v>
      </c>
      <c r="D14" s="2344"/>
      <c r="E14" s="1017"/>
      <c r="F14" s="1017"/>
    </row>
    <row r="15" spans="1:6" ht="24" customHeight="1">
      <c r="A15" s="1699" t="s">
        <v>1149</v>
      </c>
      <c r="B15" s="1017">
        <v>1120070085</v>
      </c>
      <c r="C15" s="2341">
        <v>43814</v>
      </c>
      <c r="D15" s="2345" t="s">
        <v>1149</v>
      </c>
      <c r="E15" s="1017">
        <v>2004110128</v>
      </c>
      <c r="F15" s="1018">
        <v>47118</v>
      </c>
    </row>
    <row r="16" spans="1:6" ht="24" customHeight="1">
      <c r="A16" s="1698" t="s">
        <v>842</v>
      </c>
      <c r="B16" s="1017">
        <f ca="1">IF(C16&lt;B2,"已过期",1120140022)</f>
        <v>1120140022</v>
      </c>
      <c r="C16" s="2341">
        <v>44029</v>
      </c>
      <c r="D16" s="2344" t="s">
        <v>842</v>
      </c>
      <c r="E16" s="1017">
        <f ca="1">IF(F16&lt;B2,"已过期",2008110059)</f>
        <v>2008110059</v>
      </c>
      <c r="F16" s="1025">
        <v>47177</v>
      </c>
    </row>
    <row r="17" spans="1:7" ht="24" customHeight="1">
      <c r="A17" s="1698"/>
      <c r="B17" s="1017"/>
      <c r="C17" s="2341"/>
      <c r="D17" s="2344"/>
      <c r="E17" s="1017"/>
      <c r="F17" s="1025"/>
    </row>
    <row r="18" spans="1:7" ht="24" customHeight="1">
      <c r="A18" s="1698"/>
      <c r="B18" s="1017"/>
      <c r="C18" s="2341"/>
      <c r="D18" s="2344"/>
      <c r="E18" s="1017"/>
      <c r="F18" s="1025"/>
    </row>
    <row r="19" spans="1:7" ht="24" customHeight="1">
      <c r="A19" s="1698"/>
      <c r="B19" s="1017"/>
      <c r="C19" s="2341"/>
      <c r="D19" s="2344"/>
      <c r="E19" s="1017"/>
      <c r="F19" s="1017"/>
    </row>
    <row r="20" spans="1:7" ht="24" customHeight="1">
      <c r="A20" s="1698"/>
      <c r="B20" s="1017"/>
      <c r="C20" s="2341"/>
      <c r="D20" s="2344"/>
      <c r="E20" s="1017"/>
      <c r="F20" s="1017"/>
    </row>
    <row r="21" spans="1:7" ht="24" customHeight="1">
      <c r="A21" s="1698"/>
      <c r="B21" s="1017"/>
      <c r="C21" s="2341"/>
      <c r="D21" s="2344" t="s">
        <v>843</v>
      </c>
      <c r="E21" s="1017">
        <f ca="1">IF(F21&lt;B2,"已过期",2011110090)</f>
        <v>2011110090</v>
      </c>
      <c r="F21" s="1025">
        <v>48302</v>
      </c>
    </row>
    <row r="22" spans="1:7" ht="24" customHeight="1">
      <c r="A22" s="1698" t="s">
        <v>844</v>
      </c>
      <c r="B22" s="1017">
        <f ca="1">IF(C22&lt;B2,"已过期",1120020033)</f>
        <v>1120020033</v>
      </c>
      <c r="C22" s="2341">
        <v>43304</v>
      </c>
      <c r="D22" s="2344" t="s">
        <v>844</v>
      </c>
      <c r="E22" s="1017">
        <f ca="1">IF(F22&lt;B2,"已过期",2000110137)</f>
        <v>2000110137</v>
      </c>
      <c r="F22" s="1025">
        <v>46387</v>
      </c>
    </row>
    <row r="23" spans="1:7" ht="24" customHeight="1">
      <c r="A23" s="1698" t="s">
        <v>845</v>
      </c>
      <c r="B23" s="1017">
        <f ca="1">IF(C23&lt;B2,"已过期",1120130048)</f>
        <v>1120130048</v>
      </c>
      <c r="C23" s="2341">
        <v>43686</v>
      </c>
      <c r="D23" s="2344"/>
      <c r="E23" s="1017"/>
      <c r="F23" s="1017"/>
    </row>
    <row r="24" spans="1:7" s="1019" customFormat="1" ht="24" customHeight="1">
      <c r="A24" s="1699" t="s">
        <v>1334</v>
      </c>
      <c r="B24" s="1699" t="s">
        <v>1334</v>
      </c>
      <c r="C24" s="2342" t="s">
        <v>1334</v>
      </c>
      <c r="D24" s="2345" t="s">
        <v>1334</v>
      </c>
      <c r="E24" s="1699" t="s">
        <v>1334</v>
      </c>
      <c r="F24" s="1699" t="s">
        <v>1334</v>
      </c>
    </row>
    <row r="25" spans="1:7" ht="24" customHeight="1">
      <c r="A25" s="3016" t="s">
        <v>846</v>
      </c>
      <c r="B25" s="3016"/>
      <c r="C25" s="3016"/>
      <c r="D25" s="3016"/>
      <c r="E25" s="3016"/>
      <c r="F25" s="3016"/>
      <c r="G25" s="3016"/>
    </row>
    <row r="26" spans="1:7" s="1020" customFormat="1" ht="24" customHeight="1">
      <c r="A26" s="3017" t="s">
        <v>847</v>
      </c>
      <c r="B26" s="3017"/>
      <c r="C26" s="3018"/>
      <c r="D26" s="3019" t="s">
        <v>848</v>
      </c>
      <c r="E26" s="3017"/>
      <c r="F26" s="3017"/>
    </row>
    <row r="27" spans="1:7" s="1022" customFormat="1" ht="24" customHeight="1">
      <c r="A27" s="1021" t="s">
        <v>849</v>
      </c>
      <c r="B27" s="1016" t="s">
        <v>850</v>
      </c>
      <c r="C27" s="2340" t="s">
        <v>851</v>
      </c>
      <c r="D27" s="2348" t="s">
        <v>849</v>
      </c>
      <c r="E27" s="1016" t="s">
        <v>850</v>
      </c>
      <c r="F27" s="1016" t="s">
        <v>851</v>
      </c>
    </row>
    <row r="28" spans="1:7" s="1022" customFormat="1" ht="24" customHeight="1">
      <c r="A28" s="1023" t="s">
        <v>852</v>
      </c>
      <c r="B28" s="1024" t="s">
        <v>853</v>
      </c>
      <c r="C28" s="2346">
        <v>43725</v>
      </c>
      <c r="D28" s="2349" t="s">
        <v>854</v>
      </c>
      <c r="E28" s="1023" t="s">
        <v>855</v>
      </c>
      <c r="F28" s="1053">
        <v>44377</v>
      </c>
    </row>
    <row r="29" spans="1:7" s="1022" customFormat="1" ht="24" customHeight="1">
      <c r="A29" s="1023"/>
      <c r="B29" s="1023"/>
      <c r="C29" s="2347"/>
      <c r="D29" s="2349"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工程进度</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vt:lpstr>
      <vt:lpstr>收益法-仓储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2018-03-05T08:02:56Z</dcterms:modified>
</cp:coreProperties>
</file>