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21"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r:id="rId22"/>
    <sheet name="比较法-住宅、综合" sheetId="39" state="hidden" r:id="rId23"/>
    <sheet name="比较法-工业" sheetId="40" state="hidden" r:id="rId24"/>
    <sheet name="基准地价住宅" sheetId="70"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46"/>
  <c r="N17" i="46"/>
  <c r="G20" i="46"/>
  <c r="C20" i="46"/>
  <c r="C29" i="46"/>
  <c r="L3" i="72"/>
  <c r="C15" i="12"/>
  <c r="D16" i="12"/>
  <c r="C16" i="12"/>
  <c r="C18" i="12"/>
  <c r="D19" i="12"/>
  <c r="C19" i="12"/>
  <c r="D21" i="12"/>
  <c r="C21" i="12"/>
  <c r="D22" i="12"/>
  <c r="C22" i="12"/>
  <c r="C20" i="12"/>
  <c r="C23" i="12"/>
  <c r="I5" i="65"/>
  <c r="E2" i="65"/>
  <c r="B40" i="1"/>
  <c r="F26" i="12"/>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C10" i="12"/>
  <c r="C6" i="12"/>
  <c r="C24" i="12"/>
  <c r="C28" i="12"/>
  <c r="C26" i="12"/>
  <c r="C29" i="12"/>
  <c r="C31" i="12"/>
  <c r="C30" i="12"/>
  <c r="F33" i="12"/>
  <c r="C35" i="12"/>
  <c r="C33" i="12"/>
  <c r="C27" i="12"/>
  <c r="D26" i="12"/>
  <c r="C32" i="12"/>
  <c r="D30" i="12"/>
  <c r="C34" i="12"/>
  <c r="D33" i="12"/>
  <c r="F36" i="12"/>
  <c r="C36" i="12"/>
  <c r="N3" i="72"/>
  <c r="O3" i="72"/>
  <c r="P3" i="72"/>
  <c r="D4" i="72"/>
  <c r="E4" i="72"/>
  <c r="G33" i="72"/>
  <c r="E20" i="75"/>
  <c r="O17" i="75"/>
  <c r="G20" i="75"/>
  <c r="C20" i="75"/>
  <c r="C38" i="75"/>
  <c r="L6" i="72"/>
  <c r="D16" i="74"/>
  <c r="C16" i="74"/>
  <c r="C18" i="74"/>
  <c r="D19" i="74"/>
  <c r="C19" i="74"/>
  <c r="D21" i="74"/>
  <c r="C21" i="74"/>
  <c r="D22" i="74"/>
  <c r="C22" i="74"/>
  <c r="C20" i="74"/>
  <c r="C23" i="74"/>
  <c r="F26" i="74"/>
  <c r="C28" i="74"/>
  <c r="C26" i="74"/>
  <c r="C31" i="74"/>
  <c r="C30" i="74"/>
  <c r="F33" i="74"/>
  <c r="C35" i="74"/>
  <c r="C33" i="74"/>
  <c r="C27" i="74"/>
  <c r="D26" i="74"/>
  <c r="C32" i="74"/>
  <c r="D30" i="74"/>
  <c r="C34" i="74"/>
  <c r="D33" i="74"/>
  <c r="F36" i="74"/>
  <c r="C36" i="74"/>
  <c r="N6" i="72"/>
  <c r="P6" i="72"/>
  <c r="D6" i="72"/>
  <c r="C39" i="75"/>
  <c r="L7" i="72"/>
  <c r="N7" i="72"/>
  <c r="P7" i="72"/>
  <c r="D7" i="72"/>
  <c r="D8" i="72"/>
  <c r="E8" i="72"/>
  <c r="G35" i="72"/>
  <c r="G37" i="72"/>
  <c r="E20" i="70"/>
  <c r="O17" i="70"/>
  <c r="G20" i="70"/>
  <c r="C20" i="70"/>
  <c r="C39" i="70"/>
  <c r="L5" i="72"/>
  <c r="D16" i="71"/>
  <c r="C16" i="71"/>
  <c r="C18" i="71"/>
  <c r="D19" i="71"/>
  <c r="C19" i="71"/>
  <c r="D21" i="71"/>
  <c r="C21" i="71"/>
  <c r="D22" i="71"/>
  <c r="C22" i="71"/>
  <c r="C20" i="71"/>
  <c r="C23" i="71"/>
  <c r="F26" i="71"/>
  <c r="C28" i="71"/>
  <c r="C26" i="71"/>
  <c r="C31" i="71"/>
  <c r="C30" i="71"/>
  <c r="F33" i="71"/>
  <c r="C35" i="71"/>
  <c r="C33" i="71"/>
  <c r="C27" i="71"/>
  <c r="D26" i="71"/>
  <c r="C32" i="71"/>
  <c r="D30" i="71"/>
  <c r="C34" i="71"/>
  <c r="D33" i="71"/>
  <c r="F36" i="71"/>
  <c r="C36" i="71"/>
  <c r="N5" i="72"/>
  <c r="P5" i="72"/>
  <c r="Q5" i="72"/>
  <c r="D22" i="72"/>
  <c r="E22" i="72"/>
  <c r="G40" i="72"/>
  <c r="G42" i="72"/>
  <c r="F40" i="72"/>
  <c r="F35" i="72"/>
  <c r="F33" i="72"/>
  <c r="E24" i="72"/>
  <c r="Q6" i="72"/>
  <c r="D19" i="72"/>
  <c r="Q7" i="72"/>
  <c r="D20" i="72"/>
  <c r="D21" i="72"/>
  <c r="Q3" i="72"/>
  <c r="D17" i="72"/>
  <c r="D9" i="72"/>
  <c r="E9" i="72"/>
  <c r="O6" i="72"/>
  <c r="O7" i="72"/>
  <c r="P8" i="72"/>
  <c r="T8" i="72"/>
  <c r="O5" i="72"/>
  <c r="S5" i="72"/>
  <c r="T5" i="72"/>
  <c r="S3" i="72"/>
  <c r="T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c r="D115" i="21"/>
  <c r="F38" i="21"/>
  <c r="AA38" i="21"/>
  <c r="D108" i="21"/>
  <c r="E108" i="21"/>
  <c r="F35" i="21"/>
  <c r="AA35" i="21"/>
  <c r="D123" i="21"/>
  <c r="E123" i="21"/>
  <c r="F123" i="21"/>
  <c r="F42" i="21"/>
  <c r="AA42" i="21"/>
  <c r="D110" i="21"/>
  <c r="F36" i="21"/>
  <c r="AA36" i="21"/>
  <c r="D125" i="21"/>
  <c r="F43" i="21"/>
  <c r="AA43" i="21"/>
  <c r="R48" i="21"/>
  <c r="H27" i="21"/>
  <c r="AB27" i="21"/>
  <c r="H38" i="21"/>
  <c r="AB38" i="21"/>
  <c r="H17" i="21"/>
  <c r="AB17" i="21"/>
  <c r="H35" i="21"/>
  <c r="AB35" i="21"/>
  <c r="H42" i="21"/>
  <c r="AB42" i="21"/>
  <c r="H36" i="21"/>
  <c r="AB36" i="21"/>
  <c r="H43" i="21"/>
  <c r="AB43" i="21"/>
  <c r="H37" i="21"/>
  <c r="AB37" i="21"/>
  <c r="T48" i="21"/>
  <c r="J27" i="21"/>
  <c r="AC27" i="21"/>
  <c r="J38" i="21"/>
  <c r="AC38" i="21"/>
  <c r="J17" i="21"/>
  <c r="AC17" i="21"/>
  <c r="J35" i="21"/>
  <c r="AC35" i="21"/>
  <c r="J42" i="21"/>
  <c r="AC42" i="21"/>
  <c r="J36" i="21"/>
  <c r="AC36" i="21"/>
  <c r="J43" i="21"/>
  <c r="AC43" i="21"/>
  <c r="J37" i="21"/>
  <c r="AC37" i="21"/>
  <c r="V48" i="21"/>
  <c r="R49" i="21"/>
  <c r="C48" i="21"/>
  <c r="C10" i="74"/>
  <c r="C6" i="74"/>
  <c r="C24" i="74"/>
  <c r="C29" i="74"/>
  <c r="Q8" i="72"/>
  <c r="D69" i="70"/>
  <c r="D70" i="70"/>
  <c r="D71" i="70"/>
  <c r="D72" i="70"/>
  <c r="D73" i="70"/>
  <c r="D74" i="70"/>
  <c r="D75" i="70"/>
  <c r="D76" i="70"/>
  <c r="D77" i="70"/>
  <c r="E69" i="70"/>
  <c r="B67" i="70"/>
  <c r="C24" i="70"/>
  <c r="C10" i="71"/>
  <c r="C6" i="71"/>
  <c r="C24" i="71"/>
  <c r="C29" i="71"/>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7" i="75"/>
  <c r="C16" i="75"/>
  <c r="C5" i="75"/>
  <c r="G19" i="75"/>
  <c r="J20" i="75"/>
  <c r="F39" i="75"/>
  <c r="G39" i="75"/>
  <c r="H39" i="75"/>
  <c r="I39" i="75"/>
  <c r="E39" i="75"/>
  <c r="F38" i="75"/>
  <c r="G38" i="75"/>
  <c r="H38" i="75"/>
  <c r="I38" i="75"/>
  <c r="E38" i="75"/>
  <c r="F37" i="75"/>
  <c r="C37" i="75"/>
  <c r="G37" i="75"/>
  <c r="H37" i="75"/>
  <c r="I37" i="75"/>
  <c r="E37" i="75"/>
  <c r="D5" i="75"/>
  <c r="F36" i="75"/>
  <c r="C36" i="75"/>
  <c r="G36" i="75"/>
  <c r="H36" i="75"/>
  <c r="I36" i="75"/>
  <c r="E36" i="75"/>
  <c r="F35" i="75"/>
  <c r="C35" i="75"/>
  <c r="G35" i="75"/>
  <c r="H35" i="75"/>
  <c r="I35" i="75"/>
  <c r="E35" i="75"/>
  <c r="F34" i="75"/>
  <c r="C34" i="75"/>
  <c r="G34" i="75"/>
  <c r="H34" i="75"/>
  <c r="I34" i="75"/>
  <c r="E34" i="75"/>
  <c r="F33" i="75"/>
  <c r="C33" i="75"/>
  <c r="G33" i="75"/>
  <c r="H33" i="75"/>
  <c r="I33" i="75"/>
  <c r="E33" i="75"/>
  <c r="C18" i="75"/>
  <c r="C23" i="75"/>
  <c r="C21" i="75"/>
  <c r="C29" i="75"/>
  <c r="C30" i="75"/>
  <c r="E30" i="75"/>
  <c r="E29" i="75"/>
  <c r="C27" i="75"/>
  <c r="C26" i="75"/>
  <c r="P25" i="75"/>
  <c r="P24" i="75"/>
  <c r="P23" i="75"/>
  <c r="P22" i="75"/>
  <c r="J22" i="75"/>
  <c r="H22" i="75"/>
  <c r="G22" i="75"/>
  <c r="F22" i="75"/>
  <c r="E22" i="75"/>
  <c r="D22" i="75"/>
  <c r="P21" i="75"/>
  <c r="M20" i="75"/>
  <c r="O19" i="75"/>
  <c r="M19" i="75"/>
  <c r="I19" i="75"/>
  <c r="P17" i="75"/>
  <c r="N17" i="75"/>
  <c r="M17" i="75"/>
  <c r="E17" i="75"/>
  <c r="T16" i="75"/>
  <c r="V16" i="75"/>
  <c r="T15" i="75"/>
  <c r="V15" i="75"/>
  <c r="T14" i="75"/>
  <c r="V14"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T13" i="75"/>
  <c r="V13" i="75"/>
  <c r="T12" i="75"/>
  <c r="V12" i="75"/>
  <c r="N12" i="75"/>
  <c r="M12" i="75"/>
  <c r="T11" i="75"/>
  <c r="V11" i="75"/>
  <c r="N11" i="75"/>
  <c r="M11" i="75"/>
  <c r="C10" i="75"/>
  <c r="C11" i="75"/>
  <c r="E11" i="75"/>
  <c r="AJ10" i="75"/>
  <c r="AI10" i="75"/>
  <c r="AH10" i="75"/>
  <c r="AG10" i="75"/>
  <c r="AF10" i="75"/>
  <c r="AE10" i="75"/>
  <c r="AD10" i="75"/>
  <c r="AC10" i="75"/>
  <c r="AB10" i="75"/>
  <c r="AA10" i="75"/>
  <c r="Z10" i="75"/>
  <c r="Y10" i="75"/>
  <c r="T10" i="75"/>
  <c r="V10" i="75"/>
  <c r="N10" i="75"/>
  <c r="M10" i="75"/>
  <c r="E10" i="75"/>
  <c r="T9" i="75"/>
  <c r="V9" i="75"/>
  <c r="N9" i="75"/>
  <c r="M9" i="75"/>
  <c r="E9" i="75"/>
  <c r="C9" i="75"/>
  <c r="T8" i="75"/>
  <c r="V8" i="75"/>
  <c r="N8" i="75"/>
  <c r="M8" i="75"/>
  <c r="E8" i="75"/>
  <c r="Z7" i="75"/>
  <c r="X7" i="75"/>
  <c r="S7" i="75"/>
  <c r="T7" i="75"/>
  <c r="V7" i="75"/>
  <c r="C7" i="75"/>
  <c r="A7" i="75"/>
  <c r="S6" i="75"/>
  <c r="T6" i="75"/>
  <c r="V6" i="75"/>
  <c r="N6" i="75"/>
  <c r="M6" i="75"/>
  <c r="S5" i="75"/>
  <c r="T5" i="75"/>
  <c r="V5" i="75"/>
  <c r="N5" i="75"/>
  <c r="M5" i="75"/>
  <c r="S4" i="75"/>
  <c r="T4" i="75"/>
  <c r="V4" i="75"/>
  <c r="N4" i="75"/>
  <c r="M4" i="75"/>
  <c r="B2" i="75"/>
  <c r="D4" i="75"/>
  <c r="B4" i="75"/>
  <c r="S3" i="75"/>
  <c r="T3" i="75"/>
  <c r="V3" i="75"/>
  <c r="N3" i="75"/>
  <c r="M3" i="75"/>
  <c r="D1" i="75"/>
  <c r="B3" i="75"/>
  <c r="S2" i="75"/>
  <c r="T2" i="75"/>
  <c r="V2" i="75"/>
  <c r="N2" i="75"/>
  <c r="M2" i="75"/>
  <c r="N1" i="75"/>
  <c r="M1" i="75"/>
  <c r="C13" i="74"/>
  <c r="F14" i="74"/>
  <c r="C14" i="74"/>
  <c r="F15" i="74"/>
  <c r="C15" i="74"/>
  <c r="K1" i="74"/>
  <c r="E16" i="74"/>
  <c r="F17" i="74"/>
  <c r="C17" i="74"/>
  <c r="E19" i="74"/>
  <c r="E21" i="74"/>
  <c r="E22" i="74"/>
  <c r="F23" i="74"/>
  <c r="F24" i="74"/>
  <c r="F29" i="74"/>
  <c r="F25" i="74"/>
  <c r="C25" i="74"/>
  <c r="G28" i="74"/>
  <c r="G27" i="74"/>
  <c r="G26" i="74"/>
  <c r="K9" i="74"/>
  <c r="J9" i="74"/>
  <c r="I9" i="74"/>
  <c r="H9" i="74"/>
  <c r="G9" i="74"/>
  <c r="F9" i="74"/>
  <c r="E9" i="74"/>
  <c r="D9" i="74"/>
  <c r="C9" i="74"/>
  <c r="B2" i="74"/>
  <c r="B5" i="74"/>
  <c r="B4" i="74"/>
  <c r="B3" i="74"/>
  <c r="G17" i="70"/>
  <c r="H17" i="70"/>
  <c r="I17" i="70"/>
  <c r="J17" i="70"/>
  <c r="C16" i="70"/>
  <c r="C5" i="70"/>
  <c r="C38" i="70"/>
  <c r="L4" i="72"/>
  <c r="N4" i="72"/>
  <c r="O4" i="72"/>
  <c r="P4" i="72"/>
  <c r="Q4" i="72"/>
  <c r="G17" i="46"/>
  <c r="H17" i="46"/>
  <c r="I17" i="46"/>
  <c r="J17" i="46"/>
  <c r="C16" i="46"/>
  <c r="C5" i="46"/>
  <c r="D14" i="66"/>
  <c r="M9" i="1"/>
  <c r="C13" i="71"/>
  <c r="C14" i="71"/>
  <c r="C15" i="71"/>
  <c r="C17" i="71"/>
  <c r="R3" i="72"/>
  <c r="C13" i="12"/>
  <c r="F22" i="6"/>
  <c r="F19" i="6"/>
  <c r="E19" i="6"/>
  <c r="K6" i="1"/>
  <c r="M6" i="1"/>
  <c r="O6" i="1"/>
  <c r="P6" i="1"/>
  <c r="K7" i="1"/>
  <c r="M7" i="1"/>
  <c r="O7" i="1"/>
  <c r="P7" i="1"/>
  <c r="K8" i="1"/>
  <c r="M8" i="1"/>
  <c r="O8" i="1"/>
  <c r="P8" i="1"/>
  <c r="A9" i="1"/>
  <c r="E22" i="6"/>
  <c r="K9" i="1"/>
  <c r="O9" i="1"/>
  <c r="P9" i="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P16"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I3" i="65"/>
  <c r="B22" i="1"/>
  <c r="C2" i="65"/>
  <c r="I1" i="65"/>
  <c r="F24" i="71"/>
  <c r="B43" i="1"/>
  <c r="B41" i="1"/>
  <c r="F29" i="71"/>
  <c r="Q16" i="1"/>
  <c r="F25" i="71"/>
  <c r="C25" i="71"/>
  <c r="K1" i="12"/>
  <c r="F14" i="12"/>
  <c r="C14" i="12"/>
  <c r="F15" i="12"/>
  <c r="E16" i="12"/>
  <c r="F17" i="12"/>
  <c r="C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B2" i="71"/>
  <c r="H13" i="3"/>
  <c r="G13" i="3"/>
  <c r="H16" i="3"/>
  <c r="G16" i="3"/>
  <c r="G5" i="3"/>
  <c r="B3" i="3"/>
  <c r="AY6" i="3"/>
  <c r="D3" i="6"/>
  <c r="D22" i="6"/>
  <c r="H22" i="6"/>
  <c r="R22" i="6"/>
  <c r="R9" i="1"/>
  <c r="B5" i="71"/>
  <c r="B4" i="71"/>
  <c r="B3" i="7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N17" i="70"/>
  <c r="F39" i="70"/>
  <c r="G39" i="70"/>
  <c r="H39" i="70"/>
  <c r="I39" i="70"/>
  <c r="E39" i="70"/>
  <c r="F38" i="70"/>
  <c r="G38" i="70"/>
  <c r="H38" i="70"/>
  <c r="I38" i="70"/>
  <c r="E38" i="70"/>
  <c r="F37" i="70"/>
  <c r="C37" i="70"/>
  <c r="G37" i="70"/>
  <c r="H37" i="70"/>
  <c r="I37" i="70"/>
  <c r="E37" i="70"/>
  <c r="D5" i="70"/>
  <c r="F36" i="70"/>
  <c r="C36" i="70"/>
  <c r="G36" i="70"/>
  <c r="H36" i="70"/>
  <c r="I36" i="70"/>
  <c r="E36" i="70"/>
  <c r="F35" i="70"/>
  <c r="C35" i="70"/>
  <c r="G35" i="70"/>
  <c r="H35" i="70"/>
  <c r="I35" i="70"/>
  <c r="E35" i="70"/>
  <c r="F34" i="70"/>
  <c r="C34" i="70"/>
  <c r="G34" i="70"/>
  <c r="H34" i="70"/>
  <c r="I34" i="70"/>
  <c r="E34" i="70"/>
  <c r="F33" i="70"/>
  <c r="C33" i="70"/>
  <c r="G33" i="70"/>
  <c r="H33" i="70"/>
  <c r="I33" i="70"/>
  <c r="E33" i="70"/>
  <c r="C18" i="70"/>
  <c r="C23" i="70"/>
  <c r="C21" i="70"/>
  <c r="C29" i="70"/>
  <c r="C30" i="70"/>
  <c r="E30" i="70"/>
  <c r="E29" i="70"/>
  <c r="C27" i="70"/>
  <c r="C26" i="70"/>
  <c r="P25" i="70"/>
  <c r="P24" i="70"/>
  <c r="P23" i="70"/>
  <c r="P22" i="70"/>
  <c r="J22" i="70"/>
  <c r="H22" i="70"/>
  <c r="G22" i="70"/>
  <c r="F22" i="70"/>
  <c r="E22" i="70"/>
  <c r="D22" i="70"/>
  <c r="P21" i="70"/>
  <c r="M20" i="70"/>
  <c r="O19" i="70"/>
  <c r="M19" i="70"/>
  <c r="I19" i="70"/>
  <c r="P17" i="70"/>
  <c r="M17" i="70"/>
  <c r="E17" i="70"/>
  <c r="T16" i="70"/>
  <c r="V16" i="70"/>
  <c r="T15" i="70"/>
  <c r="V15" i="70"/>
  <c r="T14" i="70"/>
  <c r="V14"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T13" i="70"/>
  <c r="V13" i="70"/>
  <c r="T12" i="70"/>
  <c r="V12" i="70"/>
  <c r="N12" i="70"/>
  <c r="M12" i="70"/>
  <c r="T11" i="70"/>
  <c r="V11" i="70"/>
  <c r="N11" i="70"/>
  <c r="M11" i="70"/>
  <c r="C10" i="70"/>
  <c r="C11" i="70"/>
  <c r="E11" i="70"/>
  <c r="AJ10" i="70"/>
  <c r="AI10" i="70"/>
  <c r="AH10" i="70"/>
  <c r="AG10" i="70"/>
  <c r="AF10" i="70"/>
  <c r="AE10" i="70"/>
  <c r="AD10" i="70"/>
  <c r="AC10" i="70"/>
  <c r="AB10" i="70"/>
  <c r="AA10" i="70"/>
  <c r="Z10" i="70"/>
  <c r="Y10" i="70"/>
  <c r="T10" i="70"/>
  <c r="V10" i="70"/>
  <c r="N10" i="70"/>
  <c r="M10" i="70"/>
  <c r="E10" i="70"/>
  <c r="T9" i="70"/>
  <c r="V9" i="70"/>
  <c r="N9" i="70"/>
  <c r="M9" i="70"/>
  <c r="E9" i="70"/>
  <c r="C9" i="70"/>
  <c r="T8" i="70"/>
  <c r="V8" i="70"/>
  <c r="N8" i="70"/>
  <c r="M8" i="70"/>
  <c r="E8" i="70"/>
  <c r="Z7" i="70"/>
  <c r="X7" i="70"/>
  <c r="S7" i="70"/>
  <c r="T7" i="70"/>
  <c r="V7" i="70"/>
  <c r="C7" i="70"/>
  <c r="A7" i="70"/>
  <c r="S6" i="70"/>
  <c r="T6" i="70"/>
  <c r="V6" i="70"/>
  <c r="N6" i="70"/>
  <c r="M6" i="70"/>
  <c r="S5" i="70"/>
  <c r="T5" i="70"/>
  <c r="V5" i="70"/>
  <c r="N5" i="70"/>
  <c r="M5" i="70"/>
  <c r="S4" i="70"/>
  <c r="T4" i="70"/>
  <c r="V4" i="70"/>
  <c r="N4" i="70"/>
  <c r="M4" i="70"/>
  <c r="B2" i="70"/>
  <c r="D4" i="70"/>
  <c r="B4" i="70"/>
  <c r="S3" i="70"/>
  <c r="T3" i="70"/>
  <c r="V3" i="70"/>
  <c r="N3" i="70"/>
  <c r="M3" i="70"/>
  <c r="D1" i="70"/>
  <c r="B3" i="70"/>
  <c r="S2" i="70"/>
  <c r="T2" i="70"/>
  <c r="V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c r="F14" i="68"/>
  <c r="C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C17" i="68"/>
  <c r="C18" i="68"/>
  <c r="F19" i="68"/>
  <c r="C19" i="68"/>
  <c r="C1" i="65"/>
  <c r="H1" i="65"/>
  <c r="F21" i="68"/>
  <c r="C22" i="68"/>
  <c r="C21" i="68"/>
  <c r="F24" i="68"/>
  <c r="C25" i="68"/>
  <c r="C24" i="68"/>
  <c r="F20" i="68"/>
  <c r="C23" i="68"/>
  <c r="D21" i="68"/>
  <c r="C26" i="68"/>
  <c r="D24" i="68"/>
  <c r="F27" i="68"/>
  <c r="C27" i="68"/>
  <c r="C20" i="68"/>
  <c r="C28" i="68"/>
  <c r="N16" i="1"/>
  <c r="C29" i="68"/>
  <c r="C30" i="68"/>
  <c r="F31" i="68"/>
  <c r="C31" i="68"/>
  <c r="C32" i="68"/>
  <c r="Y5" i="59"/>
  <c r="AB5" i="59"/>
  <c r="X5" i="59"/>
  <c r="Z5" i="59"/>
  <c r="G19" i="46"/>
  <c r="P17" i="46"/>
  <c r="M17" i="46"/>
  <c r="J20" i="46"/>
  <c r="F32" i="43"/>
  <c r="F32" i="68"/>
  <c r="D32" i="68"/>
  <c r="D32" i="43"/>
  <c r="BB11" i="3"/>
  <c r="BC11" i="3"/>
  <c r="BD11" i="3"/>
  <c r="C6" i="68"/>
  <c r="G23" i="68"/>
  <c r="G22" i="68"/>
  <c r="G21" i="68"/>
  <c r="K9" i="68"/>
  <c r="J9" i="68"/>
  <c r="I9" i="68"/>
  <c r="H9" i="68"/>
  <c r="G9" i="68"/>
  <c r="F9" i="68"/>
  <c r="E9" i="68"/>
  <c r="D9" i="68"/>
  <c r="C9" i="68"/>
  <c r="B2" i="68"/>
  <c r="H14" i="3"/>
  <c r="G14" i="3"/>
  <c r="H15" i="3"/>
  <c r="G15" i="3"/>
  <c r="B5" i="68"/>
  <c r="B4" i="68"/>
  <c r="B3" i="68"/>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C39" i="46"/>
  <c r="G39" i="46"/>
  <c r="F38" i="46"/>
  <c r="C38" i="46"/>
  <c r="G38" i="46"/>
  <c r="F37" i="46"/>
  <c r="C37" i="46"/>
  <c r="G37" i="46"/>
  <c r="D5" i="46"/>
  <c r="F36" i="46"/>
  <c r="C36" i="46"/>
  <c r="G36" i="46"/>
  <c r="F35" i="46"/>
  <c r="C35" i="46"/>
  <c r="G35" i="46"/>
  <c r="F34" i="46"/>
  <c r="C34" i="46"/>
  <c r="G34" i="46"/>
  <c r="G1" i="15"/>
  <c r="F6" i="1"/>
  <c r="F9" i="1"/>
  <c r="L48" i="15"/>
  <c r="J50" i="15"/>
  <c r="J51" i="15"/>
  <c r="M47" i="15"/>
  <c r="J53" i="15"/>
  <c r="G1" i="44"/>
  <c r="L49" i="44"/>
  <c r="M48" i="44"/>
  <c r="J51" i="44"/>
  <c r="J52" i="44"/>
  <c r="J54" i="44"/>
  <c r="C18" i="46"/>
  <c r="AD5" i="3"/>
  <c r="AH5" i="3"/>
  <c r="AL5" i="3"/>
  <c r="AP5" i="3"/>
  <c r="I5" i="3"/>
  <c r="O5" i="3"/>
  <c r="I4" i="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I34" i="46"/>
  <c r="I35" i="46"/>
  <c r="I36" i="46"/>
  <c r="I37" i="46"/>
  <c r="I38" i="46"/>
  <c r="I39"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8" i="67"/>
  <c r="B9" i="67"/>
  <c r="B10" i="67"/>
  <c r="B11" i="67"/>
  <c r="B12" i="67"/>
  <c r="B13" i="67"/>
  <c r="B14" i="67"/>
  <c r="B2" i="67"/>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N12" i="46"/>
  <c r="A7" i="46"/>
  <c r="F41" i="4"/>
  <c r="J52" i="40"/>
  <c r="H61" i="49"/>
  <c r="H39" i="46"/>
  <c r="H38" i="46"/>
  <c r="H37" i="46"/>
  <c r="H36" i="46"/>
  <c r="H35" i="46"/>
  <c r="H34" i="46"/>
  <c r="O17"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AA9" i="21"/>
  <c r="F37" i="21"/>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B8" i="33"/>
  <c r="U8" i="33"/>
  <c r="E106" i="33"/>
  <c r="H34" i="33"/>
  <c r="U34" i="33"/>
  <c r="F34" i="33"/>
  <c r="S34" i="33"/>
  <c r="E121" i="33"/>
  <c r="F41" i="33"/>
  <c r="S41" i="33"/>
  <c r="AC34" i="34"/>
  <c r="W34" i="34"/>
  <c r="AA39" i="34"/>
  <c r="S39" i="34"/>
  <c r="S43" i="34"/>
  <c r="E78" i="34"/>
  <c r="F15"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10" i="15"/>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<sst xmlns="http://schemas.openxmlformats.org/spreadsheetml/2006/main" count="8057" uniqueCount="3168">
  <si>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</si>
  <si>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</si>
  <si>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</si>
  <si>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</si>
  <si>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</si>
  <si>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</si>
  <si>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</si>
  <si>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</si>
  <si>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</si>
  <si>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</si>
  <si>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</si>
  <si>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</si>
  <si>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</si>
  <si>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</si>
  <si>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</si>
  <si>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</si>
  <si>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</si>
  <si>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</si>
  <si>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</si>
  <si>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</si>
  <si>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</si>
  <si>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</si>
  <si>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</si>
  <si>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</si>
  <si>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</si>
  <si>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</si>
  <si>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</si>
  <si>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</si>
  <si>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</si>
  <si>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</si>
  <si>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</si>
  <si>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</si>
  <si>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</si>
  <si>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</si>
  <si>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</si>
  <si>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</si>
  <si>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</si>
  <si>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</si>
  <si>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</si>
  <si>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</si>
  <si>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</si>
  <si>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</si>
  <si>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</si>
  <si>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</si>
  <si>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</si>
  <si>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</si>
  <si>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</si>
  <si>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</si>
  <si>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</si>
  <si>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</si>
  <si>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</si>
  <si>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</si>
  <si>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</si>
  <si>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</si>
  <si>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</si>
  <si>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</si>
  <si>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</si>
  <si>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</si>
  <si>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</si>
  <si>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</si>
  <si>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</si>
  <si>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</si>
  <si>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</si>
  <si>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</si>
  <si>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</si>
  <si>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</si>
  <si>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</si>
  <si>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</si>
  <si>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</si>
  <si>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</si>
  <si>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</si>
  <si>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</si>
  <si>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</si>
  <si>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</si>
  <si>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</si>
  <si>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</si>
  <si>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</si>
  <si>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</si>
  <si>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</si>
  <si>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</si>
  <si>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</si>
  <si>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</si>
  <si>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</si>
  <si>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</si>
  <si>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</si>
  <si>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</si>
  <si>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</si>
  <si>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</si>
  <si>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</si>
  <si>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</si>
  <si>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</si>
  <si>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</si>
  <si>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</si>
  <si>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</si>
  <si>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</si>
  <si>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</si>
  <si>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</si>
  <si>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</si>
  <si>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</si>
  <si>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</si>
  <si>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</si>
  <si>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</si>
  <si>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</si>
  <si>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</si>
  <si>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</si>
  <si>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</si>
  <si>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</si>
  <si>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</si>
  <si>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</si>
  <si>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</si>
  <si>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</si>
  <si>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</si>
  <si>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</si>
  <si>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</si>
  <si>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</si>
  <si>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</si>
  <si>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</si>
  <si>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</si>
  <si>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</si>
  <si>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</si>
  <si>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</si>
  <si>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</si>
  <si>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</si>
  <si>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</si>
  <si>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</si>
  <si>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</si>
  <si>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</si>
  <si>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</si>
  <si>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</si>
  <si>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</si>
  <si>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</si>
  <si>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</si>
  <si>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</si>
  <si>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</si>
  <si>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</si>
  <si>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</si>
  <si>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</si>
  <si>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</si>
  <si>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</si>
  <si>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</si>
  <si>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</si>
  <si>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</si>
  <si>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</si>
  <si>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</si>
  <si>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</si>
  <si>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</si>
  <si>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</si>
  <si>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</si>
  <si>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</si>
  <si>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</si>
  <si>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</si>
  <si>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</si>
  <si>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</si>
  <si>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</si>
  <si>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</si>
  <si>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</si>
  <si>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</si>
  <si>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</si>
  <si>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</si>
  <si>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</si>
  <si>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</si>
  <si>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</si>
  <si>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</si>
  <si>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</si>
  <si>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</si>
  <si>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</si>
  <si>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</si>
  <si>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</si>
  <si>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</si>
  <si>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</si>
  <si>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</si>
  <si>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</si>
  <si>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</si>
  <si>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</si>
  <si>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</si>
  <si>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</si>
  <si>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</si>
  <si>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</si>
  <si>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</si>
  <si>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</si>
  <si>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</si>
  <si>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</si>
  <si>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</si>
  <si>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</si>
  <si>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</si>
  <si>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</si>
  <si>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</si>
  <si>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</si>
  <si>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</si>
  <si>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</si>
  <si>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</si>
  <si>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</si>
  <si>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</si>
  <si>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</si>
  <si>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</si>
  <si>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</si>
  <si>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</si>
  <si>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</si>
  <si>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</si>
  <si>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</si>
  <si>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</si>
  <si>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</si>
  <si>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</si>
  <si>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</si>
  <si>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</si>
  <si>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</si>
  <si>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</si>
  <si>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</si>
  <si>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</si>
  <si>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</si>
  <si>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</si>
  <si>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</si>
  <si>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</si>
  <si>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</si>
  <si>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</si>
  <si>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</si>
  <si>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</si>
  <si>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</si>
  <si>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</si>
  <si>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</si>
  <si>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</si>
  <si>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</si>
  <si>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</si>
  <si>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</si>
  <si>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</si>
  <si>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</si>
  <si>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</si>
  <si>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</si>
  <si>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</si>
  <si>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</si>
  <si>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</si>
  <si>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</si>
  <si>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</si>
  <si>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</si>
  <si>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</si>
  <si>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</si>
  <si>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</si>
  <si>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</si>
  <si>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</si>
  <si>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</si>
  <si>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</si>
  <si>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</si>
  <si>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</si>
  <si>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</si>
  <si>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</si>
  <si>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</si>
  <si>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</si>
  <si>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</si>
  <si>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</si>
  <si>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</si>
  <si>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</si>
  <si>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</si>
  <si>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</si>
  <si>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</si>
  <si>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</si>
  <si>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</si>
  <si>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</si>
  <si>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</si>
  <si>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</si>
  <si>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</si>
  <si>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</si>
  <si>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</si>
  <si>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</si>
  <si>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</si>
  <si>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</si>
  <si>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</si>
  <si>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</si>
  <si>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</si>
  <si>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</si>
  <si>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</si>
  <si>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</si>
  <si>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</si>
  <si>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</si>
  <si>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</si>
  <si>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</si>
  <si>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</si>
  <si>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</si>
  <si>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</si>
  <si>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</si>
  <si>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</si>
  <si>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</si>
  <si>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</si>
  <si>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</si>
  <si>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</si>
  <si>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</si>
  <si>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</si>
  <si>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</si>
  <si>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</si>
  <si>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</si>
  <si>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</si>
  <si>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</si>
  <si>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</si>
  <si>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</si>
  <si>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</si>
  <si>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</si>
  <si>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</si>
  <si>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</si>
  <si>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</si>
  <si>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</si>
  <si>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</si>
  <si>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</si>
  <si>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</si>
  <si>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</si>
  <si>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</si>
  <si>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</si>
  <si>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</si>
  <si>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</si>
  <si>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</si>
  <si>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</si>
  <si>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</si>
  <si>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</si>
  <si>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</si>
  <si>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</si>
  <si>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</si>
  <si>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</si>
  <si>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</si>
  <si>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</si>
  <si>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</si>
  <si>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</si>
  <si>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</si>
  <si>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</si>
  <si>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</si>
  <si>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</si>
  <si>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</si>
  <si>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</si>
  <si>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</si>
  <si>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</si>
  <si>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</si>
  <si>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</si>
  <si>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</si>
  <si>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</si>
  <si>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</si>
  <si>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</si>
  <si>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</si>
  <si>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</si>
  <si>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</si>
  <si>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</si>
  <si>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</si>
  <si>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</si>
  <si>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</si>
  <si>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</si>
  <si>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</si>
  <si>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</si>
  <si>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</si>
  <si>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</si>
  <si>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</si>
  <si>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</si>
  <si>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</si>
  <si>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</si>
  <si>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</si>
  <si>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</si>
  <si>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</si>
  <si>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</si>
  <si>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</si>
  <si>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</si>
  <si>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</si>
  <si>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</si>
  <si>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</si>
  <si>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</si>
  <si>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</si>
  <si>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</si>
  <si>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</si>
  <si>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</si>
  <si>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</si>
  <si>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</si>
  <si>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</si>
  <si>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</si>
  <si>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</si>
  <si>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</si>
  <si>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</si>
  <si>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</si>
  <si>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</si>
  <si>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</si>
  <si>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</si>
  <si>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</si>
  <si>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</si>
  <si>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</si>
  <si>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</si>
  <si>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</si>
  <si>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</si>
  <si>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</si>
  <si>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</si>
  <si>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</si>
  <si>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</si>
  <si>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</si>
  <si>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</si>
  <si>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</si>
  <si>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</si>
  <si>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</si>
  <si>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</si>
  <si>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</si>
  <si>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</si>
  <si>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</si>
  <si>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</si>
  <si>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</si>
  <si>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</si>
  <si>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</si>
  <si>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</si>
  <si>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</si>
  <si>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</si>
  <si>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</si>
  <si>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</si>
  <si>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</si>
  <si>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</si>
  <si>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</si>
  <si>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</si>
  <si>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</si>
  <si>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</si>
  <si>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</si>
  <si>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</si>
  <si>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</si>
  <si>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</si>
  <si>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</si>
  <si>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</si>
  <si>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</si>
  <si>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</si>
  <si>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</si>
  <si>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</si>
  <si>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</si>
  <si>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</si>
  <si>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</si>
  <si>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</si>
  <si>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</si>
  <si>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</si>
  <si>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</si>
  <si>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</si>
  <si>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</si>
  <si>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</si>
  <si>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</si>
  <si>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</si>
  <si>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</si>
  <si>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</si>
  <si>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</si>
  <si>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</si>
  <si>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</si>
  <si>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</si>
  <si>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</si>
  <si>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</si>
  <si>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</si>
  <si>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</si>
  <si>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</si>
  <si>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</si>
  <si>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</si>
  <si>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</si>
  <si>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</si>
  <si>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</si>
  <si>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</si>
  <si>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</si>
  <si>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</si>
  <si>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</si>
  <si>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</si>
  <si>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</si>
  <si>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</si>
  <si>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</si>
  <si>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</si>
  <si>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</si>
  <si>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</si>
  <si>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</si>
  <si>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</si>
  <si>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</si>
  <si>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</si>
  <si>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</si>
  <si>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</si>
  <si>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</si>
  <si>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</si>
  <si>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</si>
  <si>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</si>
  <si>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</si>
  <si>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</si>
  <si>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</si>
  <si>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</si>
  <si>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</si>
  <si>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</si>
  <si>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</si>
  <si>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</si>
  <si>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</si>
  <si>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</si>
  <si>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</si>
  <si>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</si>
  <si>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</si>
  <si>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</si>
  <si>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</si>
  <si>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</si>
  <si>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</si>
  <si>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</si>
  <si>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</si>
  <si>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</si>
  <si>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</si>
  <si>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</si>
  <si>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</si>
  <si>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</si>
  <si>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</si>
  <si>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</si>
  <si>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</si>
  <si>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</si>
  <si>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</si>
  <si>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</si>
  <si>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</si>
  <si>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</si>
  <si>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</si>
  <si>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</si>
  <si>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</si>
  <si>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</si>
  <si>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</si>
  <si>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</si>
  <si>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</si>
  <si>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</si>
  <si>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</si>
  <si>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</si>
  <si>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</si>
  <si>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</si>
  <si>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</si>
  <si>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</si>
  <si>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</si>
  <si>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</si>
  <si>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</si>
  <si>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</si>
  <si>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</si>
  <si>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</si>
  <si>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</si>
  <si>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</si>
  <si>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</si>
  <si>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</si>
  <si>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</si>
  <si>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</si>
  <si>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</si>
  <si>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</si>
  <si>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</si>
  <si>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</si>
  <si>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</si>
  <si>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</si>
  <si>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</si>
  <si>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</si>
  <si>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</si>
  <si>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</si>
  <si>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</si>
  <si>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</si>
  <si>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</si>
  <si>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</si>
  <si>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</si>
  <si>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</si>
  <si>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</si>
  <si>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</si>
  <si>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</si>
  <si>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</si>
  <si>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</si>
  <si>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</si>
  <si>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</si>
  <si>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</si>
  <si>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</si>
  <si>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</si>
  <si>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</si>
  <si>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</si>
  <si>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</si>
  <si>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</si>
  <si>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</si>
  <si>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</si>
  <si>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</si>
  <si>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</si>
  <si>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</si>
  <si>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</si>
  <si>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</si>
  <si>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</si>
  <si>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</si>
  <si>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</si>
  <si>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</si>
  <si>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</si>
  <si>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</si>
  <si>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</si>
  <si>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</si>
  <si>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</si>
  <si>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</si>
  <si>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</si>
  <si>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</si>
  <si>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</si>
  <si>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</si>
  <si>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</si>
  <si>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</si>
  <si>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</si>
  <si>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</si>
  <si>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</si>
  <si>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</si>
  <si>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</si>
  <si>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</si>
  <si>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</si>
  <si>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</si>
  <si>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</si>
  <si>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</si>
  <si>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</si>
  <si>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</si>
  <si>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</si>
  <si>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</si>
  <si>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</si>
  <si>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</si>
  <si>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</si>
  <si>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</si>
  <si>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</si>
  <si>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</si>
  <si>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</si>
  <si>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</si>
  <si>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</si>
  <si>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</si>
  <si>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</si>
  <si>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</si>
  <si>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</si>
  <si>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</si>
  <si>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</si>
  <si>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</si>
  <si>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</si>
  <si>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</si>
  <si>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</si>
  <si>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</si>
  <si>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</si>
  <si>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</si>
  <si>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</si>
  <si>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</si>
  <si>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</si>
  <si>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</si>
  <si>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</si>
  <si>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</si>
  <si>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</si>
  <si>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</si>
  <si>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</si>
  <si>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</si>
  <si>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</si>
  <si>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</si>
  <si>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</si>
  <si>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</si>
  <si>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</si>
  <si>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</si>
  <si>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</si>
  <si>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</si>
  <si>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</si>
  <si>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</si>
  <si>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</si>
  <si>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</si>
  <si>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</si>
  <si>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</si>
  <si>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</si>
  <si>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</si>
  <si>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</si>
  <si>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</si>
  <si>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</si>
  <si>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</si>
  <si>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</si>
  <si>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</si>
  <si>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</si>
  <si>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</si>
  <si>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</si>
  <si>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</si>
  <si>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</si>
  <si>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</si>
  <si>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</si>
  <si>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</si>
  <si>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</si>
  <si>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</si>
  <si>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</si>
  <si>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</si>
  <si>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</si>
  <si>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</si>
  <si>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</si>
  <si>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</si>
  <si>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</si>
  <si>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</si>
  <si>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</si>
  <si>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</si>
  <si>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</si>
  <si>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</si>
  <si>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</si>
  <si>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</si>
  <si>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</si>
  <si>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</si>
  <si>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</si>
  <si>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</si>
  <si>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</si>
  <si>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</si>
  <si>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</si>
  <si>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</si>
  <si>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</si>
  <si>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</si>
  <si>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</si>
  <si>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</si>
  <si>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</si>
  <si>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</si>
  <si>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</si>
  <si>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</si>
  <si>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</si>
  <si>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</si>
  <si>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</si>
  <si>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</si>
  <si>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</si>
  <si>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</si>
  <si>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</si>
  <si>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</si>
  <si>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</si>
  <si>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</si>
  <si>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</si>
  <si>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</si>
  <si>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</si>
  <si>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</si>
  <si>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</si>
  <si>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</si>
  <si>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</si>
  <si>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</si>
  <si>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</si>
  <si>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</si>
  <si>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</si>
  <si>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</si>
  <si>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</si>
  <si>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</si>
  <si>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</si>
  <si>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</si>
  <si>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</si>
  <si>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</si>
  <si>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</si>
  <si>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</si>
  <si>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</si>
  <si>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</si>
  <si>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</si>
  <si>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</si>
  <si>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</si>
  <si>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</si>
  <si>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</si>
  <si>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</si>
  <si>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</si>
  <si>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</si>
  <si>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</si>
  <si>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</si>
  <si>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</si>
  <si>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</si>
  <si>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</si>
  <si>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</si>
  <si>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</si>
  <si>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</si>
  <si>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</si>
  <si>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</si>
  <si>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</si>
  <si>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</si>
  <si>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</si>
  <si>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</si>
  <si>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</si>
  <si>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</si>
  <si>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</si>
  <si>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</si>
  <si>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</si>
  <si>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</si>
  <si>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</si>
  <si>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</si>
  <si>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</si>
  <si>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</si>
  <si>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</si>
  <si>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</si>
  <si>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</si>
  <si>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</si>
  <si>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</si>
  <si>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</si>
  <si>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</si>
  <si>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</si>
  <si>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</si>
  <si>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</si>
  <si>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</si>
  <si>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</si>
  <si>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</si>
  <si>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</si>
  <si>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</si>
  <si>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</si>
  <si>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</si>
  <si>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</si>
  <si>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</si>
  <si>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</si>
  <si>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</si>
  <si>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</si>
  <si>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</si>
  <si>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</si>
  <si>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</si>
  <si>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</si>
  <si>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</si>
  <si>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</si>
  <si>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</si>
  <si>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</si>
  <si>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</si>
  <si>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</si>
  <si>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</si>
  <si>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</si>
  <si>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</si>
  <si>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</si>
  <si>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</si>
  <si>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</si>
  <si>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</si>
  <si>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</si>
  <si>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</si>
  <si>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</si>
  <si>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</si>
  <si>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</si>
  <si>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</si>
  <si>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</si>
  <si>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</si>
  <si>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</si>
  <si>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</si>
  <si>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</si>
  <si>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</si>
  <si>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</si>
  <si>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</si>
  <si>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</si>
  <si>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</si>
  <si>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</si>
  <si>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</si>
  <si>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</si>
  <si>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</si>
  <si>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</si>
  <si>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</si>
  <si>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</si>
  <si>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</si>
  <si>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</si>
  <si>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</si>
  <si>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</si>
  <si>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</si>
  <si>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</si>
  <si>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</si>
  <si>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</si>
  <si>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</si>
  <si>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</si>
  <si>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</si>
  <si>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</si>
  <si>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</si>
  <si>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</si>
  <si>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</si>
  <si>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</si>
  <si>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</si>
  <si>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</si>
  <si>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</si>
  <si>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</si>
  <si>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</si>
  <si>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</si>
  <si>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</si>
  <si>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</si>
  <si>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</si>
  <si>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</si>
  <si>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</si>
  <si>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</si>
  <si>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</si>
  <si>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</si>
  <si>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</si>
  <si>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</si>
  <si>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</si>
  <si>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</si>
  <si>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</si>
  <si>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</si>
  <si>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</si>
  <si>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</si>
  <si>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</si>
  <si>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</si>
  <si>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</si>
  <si>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</si>
  <si>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</si>
  <si>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</si>
  <si>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</si>
  <si>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</si>
  <si>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</si>
  <si>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</si>
  <si>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</si>
  <si>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</si>
  <si>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</si>
  <si>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</si>
  <si>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</si>
  <si>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</si>
  <si>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</si>
  <si>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</si>
  <si>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</si>
  <si>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</si>
  <si>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</si>
  <si>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</si>
  <si>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</si>
  <si>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</si>
  <si>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</si>
  <si>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</si>
  <si>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</si>
  <si>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</si>
  <si>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</si>
  <si>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</si>
  <si>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</si>
  <si>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</si>
  <si>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</si>
  <si>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</si>
  <si>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</si>
  <si>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</si>
  <si>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</si>
  <si>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</si>
  <si>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</si>
  <si>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</si>
  <si>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</si>
  <si>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</si>
  <si>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</si>
  <si>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</si>
  <si>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</si>
  <si>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</si>
  <si>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</si>
  <si>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</si>
  <si>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</si>
  <si>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</si>
  <si>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</si>
  <si>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</si>
  <si>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</si>
  <si>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</si>
  <si>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</si>
  <si>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</si>
  <si>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</si>
  <si>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</si>
  <si>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</si>
  <si>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</si>
  <si>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</si>
  <si>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</si>
  <si>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</si>
  <si>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</si>
  <si>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</si>
  <si>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</si>
  <si>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</si>
  <si>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</si>
  <si>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</si>
  <si>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</si>
  <si>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</si>
  <si>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</si>
  <si>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</si>
  <si>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</si>
  <si>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</si>
  <si>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</si>
  <si>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</si>
  <si>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</si>
  <si>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</si>
  <si>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</si>
  <si>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</si>
  <si>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</si>
  <si>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</si>
  <si>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</si>
  <si>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</si>
  <si>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</si>
  <si>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</si>
  <si>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</si>
  <si>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</si>
  <si>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</si>
  <si>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</si>
  <si>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</si>
  <si>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</si>
  <si>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</si>
  <si>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</si>
  <si>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</si>
  <si>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</si>
  <si>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</si>
  <si>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</si>
  <si>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</si>
  <si>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</si>
  <si>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</si>
  <si>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</si>
  <si>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</si>
  <si>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</si>
  <si>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</si>
  <si>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</si>
  <si>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</si>
  <si>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</si>
  <si>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</si>
  <si>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</si>
  <si>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</si>
  <si>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</si>
  <si>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</si>
  <si>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</si>
  <si>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</si>
  <si>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</si>
  <si>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</si>
  <si>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</si>
  <si>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</si>
  <si>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</si>
  <si>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</si>
  <si>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</si>
  <si>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</si>
  <si>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</si>
  <si>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</si>
  <si>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</si>
  <si>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</si>
  <si>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</si>
  <si>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</si>
  <si>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</si>
  <si>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</si>
  <si>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</si>
  <si>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</si>
  <si>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</si>
  <si>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</si>
  <si>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</si>
  <si>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</si>
  <si>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</si>
  <si>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</si>
  <si>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</si>
  <si>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</si>
  <si>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</si>
  <si>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</si>
  <si>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</si>
  <si>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</si>
  <si>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</si>
  <si>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</si>
  <si>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</si>
  <si>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</si>
  <si>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</si>
  <si>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</si>
  <si>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</si>
  <si>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</si>
  <si>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</si>
  <si>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</si>
  <si>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</si>
  <si>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</si>
  <si>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</si>
  <si>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</si>
  <si>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</si>
  <si>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</si>
  <si>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</si>
  <si>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</si>
  <si>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</si>
  <si>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</si>
  <si>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</si>
  <si>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</si>
  <si>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</si>
  <si>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</si>
  <si>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</si>
  <si>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</si>
  <si>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</si>
  <si>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</si>
  <si>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</si>
  <si>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</si>
  <si>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</si>
  <si>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</si>
  <si>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</si>
  <si>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</si>
  <si>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</si>
  <si>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</si>
  <si>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</si>
  <si>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</si>
  <si>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</si>
  <si>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</si>
  <si>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</si>
  <si>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</si>
  <si>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</si>
  <si>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</si>
  <si>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</si>
  <si>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</si>
  <si>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</si>
  <si>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</si>
  <si>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</si>
  <si>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</si>
  <si>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</si>
  <si>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</si>
  <si>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</si>
  <si>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</si>
  <si>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</si>
  <si>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</si>
  <si>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</si>
  <si>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</si>
  <si>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</si>
  <si>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</si>
  <si>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</si>
  <si>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</si>
  <si>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</si>
  <si>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</si>
  <si>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</si>
  <si>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</si>
  <si>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</si>
  <si>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</si>
  <si>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</si>
  <si>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</si>
  <si>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</si>
  <si>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</si>
  <si>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</si>
  <si>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</si>
  <si>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</si>
  <si>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</si>
  <si>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</si>
  <si>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</si>
  <si>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</si>
  <si>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</si>
  <si>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</si>
  <si>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</si>
  <si>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</si>
  <si>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</si>
  <si>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</si>
  <si>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</si>
  <si>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</si>
  <si>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</si>
  <si>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</si>
  <si>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</si>
  <si>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</si>
  <si>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</si>
  <si>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</si>
  <si>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</si>
  <si>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</si>
  <si>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</si>
  <si>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</si>
  <si>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</si>
  <si>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</si>
  <si>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</si>
  <si>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</si>
  <si>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</si>
  <si>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</si>
  <si>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</si>
  <si>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</si>
  <si>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</si>
  <si>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</si>
  <si>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</si>
  <si>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</si>
  <si>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</si>
  <si>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</si>
  <si>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</si>
  <si>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</si>
  <si>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</si>
  <si>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</si>
  <si>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</si>
  <si>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</si>
  <si>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</si>
  <si>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</si>
  <si>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</si>
  <si>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</si>
  <si>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</si>
  <si>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</si>
  <si>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</si>
  <si>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</si>
  <si>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</si>
  <si>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</si>
  <si>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</si>
  <si>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</si>
  <si>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</si>
  <si>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</si>
  <si>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</si>
  <si>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</si>
  <si>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</si>
  <si>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</si>
  <si>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</si>
  <si>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</si>
  <si>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</si>
  <si>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</si>
  <si>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</si>
  <si>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</si>
  <si>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</si>
  <si>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</si>
  <si>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</si>
  <si>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</si>
  <si>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</si>
  <si>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</si>
  <si>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</si>
  <si>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</si>
  <si>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</si>
  <si>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</si>
  <si>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</si>
  <si>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</si>
  <si>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</si>
  <si>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</si>
  <si>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</si>
  <si>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</si>
  <si>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</si>
  <si>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</si>
  <si>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</si>
  <si>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</si>
  <si>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</si>
  <si>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</si>
  <si>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</si>
  <si>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</si>
  <si>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</si>
  <si>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</si>
  <si>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</si>
  <si>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</si>
  <si>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</si>
  <si>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</si>
  <si>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</si>
  <si>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</si>
  <si>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</si>
  <si>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</si>
  <si>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</si>
  <si>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</si>
  <si>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</si>
  <si>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</si>
  <si>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</si>
  <si>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</si>
  <si>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</si>
  <si>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</si>
  <si>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</si>
  <si>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</si>
  <si>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</si>
  <si>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</si>
  <si>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</si>
  <si>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</si>
  <si>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</si>
  <si>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</si>
  <si>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</si>
  <si>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</si>
  <si>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</si>
  <si>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</si>
  <si>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</si>
  <si>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</si>
  <si>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</si>
  <si>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</si>
  <si>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</si>
  <si>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</si>
  <si>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</si>
  <si>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</si>
  <si>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</si>
  <si>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</si>
  <si>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</si>
  <si>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</si>
  <si>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</si>
  <si>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</si>
  <si>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</si>
  <si>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</si>
  <si>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</si>
  <si>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</si>
  <si>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</si>
  <si>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</si>
  <si>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</si>
  <si>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</si>
  <si>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</si>
  <si>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</si>
  <si>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</si>
  <si>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</si>
  <si>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</si>
  <si>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</si>
  <si>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</si>
  <si>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</si>
  <si>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</si>
  <si>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</si>
  <si>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</si>
  <si>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</si>
  <si>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</si>
  <si>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</si>
  <si>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</si>
  <si>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</si>
  <si>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</si>
  <si>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</si>
  <si>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</si>
  <si>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</si>
  <si>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</si>
  <si>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</si>
  <si>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</si>
  <si>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</si>
  <si>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</si>
  <si>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</si>
  <si>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</si>
  <si>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</si>
  <si>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</si>
  <si>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</si>
  <si>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</si>
  <si>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</si>
  <si>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</si>
  <si>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</si>
  <si>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</si>
  <si>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</si>
  <si>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</si>
  <si>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</si>
  <si>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</si>
  <si>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</si>
  <si>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</si>
  <si>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</si>
  <si>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</si>
  <si>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</si>
  <si>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</si>
  <si>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</si>
  <si>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</si>
  <si>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</si>
  <si>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</si>
  <si>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</si>
  <si>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</si>
  <si>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</si>
  <si>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</si>
  <si>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</si>
  <si>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</si>
  <si>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</si>
  <si>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</si>
  <si>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</si>
  <si>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</si>
  <si>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</si>
  <si>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</si>
  <si>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</si>
  <si>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</si>
  <si>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</si>
  <si>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</si>
  <si>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</si>
  <si>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</si>
  <si>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</si>
  <si>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</si>
  <si>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</si>
  <si>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</si>
  <si>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</si>
  <si>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</si>
  <si>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</si>
  <si>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</si>
  <si>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</si>
  <si>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</si>
  <si>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</si>
  <si>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</si>
  <si>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</si>
  <si>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</si>
  <si>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</si>
  <si>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</si>
  <si>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</si>
  <si>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</si>
  <si>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</si>
  <si>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</si>
  <si>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</si>
  <si>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</si>
  <si>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</si>
  <si>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</si>
  <si>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</si>
  <si>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</si>
  <si>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</si>
  <si>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</si>
  <si>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</si>
  <si>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</si>
  <si>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</si>
  <si>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</si>
  <si>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</si>
  <si>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</si>
  <si>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</si>
  <si>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</si>
  <si>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</si>
  <si>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</si>
  <si>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</si>
  <si>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</si>
  <si>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</si>
  <si>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</si>
  <si>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</si>
  <si>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</si>
  <si>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</si>
  <si>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</si>
  <si>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</si>
  <si>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</si>
  <si>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</si>
  <si>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</si>
  <si>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</si>
  <si>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</si>
  <si>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</si>
  <si>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</si>
  <si>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</si>
  <si>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</si>
  <si>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</si>
  <si>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</si>
  <si>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</si>
  <si>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</si>
  <si>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</si>
  <si>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</si>
  <si>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</si>
  <si>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</si>
  <si>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</si>
  <si>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</si>
  <si>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</si>
  <si>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</si>
  <si>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</si>
  <si>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</si>
  <si>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</si>
  <si>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</si>
  <si>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</si>
  <si>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</si>
  <si>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</si>
  <si>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</si>
  <si>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</si>
  <si>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</si>
  <si>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</si>
  <si>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</si>
  <si>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</si>
  <si>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</si>
  <si>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</si>
  <si>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</si>
  <si>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</si>
  <si>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</si>
  <si>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</si>
  <si>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</si>
  <si>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</si>
  <si>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</si>
  <si>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</si>
  <si>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</si>
  <si>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</si>
  <si>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</si>
  <si>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</si>
  <si>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</si>
  <si>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</si>
  <si>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</si>
  <si>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</si>
  <si>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</si>
  <si>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</si>
  <si>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</si>
  <si>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</si>
  <si>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</si>
  <si>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</si>
  <si>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</si>
  <si>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</si>
  <si>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</si>
  <si>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</si>
  <si>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</si>
  <si>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</si>
  <si>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</si>
  <si>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</si>
  <si>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</si>
  <si>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</si>
  <si>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</si>
  <si>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</si>
  <si>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</si>
  <si>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</si>
  <si>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</si>
  <si>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</si>
  <si>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</si>
  <si>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</si>
  <si>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</si>
  <si>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</si>
  <si>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</si>
  <si>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</si>
  <si>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</si>
  <si>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</si>
  <si>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</si>
  <si>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</si>
  <si>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</si>
  <si>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</si>
  <si>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</si>
  <si>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</si>
  <si>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</si>
  <si>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</si>
  <si>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</si>
  <si>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</si>
  <si>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</si>
  <si>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</si>
  <si>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</si>
  <si>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</si>
  <si>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</si>
  <si>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</si>
  <si>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</si>
  <si>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</si>
  <si>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</si>
  <si>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</si>
  <si>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</si>
  <si>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</si>
  <si>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</si>
  <si>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</si>
  <si>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</si>
  <si>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</si>
  <si>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</si>
  <si>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</si>
  <si>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</si>
  <si>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</si>
  <si>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</si>
  <si>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</si>
  <si>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</si>
  <si>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</si>
  <si>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</si>
  <si>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</si>
  <si>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</si>
  <si>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</si>
  <si>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</si>
  <si>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</si>
  <si>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</si>
  <si>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</si>
  <si>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</si>
  <si>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</si>
  <si>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</si>
  <si>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</si>
  <si>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</si>
  <si>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</si>
  <si>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</si>
  <si>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</si>
  <si>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</si>
  <si>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</si>
  <si>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</si>
  <si>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</si>
  <si>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</si>
  <si>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</si>
  <si>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</si>
  <si>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</si>
  <si>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</si>
  <si>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</si>
  <si>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</si>
  <si>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</si>
  <si>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</si>
  <si>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</si>
  <si>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</si>
  <si>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</si>
  <si>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</si>
  <si>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</si>
  <si>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</si>
  <si>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</si>
  <si>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</si>
  <si>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</si>
  <si>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</si>
  <si>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</si>
  <si>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</si>
  <si>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</si>
  <si>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</si>
  <si>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</si>
  <si>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</si>
  <si>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</si>
  <si>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</si>
  <si>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</si>
  <si>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</si>
  <si>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</si>
  <si>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</si>
  <si>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</si>
  <si>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</si>
  <si>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</si>
  <si>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</si>
  <si>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</si>
  <si>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</si>
  <si>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</si>
  <si>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</si>
  <si>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</si>
  <si>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</si>
  <si>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</si>
  <si>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</si>
  <si>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</si>
  <si>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</si>
  <si>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</si>
  <si>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</si>
  <si>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</si>
  <si>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</si>
  <si>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</si>
  <si>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</si>
  <si>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</si>
  <si>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</si>
  <si>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</si>
  <si>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</si>
  <si>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</si>
  <si>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</si>
  <si>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</si>
  <si>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</si>
  <si>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</si>
  <si>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</si>
  <si>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</si>
  <si>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</si>
  <si>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</si>
  <si>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</si>
  <si>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</si>
  <si>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</si>
  <si>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</si>
  <si>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</si>
  <si>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</si>
  <si>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</si>
  <si>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</si>
  <si>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</si>
  <si>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</si>
  <si>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</si>
  <si>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</si>
  <si>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</si>
  <si>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</si>
  <si>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</si>
  <si>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</si>
  <si>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</si>
  <si>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</si>
  <si>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</si>
  <si>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</si>
  <si>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</si>
  <si>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</si>
  <si>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</si>
  <si>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</si>
  <si>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</si>
  <si>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</si>
  <si>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</si>
  <si>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</si>
  <si>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</si>
  <si>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</si>
  <si>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</si>
  <si>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</si>
  <si>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</si>
  <si>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</si>
  <si>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</si>
  <si>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</si>
  <si>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</si>
  <si>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</si>
  <si>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</si>
  <si>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</si>
  <si>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</si>
  <si>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</si>
  <si>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</si>
  <si>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</si>
  <si>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</si>
  <si>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</si>
  <si>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</si>
  <si>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</si>
  <si>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</si>
  <si>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</si>
  <si>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</si>
  <si>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</si>
  <si>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</si>
  <si>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</si>
  <si>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</si>
  <si>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</si>
  <si>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</si>
  <si>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</si>
  <si>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</si>
  <si>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</si>
  <si>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</si>
  <si>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</si>
  <si>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</si>
  <si>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</si>
  <si>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</si>
  <si>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</si>
  <si>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</si>
  <si>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</si>
  <si>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</si>
  <si>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</si>
  <si>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</si>
  <si>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</si>
  <si>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</si>
  <si>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</si>
  <si>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</si>
  <si>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</si>
  <si>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</si>
  <si>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</si>
  <si>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</si>
  <si>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</si>
  <si>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</si>
  <si>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</si>
  <si>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</si>
  <si>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</si>
  <si>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</si>
  <si>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</si>
  <si>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</si>
  <si>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</si>
  <si>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</si>
  <si>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</si>
  <si>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</si>
  <si>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</si>
  <si>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</si>
  <si>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</si>
  <si>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</si>
  <si>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</si>
  <si>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</si>
  <si>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</si>
  <si>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</si>
  <si>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</si>
  <si>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</si>
  <si>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</si>
  <si>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</si>
  <si>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</si>
  <si>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</si>
  <si>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</si>
  <si>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</si>
  <si>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</si>
  <si>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</si>
  <si>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</si>
  <si>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</si>
  <si>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</si>
  <si>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</si>
  <si>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</si>
  <si>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</si>
  <si>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</si>
  <si>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</si>
  <si>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</si>
  <si>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</si>
  <si>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</si>
  <si>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</si>
  <si>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</si>
  <si>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</si>
  <si>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</si>
  <si>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</si>
  <si>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</si>
  <si>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</si>
  <si>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</si>
  <si>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</si>
  <si>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</si>
  <si>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</si>
  <si>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</si>
  <si>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</si>
  <si>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</si>
  <si>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</si>
  <si>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</si>
  <si>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</si>
  <si>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</si>
  <si>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</si>
  <si>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</si>
  <si>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</si>
  <si>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</si>
  <si>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</si>
  <si>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</si>
  <si>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</si>
  <si>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</si>
  <si>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</si>
  <si>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</si>
  <si>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</si>
  <si>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</si>
  <si>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</si>
  <si>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</si>
  <si>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</si>
  <si>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</si>
  <si>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</si>
  <si>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</si>
  <si>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</si>
  <si>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</si>
  <si>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</si>
  <si>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</si>
  <si>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</si>
  <si>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</si>
  <si>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</si>
  <si>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</si>
  <si>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</si>
  <si>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</si>
  <si>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</si>
  <si>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</si>
  <si>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</si>
  <si>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</si>
  <si>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</si>
  <si>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</si>
  <si>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</si>
  <si>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</si>
  <si>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</si>
  <si>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</si>
  <si>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</si>
  <si>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</si>
  <si>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</si>
  <si>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</si>
  <si>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</si>
  <si>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</si>
  <si>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</si>
  <si>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</si>
  <si>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</si>
  <si>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</si>
  <si>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</si>
  <si>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</si>
  <si>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</si>
  <si>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</si>
  <si>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</si>
  <si>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</si>
  <si>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</si>
  <si>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</si>
  <si>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</si>
  <si>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</si>
  <si>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</si>
  <si>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</si>
  <si>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</si>
  <si>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</si>
  <si>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</si>
  <si>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</si>
  <si>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</si>
  <si>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</si>
  <si>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</si>
  <si>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</si>
  <si>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</si>
  <si>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</si>
  <si>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</si>
  <si>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</si>
  <si>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</si>
  <si>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</si>
  <si>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</si>
  <si>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</si>
  <si>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</si>
  <si>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</si>
  <si>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</si>
  <si>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</si>
  <si>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</si>
  <si>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</si>
  <si>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</si>
  <si>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</si>
  <si>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</si>
  <si>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</si>
  <si>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</si>
  <si>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</si>
  <si>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</si>
  <si>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</si>
  <si>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</si>
  <si>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</si>
  <si>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</si>
  <si>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</si>
  <si>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</si>
  <si>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</si>
  <si>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</si>
  <si>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</si>
  <si>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</si>
  <si>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</si>
  <si>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</si>
  <si>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</si>
  <si>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</si>
  <si>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</si>
  <si>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</si>
  <si>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</si>
  <si>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</si>
  <si>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</si>
  <si>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</si>
  <si>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</si>
  <si>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</si>
  <si>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</si>
  <si>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</si>
  <si>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</si>
  <si>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</si>
  <si>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</si>
  <si>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</si>
  <si>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</si>
  <si>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</si>
  <si>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</si>
  <si>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</si>
  <si>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</si>
  <si>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</si>
  <si>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</si>
  <si>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</si>
  <si>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</si>
  <si>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</si>
  <si>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</si>
  <si>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</si>
  <si>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</si>
  <si>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</si>
  <si>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</si>
  <si>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</si>
  <si>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</si>
  <si>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</si>
  <si>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</si>
  <si>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</si>
  <si>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</si>
  <si>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</si>
  <si>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</si>
  <si>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</si>
  <si>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</si>
  <si>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</si>
  <si>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</si>
  <si>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</si>
  <si>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</si>
  <si>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</si>
  <si>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</si>
  <si>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</si>
  <si>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</si>
  <si>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</si>
  <si>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</si>
  <si>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</si>
  <si>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</si>
  <si>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</si>
  <si>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</si>
  <si>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</si>
  <si>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</si>
  <si>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</si>
  <si>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</si>
  <si>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</si>
  <si>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</si>
  <si>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</si>
  <si>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</si>
  <si>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</si>
  <si>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</si>
  <si>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</si>
  <si>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</si>
  <si>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</si>
  <si>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</si>
  <si>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</si>
  <si>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</si>
  <si>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</si>
  <si>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</si>
  <si>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</si>
  <si>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</si>
  <si>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</si>
  <si>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</si>
  <si>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</si>
  <si>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</si>
  <si>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</si>
  <si>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</si>
  <si>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</si>
  <si>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</si>
  <si>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</si>
  <si>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</si>
  <si>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</si>
  <si>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</si>
  <si>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</si>
  <si>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</si>
  <si>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</si>
  <si>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</si>
  <si>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</si>
  <si>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</si>
  <si>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</si>
  <si>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</si>
  <si>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</si>
  <si>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</si>
  <si>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</si>
  <si>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</si>
  <si>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</si>
  <si>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</si>
  <si>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</si>
  <si>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</si>
  <si>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</si>
  <si>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</si>
  <si>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</si>
  <si>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</si>
  <si>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</si>
  <si>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</si>
  <si>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</si>
  <si>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</si>
  <si>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</si>
  <si>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</si>
  <si>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</si>
  <si>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</si>
  <si>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</si>
  <si>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</si>
  <si>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</si>
  <si>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</si>
  <si>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</si>
  <si>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</si>
  <si>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</si>
  <si>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</si>
  <si>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</si>
  <si>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</si>
  <si>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</si>
  <si>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</si>
  <si>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</si>
  <si>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</si>
  <si>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</si>
  <si>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</si>
  <si>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</si>
  <si>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</si>
  <si>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</si>
  <si>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</si>
  <si>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</si>
  <si>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</si>
  <si>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</si>
  <si>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</si>
  <si>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</si>
  <si>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</si>
  <si>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</si>
  <si>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</si>
  <si>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</si>
  <si>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</si>
  <si>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</si>
  <si>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</si>
  <si>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</si>
  <si>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</si>
  <si>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</si>
  <si>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</si>
  <si>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</si>
  <si>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</si>
  <si>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</si>
  <si>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</si>
  <si>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</si>
  <si>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</si>
  <si>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</si>
  <si>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</si>
  <si>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</si>
  <si>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</si>
  <si>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</si>
  <si>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</si>
  <si>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</si>
  <si>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</si>
  <si>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</si>
  <si>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</si>
  <si>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</si>
  <si>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</si>
  <si>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</si>
  <si>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</si>
  <si>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</si>
  <si>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</si>
  <si>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</si>
  <si>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</si>
  <si>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</si>
  <si>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</si>
  <si>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</si>
  <si>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</si>
  <si>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</si>
  <si>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</si>
  <si>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</si>
  <si>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</si>
  <si>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</si>
  <si>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</si>
  <si>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</si>
  <si>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</si>
  <si>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</si>
  <si>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</si>
  <si>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</si>
  <si>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</si>
  <si>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</si>
  <si>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</si>
  <si>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</si>
  <si>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</si>
  <si>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</si>
  <si>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</si>
  <si>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</si>
  <si>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</si>
  <si>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</si>
  <si>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</si>
  <si>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</si>
  <si>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</si>
  <si>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</si>
  <si>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</si>
  <si>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</si>
  <si>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</si>
  <si>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</si>
  <si>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</si>
  <si>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</si>
  <si>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</si>
  <si>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</si>
  <si>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</si>
  <si>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</si>
  <si>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</si>
  <si>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</si>
  <si>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</si>
  <si>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</si>
  <si>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</si>
  <si>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</si>
  <si>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</si>
  <si>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</si>
  <si>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</si>
  <si>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</si>
  <si>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</si>
  <si>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</si>
  <si>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</si>
  <si>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</si>
  <si>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</si>
  <si>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</si>
  <si>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</si>
  <si>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</si>
  <si>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</si>
  <si>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</si>
  <si>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</si>
  <si>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</si>
  <si>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</si>
  <si>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</si>
  <si>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</si>
  <si>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</si>
  <si>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</si>
  <si>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</si>
  <si>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</si>
  <si>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</si>
  <si>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</si>
  <si>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</si>
  <si>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</si>
  <si>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</si>
  <si>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</si>
  <si>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</si>
  <si>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</si>
  <si>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</si>
  <si>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</si>
  <si>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</si>
  <si>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</si>
  <si>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</si>
  <si>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</si>
  <si>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</si>
  <si>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</si>
  <si>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</si>
  <si>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</si>
  <si>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</si>
  <si>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</si>
  <si>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</si>
  <si>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</si>
  <si>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</si>
  <si>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</si>
  <si>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</si>
  <si>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</si>
  <si>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</si>
  <si>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</si>
  <si>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</si>
  <si>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</si>
  <si>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</si>
  <si>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</si>
  <si>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</si>
  <si>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</si>
  <si>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</si>
  <si>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</si>
  <si>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</si>
  <si>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</si>
  <si>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</si>
  <si>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</si>
  <si>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</si>
  <si>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</si>
  <si>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</si>
  <si>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</si>
  <si>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</si>
  <si>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</si>
  <si>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</si>
  <si>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</si>
  <si>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</si>
  <si>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</si>
  <si>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</si>
  <si>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</si>
  <si>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</si>
  <si>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</si>
  <si>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</si>
  <si>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</si>
  <si>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</si>
  <si>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</si>
  <si>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</si>
  <si>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</si>
  <si>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</si>
  <si>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</si>
  <si>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</si>
  <si>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</si>
  <si>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</si>
  <si>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</si>
  <si>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</si>
  <si>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</si>
  <si>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</si>
  <si>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</si>
  <si>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</si>
  <si>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</si>
  <si>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</si>
  <si>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</si>
  <si>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</si>
  <si>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</si>
  <si>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</si>
  <si>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</si>
  <si>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</si>
  <si>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</si>
  <si>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</si>
  <si>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</si>
  <si>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</si>
  <si>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</si>
  <si>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</si>
  <si>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</si>
  <si>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</si>
  <si>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</si>
  <si>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</si>
  <si>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</si>
  <si>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</si>
  <si>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</si>
  <si>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</si>
  <si>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</si>
  <si>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</si>
  <si>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</si>
  <si>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</si>
  <si>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</si>
  <si>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</si>
  <si>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</si>
  <si>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</si>
  <si>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</si>
  <si>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</si>
  <si>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</si>
  <si>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</si>
  <si>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</si>
  <si>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</si>
  <si>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</si>
  <si>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</si>
  <si>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</si>
  <si>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</si>
  <si>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</si>
  <si>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</si>
  <si>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</si>
  <si>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</si>
  <si>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</si>
  <si>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</si>
  <si>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</si>
  <si>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</si>
  <si>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</si>
  <si>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</si>
  <si>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</si>
  <si>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</si>
  <si>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</si>
  <si>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</si>
  <si>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</si>
  <si>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</si>
  <si>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</si>
  <si>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</si>
  <si>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</si>
  <si>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</si>
  <si>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</si>
  <si>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</si>
  <si>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</si>
  <si>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</si>
  <si>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</si>
  <si>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</si>
  <si>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</si>
  <si>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</si>
  <si>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</si>
  <si>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</si>
  <si>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</si>
  <si>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</si>
  <si>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</si>
  <si>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</si>
  <si>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</si>
  <si>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</si>
  <si>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</si>
  <si>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</si>
  <si>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</si>
  <si>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</si>
  <si>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</si>
  <si>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</si>
  <si>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</si>
  <si>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</si>
  <si>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</si>
  <si>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</si>
  <si>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</si>
  <si>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</si>
  <si>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</si>
  <si>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</si>
  <si>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</si>
  <si>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</si>
  <si>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</si>
  <si>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</si>
  <si>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</si>
  <si>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</si>
  <si>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</si>
  <si>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</si>
  <si>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</si>
  <si>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</si>
  <si>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</si>
  <si>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</si>
  <si>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</si>
  <si>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</si>
  <si>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</si>
  <si>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</si>
  <si>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</si>
  <si>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</si>
  <si>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</si>
  <si>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</si>
  <si>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</si>
  <si>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</si>
  <si>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</si>
  <si>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</si>
  <si>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</si>
  <si>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</si>
  <si>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</si>
  <si>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</si>
  <si>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</si>
  <si>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</si>
  <si>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</si>
  <si>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</si>
  <si>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</si>
  <si>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</si>
  <si>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</si>
  <si>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</si>
  <si>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</si>
  <si>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</si>
  <si>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</si>
  <si>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</si>
  <si>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</si>
  <si>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</si>
  <si>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</si>
  <si>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</si>
  <si>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</si>
  <si>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</si>
  <si>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</si>
  <si>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</si>
  <si>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</si>
  <si>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</si>
  <si>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</si>
  <si>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</si>
  <si>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</si>
  <si>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</si>
  <si>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</si>
  <si>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</si>
  <si>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</si>
  <si>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</si>
  <si>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</si>
  <si>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</si>
  <si>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</si>
  <si>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</si>
  <si>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</si>
  <si>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</si>
  <si>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</si>
  <si>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</si>
  <si>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</si>
  <si>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</si>
  <si>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</si>
  <si>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</si>
  <si>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</si>
  <si>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</si>
  <si>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</si>
  <si>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</si>
  <si>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</si>
  <si>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</si>
  <si>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</si>
  <si>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</si>
  <si>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</si>
  <si>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</si>
  <si>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</si>
  <si>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</si>
  <si>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</si>
  <si>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</si>
  <si>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</si>
  <si>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</si>
  <si>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</si>
  <si>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</si>
  <si>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</si>
  <si>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</si>
  <si>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</si>
  <si>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</si>
  <si>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</si>
  <si>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</si>
  <si>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</si>
  <si>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</si>
  <si>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</si>
  <si>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</si>
  <si>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</si>
  <si>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</si>
  <si>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</si>
  <si>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</si>
  <si>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</si>
  <si>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</si>
  <si>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</si>
  <si>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</si>
  <si>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</si>
  <si>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</si>
  <si>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</si>
  <si>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</si>
  <si>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</si>
  <si>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</si>
  <si>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</si>
  <si>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</si>
  <si>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</si>
  <si>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</si>
  <si>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</si>
  <si>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</si>
  <si>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</si>
  <si>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</si>
  <si>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</si>
  <si>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</si>
  <si>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</si>
  <si>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</si>
  <si>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</si>
  <si>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</si>
  <si>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</si>
  <si>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</si>
  <si>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</si>
  <si>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</si>
  <si>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</si>
  <si>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</si>
  <si>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</si>
  <si>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</si>
  <si>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</si>
  <si>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</si>
  <si>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</si>
  <si>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</si>
  <si>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</si>
  <si>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</si>
  <si>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</si>
  <si>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</si>
  <si>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</si>
  <si>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</si>
  <si>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</si>
  <si>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</si>
  <si>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</si>
  <si>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</si>
  <si>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</si>
  <si>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</si>
  <si>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</si>
  <si>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</si>
  <si>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</si>
  <si>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</si>
  <si>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</si>
  <si>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</si>
  <si>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</si>
  <si>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</si>
  <si>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</si>
  <si>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</si>
  <si>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</si>
  <si>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</si>
  <si>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</si>
  <si>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</si>
  <si>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</si>
  <si>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</si>
  <si>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</si>
  <si>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</si>
  <si>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</si>
  <si>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</si>
  <si>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</si>
  <si>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</si>
  <si>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</si>
  <si>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</si>
  <si>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</si>
  <si>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</si>
  <si>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</si>
  <si>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</si>
  <si>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</si>
  <si>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</si>
  <si>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</si>
  <si>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</si>
  <si>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</si>
  <si>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</si>
  <si>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</si>
  <si>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</si>
  <si>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</si>
  <si>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</si>
  <si>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</si>
  <si>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</si>
  <si>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</si>
  <si>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</si>
  <si>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</si>
  <si>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</si>
  <si>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</si>
  <si>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</si>
  <si>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</si>
  <si>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</si>
  <si>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</si>
  <si>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</si>
  <si>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</si>
  <si>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</si>
  <si>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</si>
  <si>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</si>
  <si>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</si>
  <si>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</si>
  <si>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</si>
  <si>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</si>
  <si>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</si>
  <si>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</si>
  <si>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</si>
  <si>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</si>
  <si>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</si>
  <si>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</si>
  <si>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</si>
  <si>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</si>
  <si>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</si>
  <si>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</si>
  <si>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</si>
  <si>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</si>
  <si>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</si>
  <si>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</si>
  <si>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</si>
  <si>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</si>
  <si>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</si>
  <si>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</si>
  <si>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</si>
  <si>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</si>
  <si>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</si>
  <si>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</si>
  <si>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</si>
  <si>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</si>
  <si>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</si>
  <si>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</si>
  <si>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</si>
  <si>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</si>
  <si>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</si>
  <si>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</si>
  <si>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</si>
  <si>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</si>
  <si>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</si>
  <si>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</si>
  <si>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</si>
  <si>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</si>
  <si>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</si>
  <si>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</si>
  <si>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</si>
  <si>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</si>
  <si>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</si>
  <si>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</si>
  <si>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</si>
  <si>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</si>
  <si>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</si>
  <si>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</si>
  <si>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</si>
  <si>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</si>
  <si>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</si>
  <si>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</si>
  <si>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</si>
  <si>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</si>
  <si>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</si>
  <si>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</si>
  <si>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</si>
  <si>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</si>
  <si>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</si>
  <si>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</si>
  <si>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</si>
  <si>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</si>
  <si>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</si>
  <si>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</si>
  <si>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</si>
  <si>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</si>
  <si>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</si>
  <si>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</si>
  <si>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</si>
  <si>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</si>
  <si>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</si>
  <si>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</si>
  <si>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</si>
  <si>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</si>
  <si>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</si>
  <si>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</si>
  <si>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</si>
  <si>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</si>
  <si>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</si>
  <si>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</si>
  <si>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</si>
  <si>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</si>
  <si>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</si>
  <si>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</si>
  <si>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</si>
  <si>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</si>
  <si>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</si>
  <si>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</si>
  <si>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</si>
  <si>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</si>
  <si>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</si>
  <si>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</si>
  <si>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</si>
  <si>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</si>
  <si>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</si>
  <si>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</si>
  <si>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</si>
  <si>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</si>
  <si>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</si>
  <si>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</si>
  <si>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</si>
  <si>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</si>
  <si>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</si>
  <si>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</si>
  <si>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</si>
  <si>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</si>
  <si>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</si>
  <si>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</si>
  <si>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</si>
  <si>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</si>
  <si>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</si>
  <si>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</si>
  <si>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</si>
  <si>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</si>
  <si>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</si>
  <si>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</si>
  <si>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</si>
  <si>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</si>
  <si>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</si>
  <si>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</si>
  <si>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</si>
  <si>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</si>
  <si>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</si>
  <si>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</si>
  <si>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</si>
  <si>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</si>
  <si>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</si>
  <si>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</si>
  <si>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</si>
  <si>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</si>
  <si>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</si>
  <si>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</si>
  <si>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</si>
  <si>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</si>
  <si>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</si>
  <si>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</si>
  <si>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</si>
  <si>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</si>
  <si>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</si>
  <si>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</si>
  <si>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</si>
  <si>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</si>
  <si>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</si>
  <si>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</si>
  <si>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</si>
  <si>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</si>
  <si>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</si>
  <si>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</si>
  <si>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</si>
  <si>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</si>
  <si>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</si>
  <si>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</si>
  <si>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</si>
  <si>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</si>
  <si>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</si>
  <si>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</si>
  <si>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</si>
  <si>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</si>
  <si>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</si>
  <si>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</si>
  <si>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</si>
  <si>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</si>
  <si>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</si>
  <si>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</si>
  <si>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</si>
  <si>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</si>
  <si>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</si>
  <si>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</si>
  <si>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</si>
  <si>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</si>
  <si>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</si>
  <si>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</si>
  <si>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</si>
  <si>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</si>
  <si>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</si>
  <si>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</si>
  <si>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</si>
  <si>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</si>
  <si>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</si>
  <si>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</si>
  <si>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</si>
  <si>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</si>
  <si>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</si>
  <si>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</si>
  <si>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</si>
  <si>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</si>
  <si>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</si>
  <si>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</si>
  <si>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</si>
  <si>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</si>
  <si>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</si>
  <si>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</si>
  <si>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</si>
  <si>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</si>
  <si>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</si>
  <si>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</si>
  <si>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</si>
  <si>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</si>
  <si>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</si>
  <si>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</si>
  <si>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</si>
  <si>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</si>
  <si>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</si>
  <si>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</si>
  <si>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</si>
  <si>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</si>
  <si>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</si>
  <si>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</si>
  <si>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</si>
  <si>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</si>
  <si>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</si>
  <si>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</si>
  <si>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</si>
  <si>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</si>
  <si>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</si>
  <si>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</si>
  <si>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</si>
  <si>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</si>
  <si>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</si>
  <si>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</si>
  <si>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</si>
  <si>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</si>
  <si>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</si>
  <si>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</si>
  <si>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</si>
  <si>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</si>
  <si>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</si>
  <si>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</si>
  <si>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</si>
  <si>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</si>
  <si>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</si>
  <si>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</si>
  <si>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</si>
  <si>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</si>
  <si>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</si>
  <si>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</si>
  <si>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</si>
  <si>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</si>
  <si>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</si>
  <si>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</si>
  <si>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</si>
  <si>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</si>
  <si>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</si>
  <si>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</si>
  <si>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</si>
  <si>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</si>
  <si>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</si>
  <si>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</si>
  <si>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</si>
  <si>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</si>
  <si>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</si>
  <si>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</si>
  <si>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</si>
  <si>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</si>
  <si>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</si>
  <si>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</si>
  <si>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</si>
  <si>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</si>
  <si>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</si>
  <si>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</si>
  <si>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</si>
  <si>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</si>
  <si>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</si>
  <si>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</si>
  <si>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</si>
  <si>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</si>
  <si>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</si>
  <si>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</si>
  <si>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</si>
  <si>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</si>
  <si>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</si>
  <si>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</si>
  <si>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</si>
  <si>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</si>
  <si>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</si>
  <si>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</si>
  <si>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</si>
  <si>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</si>
  <si>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</si>
  <si>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</si>
  <si>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</si>
  <si>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</si>
  <si>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</si>
  <si>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</si>
  <si>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</si>
  <si>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</si>
  <si>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</si>
  <si>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</si>
  <si>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</si>
  <si>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</si>
  <si>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</si>
  <si>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</si>
  <si>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</si>
  <si>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</si>
  <si>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</si>
  <si>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</si>
  <si>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</si>
  <si>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</si>
  <si>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</si>
  <si>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</si>
  <si>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</si>
  <si>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</si>
  <si>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</si>
  <si>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</si>
  <si>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</si>
  <si>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</si>
  <si>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</si>
  <si>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</si>
  <si>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</si>
  <si>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</si>
  <si>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</si>
  <si>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</si>
  <si>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</si>
  <si>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</si>
  <si>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</si>
  <si>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</si>
  <si>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</si>
  <si>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</si>
  <si>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</si>
  <si>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</si>
  <si>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</si>
  <si>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</si>
  <si>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</si>
  <si>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</si>
  <si>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</si>
  <si>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</si>
  <si>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</si>
  <si>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</si>
  <si>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</si>
  <si>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</si>
  <si>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</si>
  <si>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</si>
  <si>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</si>
  <si>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</si>
  <si>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</si>
  <si>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</si>
  <si>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</si>
  <si>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</si>
  <si>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</si>
  <si>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</si>
  <si>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</si>
  <si>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</si>
  <si>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</si>
  <si>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</si>
  <si>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</si>
  <si>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</si>
  <si>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</si>
  <si>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</si>
  <si>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</si>
  <si>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</si>
  <si>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</si>
  <si>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</si>
  <si>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</si>
  <si>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</si>
  <si>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</si>
  <si>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</si>
  <si>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</si>
  <si>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</si>
  <si>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</si>
  <si>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</si>
  <si>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</si>
  <si>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</si>
  <si>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</si>
  <si>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</si>
  <si>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</si>
  <si>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</si>
  <si>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</si>
  <si>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</si>
  <si>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</si>
  <si>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</si>
  <si>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</si>
  <si>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</si>
  <si>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</si>
  <si>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</si>
  <si>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</si>
  <si>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</si>
  <si>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</si>
  <si>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</si>
  <si>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</si>
  <si>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</si>
  <si>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</si>
  <si>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</si>
  <si>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</si>
  <si>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</si>
  <si>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</si>
  <si>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</si>
  <si>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</si>
  <si>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</si>
  <si>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</si>
  <si>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</si>
  <si>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</si>
  <si>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</si>
  <si>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</si>
  <si>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</si>
  <si>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</si>
  <si>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</si>
  <si>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</si>
  <si>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</si>
  <si>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</si>
  <si>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</si>
  <si>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</si>
  <si>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</si>
  <si>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</si>
  <si>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</si>
  <si>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</si>
  <si>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</si>
  <si>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</si>
  <si>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</si>
  <si>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</si>
  <si>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</si>
  <si>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</si>
  <si>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</si>
  <si>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</si>
  <si>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</si>
  <si>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</si>
  <si>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</si>
  <si>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</si>
  <si>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</si>
  <si>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</si>
  <si>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</si>
  <si>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</si>
  <si>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</si>
  <si>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</si>
  <si>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</si>
  <si>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</si>
  <si>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</si>
  <si>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</si>
  <si>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</si>
  <si>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</si>
  <si>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</si>
  <si>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</si>
  <si>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</si>
  <si>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</si>
  <si>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</si>
  <si>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</si>
  <si>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</si>
  <si>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</si>
  <si>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</si>
  <si>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</si>
  <si>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</si>
  <si>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</si>
  <si>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</si>
  <si>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</si>
  <si>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</si>
  <si>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</si>
  <si>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</si>
  <si>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</si>
  <si>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</si>
  <si>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</si>
  <si>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</si>
  <si>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</si>
  <si>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</si>
  <si>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</si>
  <si>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</si>
  <si>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</si>
  <si>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</si>
  <si>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</si>
  <si>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</si>
  <si>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</si>
  <si>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</si>
  <si>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</si>
  <si>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</si>
  <si>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</si>
  <si>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</si>
  <si>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</si>
  <si>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</si>
  <si>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</si>
  <si>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</si>
  <si>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</si>
  <si>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</si>
  <si>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</si>
  <si>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</si>
  <si>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</si>
  <si>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</si>
  <si>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</si>
  <si>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</si>
  <si>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</si>
  <si>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</si>
  <si>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</si>
  <si>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</si>
  <si>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</si>
  <si>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</si>
  <si>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</si>
  <si>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</si>
  <si>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</si>
  <si>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</si>
  <si>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</si>
  <si>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</si>
  <si>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</si>
  <si>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</si>
  <si>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</si>
  <si>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</si>
  <si>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</si>
  <si>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</si>
  <si>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</si>
  <si>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</si>
  <si>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</si>
  <si>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</si>
  <si>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</si>
  <si>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</si>
  <si>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</si>
  <si>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</si>
  <si>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</si>
  <si>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</si>
  <si>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</si>
  <si>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</si>
  <si>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</si>
  <si>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</si>
  <si>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</si>
  <si>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</si>
  <si>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</si>
  <si>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</si>
  <si>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</si>
  <si>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</si>
  <si>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</si>
  <si>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</si>
  <si>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</si>
  <si>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</si>
  <si>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</si>
  <si>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</si>
  <si>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</si>
  <si>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</si>
  <si>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</si>
  <si>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</si>
  <si>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</si>
  <si>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</si>
  <si>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</si>
  <si>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</si>
  <si>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</si>
  <si>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</si>
  <si>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</si>
  <si>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</si>
  <si>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</si>
  <si>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</si>
  <si>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</si>
  <si>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</si>
  <si>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</si>
  <si>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</si>
  <si>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</si>
  <si>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</si>
  <si>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</si>
  <si>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</si>
  <si>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</si>
  <si>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</si>
  <si>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</si>
  <si>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</si>
  <si>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</si>
  <si>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</si>
  <si>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</si>
  <si>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</si>
  <si>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</si>
  <si>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</si>
  <si>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</si>
  <si>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</si>
  <si>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</si>
  <si>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</si>
  <si>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</si>
  <si>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</si>
  <si>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</si>
  <si>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</si>
  <si>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</si>
  <si>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</si>
  <si>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</si>
  <si>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</si>
  <si>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</si>
  <si>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</si>
  <si>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</si>
  <si>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</si>
  <si>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</si>
  <si>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</si>
  <si>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</si>
  <si>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</si>
  <si>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</si>
  <si>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</si>
  <si>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</si>
  <si>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</si>
  <si>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</si>
  <si>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</si>
  <si>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</si>
  <si>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</si>
  <si>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</si>
  <si>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</si>
  <si>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</si>
  <si>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</si>
  <si>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</si>
  <si>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</si>
  <si>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</si>
  <si>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</si>
  <si>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</si>
  <si>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</si>
  <si>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</si>
  <si>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</si>
  <si>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</si>
  <si>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</si>
  <si>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</si>
  <si>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</si>
  <si>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</si>
  <si>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</si>
  <si>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</si>
  <si>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</si>
  <si>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</si>
  <si>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</si>
  <si>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</si>
  <si>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</si>
  <si>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</si>
  <si>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</si>
  <si>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</si>
  <si>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</si>
  <si>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</si>
  <si>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</si>
  <si>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</si>
  <si>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</si>
  <si>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</si>
  <si>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</si>
  <si>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</si>
  <si>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</si>
  <si>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</si>
  <si>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</si>
  <si>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</si>
  <si>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</si>
  <si>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</si>
  <si>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</si>
  <si>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</si>
  <si>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</si>
  <si>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</si>
  <si>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</si>
  <si>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</si>
  <si>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</si>
  <si>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</si>
  <si>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t>面积</t>
  </si>
  <si>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</si>
  <si>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</si>
  <si>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</si>
  <si>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</si>
  <si>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</si>
  <si>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</si>
  <si>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</si>
  <si>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</si>
  <si>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</si>
  <si>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</si>
  <si>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</si>
  <si>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</si>
  <si>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</si>
  <si>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</si>
  <si>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</si>
  <si>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</si>
  <si>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</si>
  <si>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</si>
  <si>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</si>
  <si>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</si>
  <si>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</si>
  <si>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</si>
  <si>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</si>
  <si>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</si>
  <si>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</si>
  <si>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其他商服用地（停车场、停车楼等用地）</t>
  </si>
  <si>
    <t>剩余法待开发住宅</t>
    <phoneticPr fontId="14" type="noConversion"/>
  </si>
  <si>
    <t>部位</t>
  </si>
  <si>
    <t>用途</t>
  </si>
  <si>
    <t>出让建筑</t>
  </si>
  <si>
    <r>
      <t>（</t>
    </r>
    <r>
      <rPr>
        <b/>
        <sz val="12"/>
        <color rgb="FF000000"/>
        <rFont val="华文仿宋"/>
        <family val="3"/>
        <charset val="134"/>
      </rPr>
      <t>㎡</t>
    </r>
    <r>
      <rPr>
        <b/>
        <sz val="12"/>
        <color rgb="FF000000"/>
        <rFont val="仿宋_GB2312"/>
        <family val="3"/>
        <charset val="134"/>
      </rPr>
      <t>）</t>
    </r>
  </si>
  <si>
    <t>楼面熟地</t>
  </si>
  <si>
    <t>单价</t>
  </si>
  <si>
    <r>
      <t>（元/</t>
    </r>
    <r>
      <rPr>
        <b/>
        <sz val="12"/>
        <color rgb="FF000000"/>
        <rFont val="华文仿宋"/>
        <family val="3"/>
        <charset val="134"/>
      </rPr>
      <t>㎡</t>
    </r>
    <r>
      <rPr>
        <b/>
        <sz val="12"/>
        <color rgb="FF000000"/>
        <rFont val="仿宋_GB2312"/>
        <family val="3"/>
        <charset val="134"/>
      </rPr>
      <t>）</t>
    </r>
  </si>
  <si>
    <t>熟地总价</t>
  </si>
  <si>
    <t>(万元）</t>
  </si>
  <si>
    <t>地面熟地单价</t>
  </si>
  <si>
    <r>
      <t>Ã</t>
    </r>
    <r>
      <rPr>
        <b/>
        <sz val="14"/>
        <color theme="1"/>
        <rFont val="仿宋_GB2312"/>
        <family val="3"/>
        <charset val="134"/>
      </rPr>
      <t>政府土地出让收益</t>
    </r>
  </si>
  <si>
    <t>出让建筑面积</t>
  </si>
  <si>
    <r>
      <t>（</t>
    </r>
    <r>
      <rPr>
        <b/>
        <sz val="12"/>
        <color theme="1"/>
        <rFont val="华文仿宋"/>
        <family val="3"/>
        <charset val="134"/>
      </rPr>
      <t>㎡</t>
    </r>
    <r>
      <rPr>
        <b/>
        <sz val="12"/>
        <color theme="1"/>
        <rFont val="仿宋_GB2312"/>
        <family val="3"/>
        <charset val="134"/>
      </rPr>
      <t>）</t>
    </r>
  </si>
  <si>
    <t>楼面政府土地出让收益单价</t>
  </si>
  <si>
    <r>
      <t>（元/</t>
    </r>
    <r>
      <rPr>
        <b/>
        <sz val="12"/>
        <color theme="1"/>
        <rFont val="华文仿宋"/>
        <family val="3"/>
        <charset val="134"/>
      </rPr>
      <t>㎡</t>
    </r>
    <r>
      <rPr>
        <b/>
        <sz val="12"/>
        <color theme="1"/>
        <rFont val="仿宋_GB2312"/>
        <family val="3"/>
        <charset val="134"/>
      </rPr>
      <t>）</t>
    </r>
  </si>
  <si>
    <t>政府土地出让收益总价(万元）</t>
  </si>
  <si>
    <t>政府土地出让收益单价</t>
  </si>
  <si>
    <t>需补缴地价款</t>
  </si>
  <si>
    <t>地面单价</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</si>
  <si>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</si>
  <si>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</si>
  <si>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</si>
  <si>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</si>
  <si>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</si>
  <si>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</si>
  <si>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</si>
  <si>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</si>
  <si>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</si>
  <si>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</si>
  <si>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</si>
  <si>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</si>
  <si>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</si>
  <si>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政府土地出让收益</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</si>
  <si>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</si>
  <si>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</si>
  <si>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</si>
  <si>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</si>
  <si>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</si>
  <si>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</si>
  <si>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</si>
  <si>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</si>
  <si>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</si>
  <si>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</si>
  <si>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</si>
  <si>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</si>
  <si>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</si>
  <si>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</si>
  <si>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</si>
  <si>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</si>
  <si>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</si>
  <si>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</si>
  <si>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</si>
  <si>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</si>
  <si>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</si>
  <si>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</si>
  <si>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</si>
  <si>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</si>
  <si>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</si>
  <si>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</si>
  <si>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</si>
  <si>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</si>
  <si>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</si>
  <si>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</si>
  <si>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</si>
  <si>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</si>
  <si>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</si>
  <si>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</si>
  <si>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</si>
  <si>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</si>
  <si>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</si>
  <si>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</si>
  <si>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</si>
  <si>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</si>
  <si>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</si>
  <si>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</si>
  <si>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</si>
  <si>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</si>
  <si>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</si>
  <si>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</si>
  <si>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</si>
  <si>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</si>
  <si>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</si>
  <si>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</si>
  <si>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</si>
  <si>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</si>
  <si>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</si>
  <si>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</si>
  <si>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</si>
  <si>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</si>
  <si>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</si>
  <si>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</si>
  <si>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</si>
  <si>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</si>
  <si>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</si>
  <si>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</si>
  <si>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</si>
  <si>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</si>
  <si>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</si>
  <si>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</si>
  <si>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</si>
  <si>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</si>
  <si>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</si>
  <si>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</si>
  <si>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13/15</t>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</si>
  <si>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</si>
  <si>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</si>
  <si>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13/15</t>
    <phoneticPr fontId="21" type="noConversion"/>
  </si>
  <si>
    <t>天悦壹号</t>
    <phoneticPr fontId="3" type="noConversion"/>
  </si>
  <si>
    <t>地铁新宫站南500米</t>
    <phoneticPr fontId="3" type="noConversion"/>
  </si>
  <si>
    <t>5/13</t>
    <phoneticPr fontId="21" type="noConversion"/>
  </si>
  <si>
    <t>金府大院</t>
    <phoneticPr fontId="3" type="noConversion"/>
  </si>
  <si>
    <t>新宫地铁站南800米</t>
    <phoneticPr fontId="3" type="noConversion"/>
  </si>
  <si>
    <t>6/14</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</si>
  <si>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</si>
  <si>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</si>
  <si>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</si>
  <si>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</si>
  <si>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</si>
  <si>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</si>
  <si>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</si>
  <si>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</si>
  <si>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</si>
  <si>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</si>
  <si>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主</t>
    <phoneticPr fontId="21" type="noConversion"/>
  </si>
  <si>
    <t>容积率修正</t>
  </si>
  <si>
    <t>办公（公共服务设施）</t>
  </si>
  <si>
    <t>（缩减）</t>
  </si>
  <si>
    <t>（调整用途）</t>
  </si>
  <si>
    <t>地下仓储与地下车库之差</t>
  </si>
  <si>
    <r>
      <t>（</t>
    </r>
    <r>
      <rPr>
        <sz val="12"/>
        <color theme="1"/>
        <rFont val="仿宋_GB2312"/>
        <family val="3"/>
        <charset val="134"/>
      </rPr>
      <t>增加</t>
    </r>
    <r>
      <rPr>
        <sz val="12"/>
        <color rgb="FF000000"/>
        <rFont val="宋体"/>
        <family val="3"/>
        <charset val="134"/>
      </rPr>
      <t>）</t>
    </r>
  </si>
  <si>
    <t>缩减</t>
  </si>
  <si>
    <t>调整</t>
  </si>
  <si>
    <t>新增</t>
  </si>
  <si>
    <r>
      <t>Ã</t>
    </r>
    <r>
      <rPr>
        <b/>
        <sz val="14"/>
        <color theme="1"/>
        <rFont val="仿宋_GB2312"/>
        <family val="3"/>
        <charset val="134"/>
      </rPr>
      <t>需补缴地价款</t>
    </r>
    <phoneticPr fontId="233" type="noConversion"/>
  </si>
  <si>
    <t>楼面熟地价/楼面熟地价之差</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</si>
</sst>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Wingdings 2"/>
      <family val="1"/>
      <charset val="2"/>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theme="1"/>
      <name val="仿宋_GB2312"/>
      <family val="3"/>
      <charset val="134"/>
    </font>
    <font>
      <b/>
      <sz val="12"/>
      <color theme="1"/>
      <name val="华文仿宋"/>
      <family val="3"/>
      <charset val="134"/>
    </font>
    <font>
      <sz val="5"/>
      <color theme="1"/>
      <name val="仿宋_GB2312"/>
      <family val="3"/>
      <charset val="134"/>
    </font>
    <font>
      <sz val="12"/>
      <color rgb="FF000000"/>
      <name val="宋体"/>
      <family val="3"/>
      <charset val="134"/>
    </font>
    <font>
      <b/>
      <sz val="12"/>
      <color rgb="FF000000"/>
      <name val="Arial"/>
      <family val="2"/>
    </font>
    <font>
      <sz val="12"/>
      <color rgb="FF000000"/>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277" fillId="0" borderId="0" xfId="0" applyFont="1">
      <alignment vertical="center"/>
    </xf>
    <xf numFmtId="0" fontId="279" fillId="0" borderId="39" xfId="0" applyFont="1" applyBorder="1" applyAlignment="1">
      <alignment horizontal="center" vertical="center" wrapText="1"/>
    </xf>
    <xf numFmtId="0" fontId="279" fillId="0" borderId="65" xfId="0" applyFont="1" applyBorder="1" applyAlignment="1">
      <alignment horizontal="center" vertical="center" wrapText="1"/>
    </xf>
    <xf numFmtId="0" fontId="0" fillId="0" borderId="65" xfId="0" applyBorder="1" applyAlignment="1">
      <alignment vertical="center" wrapText="1"/>
    </xf>
    <xf numFmtId="0" fontId="278" fillId="0" borderId="0" xfId="0" applyFont="1" applyAlignment="1">
      <alignment vertical="center" wrapText="1"/>
    </xf>
    <xf numFmtId="0" fontId="177" fillId="0" borderId="39" xfId="0" applyFont="1" applyBorder="1" applyAlignment="1">
      <alignment horizontal="center" vertical="center" wrapText="1"/>
    </xf>
    <xf numFmtId="0" fontId="194" fillId="0" borderId="0" xfId="0" applyFont="1" applyAlignment="1">
      <alignment horizontal="justify" vertical="center"/>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284" fillId="0" borderId="0" xfId="0" applyFont="1">
      <alignment vertical="center"/>
    </xf>
    <xf numFmtId="0" fontId="171" fillId="0" borderId="66" xfId="0" applyFont="1" applyBorder="1" applyAlignment="1">
      <alignment vertical="center" wrapText="1"/>
    </xf>
    <xf numFmtId="0" fontId="279" fillId="0" borderId="2" xfId="0" applyFont="1" applyBorder="1" applyAlignment="1">
      <alignment horizontal="center" vertical="center" wrapText="1"/>
    </xf>
    <xf numFmtId="0" fontId="171" fillId="0" borderId="2" xfId="0" applyFont="1" applyBorder="1" applyAlignment="1">
      <alignment vertical="center" wrapText="1"/>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9"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9" fillId="0" borderId="35" xfId="0" applyFont="1" applyBorder="1" applyAlignment="1">
      <alignment horizontal="center" vertical="center" wrapText="1"/>
    </xf>
    <xf numFmtId="0" fontId="279" fillId="0" borderId="79" xfId="0" applyFont="1" applyBorder="1" applyAlignment="1">
      <alignment horizontal="center" vertical="center" wrapText="1"/>
    </xf>
    <xf numFmtId="0" fontId="279" fillId="0" borderId="153" xfId="0" applyFont="1" applyBorder="1" applyAlignment="1">
      <alignment horizontal="center" vertical="center" wrapText="1"/>
    </xf>
    <xf numFmtId="0" fontId="278" fillId="0" borderId="31" xfId="0" applyFont="1" applyBorder="1" applyAlignment="1">
      <alignment vertical="center" wrapText="1"/>
    </xf>
    <xf numFmtId="0" fontId="281" fillId="0" borderId="154" xfId="0" applyFont="1" applyBorder="1" applyAlignment="1">
      <alignment horizontal="center" vertical="center" wrapText="1"/>
    </xf>
    <xf numFmtId="0" fontId="281" fillId="0" borderId="153" xfId="0" applyFont="1" applyBorder="1" applyAlignment="1">
      <alignment horizontal="center" vertical="center" wrapText="1"/>
    </xf>
    <xf numFmtId="0" fontId="281" fillId="0" borderId="79"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153"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153" xfId="0" applyFont="1" applyBorder="1" applyAlignment="1">
      <alignment horizontal="center" vertical="center" wrapText="1"/>
    </xf>
    <xf numFmtId="0" fontId="279" fillId="0" borderId="2"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153" xfId="0" applyFont="1" applyBorder="1" applyAlignment="1">
      <alignment horizontal="center" vertical="center" wrapText="1"/>
    </xf>
    <xf numFmtId="0" fontId="279"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281" fillId="0" borderId="65" xfId="0" applyFont="1" applyBorder="1" applyAlignment="1">
      <alignment horizontal="center" vertical="center" wrapText="1"/>
    </xf>
    <xf numFmtId="0" fontId="176" fillId="0" borderId="39" xfId="0" applyFont="1" applyBorder="1" applyAlignment="1">
      <alignment horizontal="center" vertical="center" wrapText="1"/>
    </xf>
    <xf numFmtId="0" fontId="281" fillId="0" borderId="155" xfId="0" applyFont="1" applyBorder="1" applyAlignment="1">
      <alignment horizontal="center" vertical="center" wrapText="1"/>
    </xf>
    <xf numFmtId="0" fontId="177" fillId="0" borderId="65" xfId="0" applyFont="1" applyBorder="1" applyAlignment="1">
      <alignment horizontal="center" vertical="center" wrapText="1"/>
    </xf>
    <xf numFmtId="0" fontId="195" fillId="0" borderId="65" xfId="0" applyFont="1" applyBorder="1" applyAlignment="1">
      <alignment horizontal="center" vertical="center" wrapText="1"/>
    </xf>
    <xf numFmtId="0" fontId="0" fillId="0" borderId="155" xfId="0" applyBorder="1" applyAlignment="1">
      <alignment vertical="center" wrapText="1"/>
    </xf>
    <xf numFmtId="0" fontId="176" fillId="0" borderId="155" xfId="0" applyFont="1" applyBorder="1" applyAlignment="1">
      <alignment horizontal="center" vertical="center" wrapText="1"/>
    </xf>
    <xf numFmtId="0" fontId="177" fillId="0" borderId="155" xfId="0" applyFont="1" applyBorder="1" applyAlignment="1">
      <alignment horizontal="center" vertical="center" wrapText="1"/>
    </xf>
    <xf numFmtId="0" fontId="285" fillId="0" borderId="155" xfId="0" applyFont="1" applyBorder="1" applyAlignment="1">
      <alignment horizontal="center" vertical="center" wrapText="1"/>
    </xf>
    <xf numFmtId="0" fontId="195" fillId="0" borderId="155" xfId="0" applyFont="1" applyBorder="1" applyAlignment="1">
      <alignment horizontal="center" vertical="center" wrapText="1"/>
    </xf>
    <xf numFmtId="0" fontId="176" fillId="0" borderId="154" xfId="0" applyFont="1" applyBorder="1" applyAlignment="1">
      <alignment horizontal="center" vertical="center" wrapText="1"/>
    </xf>
    <xf numFmtId="0" fontId="177" fillId="0" borderId="154" xfId="0" applyFont="1" applyBorder="1" applyAlignment="1">
      <alignment horizontal="center" vertical="center" wrapText="1"/>
    </xf>
    <xf numFmtId="0" fontId="0" fillId="0" borderId="66" xfId="0" applyBorder="1" applyAlignment="1">
      <alignment vertical="center" wrapText="1"/>
    </xf>
    <xf numFmtId="0" fontId="176" fillId="0" borderId="66" xfId="0" applyFont="1" applyBorder="1" applyAlignment="1">
      <alignment horizontal="left" vertical="center" wrapText="1" indent="2"/>
    </xf>
    <xf numFmtId="0" fontId="285" fillId="0" borderId="66"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154" xfId="0" applyFont="1" applyBorder="1" applyAlignment="1">
      <alignment horizontal="center" vertical="center" wrapText="1"/>
    </xf>
    <xf numFmtId="0" fontId="281" fillId="0" borderId="80" xfId="0" applyFont="1" applyBorder="1" applyAlignment="1">
      <alignment horizontal="center" vertical="center" wrapText="1"/>
    </xf>
    <xf numFmtId="0" fontId="176" fillId="0" borderId="35" xfId="0" applyFont="1" applyBorder="1" applyAlignment="1">
      <alignment horizontal="left" vertical="center" wrapText="1" indent="2"/>
    </xf>
    <xf numFmtId="0" fontId="176" fillId="0" borderId="153" xfId="0" applyFont="1" applyBorder="1" applyAlignment="1">
      <alignment horizontal="left" vertical="center" wrapText="1" indent="2"/>
    </xf>
    <xf numFmtId="0" fontId="176" fillId="0" borderId="80" xfId="0" applyFont="1" applyBorder="1" applyAlignment="1">
      <alignment horizontal="center" vertical="center" wrapText="1"/>
    </xf>
    <xf numFmtId="0" fontId="281" fillId="0" borderId="35" xfId="0" applyFont="1" applyBorder="1" applyAlignment="1">
      <alignment horizontal="center" vertical="center" wrapText="1"/>
    </xf>
    <xf numFmtId="0" fontId="176" fillId="0" borderId="80" xfId="0" applyFont="1" applyBorder="1" applyAlignment="1">
      <alignment horizontal="left" vertical="center" wrapText="1" indent="2"/>
    </xf>
    <xf numFmtId="0" fontId="177" fillId="0" borderId="80" xfId="0" applyFont="1" applyBorder="1" applyAlignment="1">
      <alignment horizontal="center" vertical="center" wrapText="1"/>
    </xf>
    <xf numFmtId="0" fontId="277" fillId="0" borderId="0" xfId="0" applyFont="1" applyAlignment="1">
      <alignment horizontal="justify" vertical="center"/>
    </xf>
    <xf numFmtId="0" fontId="281" fillId="0" borderId="39" xfId="0" applyFont="1" applyBorder="1" applyAlignment="1">
      <alignment horizontal="center" vertical="center" wrapText="1"/>
    </xf>
    <xf numFmtId="0" fontId="177" fillId="0" borderId="66" xfId="0" applyFont="1" applyBorder="1" applyAlignment="1">
      <alignment horizontal="center" vertical="center" wrapText="1"/>
    </xf>
    <xf numFmtId="0" fontId="287" fillId="0" borderId="66" xfId="0" applyFont="1" applyBorder="1" applyAlignment="1">
      <alignment horizontal="center" vertical="center" wrapText="1"/>
    </xf>
    <xf numFmtId="0" fontId="279" fillId="0" borderId="66" xfId="0" applyFont="1" applyBorder="1" applyAlignment="1">
      <alignment horizontal="center" vertical="center" wrapText="1"/>
    </xf>
    <xf numFmtId="0" fontId="286" fillId="0" borderId="66" xfId="0" applyFont="1" applyBorder="1" applyAlignment="1">
      <alignment horizontal="center" vertical="center" wrapText="1"/>
    </xf>
    <xf numFmtId="0" fontId="154" fillId="0" borderId="66" xfId="0" applyFont="1" applyBorder="1" applyAlignment="1">
      <alignment horizontal="center" vertical="center" wrapText="1"/>
    </xf>
    <xf numFmtId="0" fontId="279" fillId="0" borderId="35" xfId="0" applyFont="1" applyBorder="1" applyAlignment="1">
      <alignment horizontal="center" vertical="center"/>
    </xf>
    <xf numFmtId="0" fontId="279" fillId="0" borderId="79" xfId="0" applyFont="1" applyBorder="1" applyAlignment="1">
      <alignment horizontal="center" vertical="center"/>
    </xf>
    <xf numFmtId="0" fontId="279" fillId="0" borderId="80" xfId="0" applyFont="1" applyBorder="1" applyAlignment="1">
      <alignment horizontal="center" vertical="center"/>
    </xf>
    <xf numFmtId="0" fontId="279" fillId="0" borderId="28" xfId="0" applyFont="1" applyBorder="1" applyAlignment="1">
      <alignment horizontal="center" vertical="center" wrapText="1"/>
    </xf>
    <xf numFmtId="0" fontId="279" fillId="0" borderId="26" xfId="0" applyFont="1" applyBorder="1" applyAlignment="1">
      <alignment horizontal="center" vertical="center" wrapText="1"/>
    </xf>
    <xf numFmtId="0" fontId="279" fillId="0" borderId="156" xfId="0" applyFont="1" applyBorder="1" applyAlignment="1">
      <alignment horizontal="center" vertical="center" wrapText="1"/>
    </xf>
    <xf numFmtId="0" fontId="279" fillId="0" borderId="31" xfId="0" applyFont="1" applyBorder="1" applyAlignment="1">
      <alignment horizontal="center" vertical="center" wrapText="1"/>
    </xf>
    <xf numFmtId="0" fontId="279" fillId="0" borderId="0" xfId="0" applyFont="1" applyBorder="1" applyAlignment="1">
      <alignment horizontal="center" vertical="center" wrapText="1"/>
    </xf>
    <xf numFmtId="0" fontId="279" fillId="0" borderId="157" xfId="0" applyFont="1" applyBorder="1" applyAlignment="1">
      <alignment horizontal="center" vertical="center" wrapText="1"/>
    </xf>
    <xf numFmtId="0" fontId="279" fillId="0" borderId="54" xfId="0" applyFont="1" applyBorder="1" applyAlignment="1">
      <alignment horizontal="center" vertical="center" wrapText="1"/>
    </xf>
    <xf numFmtId="0" fontId="279" fillId="0" borderId="61" xfId="0" applyFont="1" applyBorder="1" applyAlignment="1">
      <alignment horizontal="center" vertical="center" wrapText="1"/>
    </xf>
    <xf numFmtId="0" fontId="279" fillId="0" borderId="158" xfId="0" applyFont="1" applyBorder="1" applyAlignment="1">
      <alignment horizontal="center" vertical="center" wrapText="1"/>
    </xf>
    <xf numFmtId="0" fontId="281" fillId="0" borderId="26"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6" xfId="0" applyFont="1" applyBorder="1" applyAlignment="1">
      <alignment horizontal="center" vertical="center" wrapText="1"/>
    </xf>
    <xf numFmtId="0" fontId="279" fillId="0" borderId="36" xfId="0" applyFont="1" applyBorder="1" applyAlignment="1">
      <alignment horizontal="center" vertical="center" wrapText="1"/>
    </xf>
    <xf numFmtId="0" fontId="279" fillId="0" borderId="37" xfId="0" applyFont="1" applyBorder="1" applyAlignment="1">
      <alignment horizontal="center" vertical="center" wrapText="1"/>
    </xf>
    <xf numFmtId="0" fontId="279" fillId="0" borderId="159" xfId="0" applyFont="1" applyBorder="1" applyAlignment="1">
      <alignment horizontal="center" vertical="center" wrapText="1"/>
    </xf>
    <xf numFmtId="0" fontId="281" fillId="0" borderId="160" xfId="0" applyFont="1" applyBorder="1" applyAlignment="1">
      <alignment horizontal="center" vertical="center" wrapText="1"/>
    </xf>
    <xf numFmtId="0" fontId="281" fillId="0" borderId="155" xfId="0" applyFont="1" applyBorder="1" applyAlignment="1">
      <alignment horizontal="center" vertical="center" wrapText="1"/>
    </xf>
    <xf numFmtId="0" fontId="279" fillId="0" borderId="161" xfId="0" applyFont="1" applyBorder="1" applyAlignment="1">
      <alignment horizontal="center" vertical="center" wrapText="1"/>
    </xf>
    <xf numFmtId="0" fontId="279" fillId="0" borderId="162" xfId="0" applyFont="1" applyBorder="1" applyAlignment="1">
      <alignment horizontal="center" vertical="center" wrapText="1"/>
    </xf>
    <xf numFmtId="0" fontId="279" fillId="0" borderId="163" xfId="0" applyFont="1" applyBorder="1" applyAlignment="1">
      <alignment horizontal="center" vertical="center" wrapText="1"/>
    </xf>
    <xf numFmtId="1" fontId="176" fillId="0" borderId="35" xfId="0" applyNumberFormat="1" applyFont="1" applyBorder="1" applyAlignment="1">
      <alignment horizontal="center" vertical="center" wrapText="1"/>
    </xf>
    <xf numFmtId="1" fontId="176" fillId="0" borderId="80" xfId="0" applyNumberFormat="1" applyFont="1" applyBorder="1" applyAlignment="1">
      <alignment horizontal="center" vertical="center" wrapText="1"/>
    </xf>
    <xf numFmtId="1" fontId="177" fillId="0" borderId="35" xfId="0" applyNumberFormat="1" applyFont="1" applyBorder="1" applyAlignment="1">
      <alignment horizontal="center" vertical="center" wrapText="1"/>
    </xf>
    <xf numFmtId="1" fontId="286" fillId="0" borderId="66" xfId="0" applyNumberFormat="1" applyFont="1" applyBorder="1" applyAlignment="1">
      <alignment horizontal="center" vertical="center" wrapText="1"/>
    </xf>
    <xf numFmtId="0" fontId="144" fillId="2" borderId="5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7" t="str">
        <f>IF(B10="北京市","北京市",C10)&amp;F10&amp;B16&amp;"国有建设用地使用权"&amp;B9&amp;"预评估"</f>
        <v>出让国有建设用地使用权预评估</v>
      </c>
      <c r="C1" s="3258"/>
      <c r="D1" s="3258"/>
      <c r="E1" s="3258"/>
      <c r="F1" s="3258"/>
      <c r="G1" s="3258"/>
      <c r="H1" s="3258"/>
      <c r="I1" s="3259"/>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63"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64"/>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0"/>
      <c r="C12" s="3261"/>
      <c r="D12" s="3262"/>
      <c r="E12" s="1698" t="s">
        <v>2064</v>
      </c>
      <c r="F12" s="3278" t="s">
        <v>2892</v>
      </c>
      <c r="G12" s="3279"/>
      <c r="H12" s="3279"/>
      <c r="I12" s="3280"/>
      <c r="J12" s="1693"/>
      <c r="K12" s="1773"/>
      <c r="L12" s="1722"/>
      <c r="M12" s="1722"/>
      <c r="N12" s="1693"/>
      <c r="O12" s="1694"/>
      <c r="P12" s="1693"/>
      <c r="Q12" s="1693"/>
      <c r="R12" s="1693"/>
      <c r="S12" s="1693"/>
      <c r="T12" s="1693"/>
      <c r="U12" s="1693"/>
    </row>
    <row r="13" spans="1:21">
      <c r="A13" s="1686" t="s">
        <v>2062</v>
      </c>
      <c r="B13" s="3260"/>
      <c r="C13" s="3261"/>
      <c r="D13" s="3262"/>
      <c r="E13" s="1698" t="s">
        <v>2064</v>
      </c>
      <c r="F13" s="3278" t="s">
        <v>2893</v>
      </c>
      <c r="G13" s="3279"/>
      <c r="H13" s="3279"/>
      <c r="I13" s="3280"/>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3059</v>
      </c>
      <c r="C16" s="1698" t="s">
        <v>1951</v>
      </c>
      <c r="D16" s="2646" t="s">
        <v>1952</v>
      </c>
      <c r="E16" s="1721"/>
      <c r="F16" s="1721" t="s">
        <v>3014</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5"/>
      <c r="E20" s="3276"/>
      <c r="F20" s="3276"/>
      <c r="G20" s="3276"/>
      <c r="H20" s="3276"/>
      <c r="I20" s="3277"/>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65" t="s">
        <v>2001</v>
      </c>
      <c r="F21" s="3266"/>
      <c r="G21" s="3266"/>
      <c r="H21" s="3266"/>
      <c r="I21" s="3267"/>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65" t="s">
        <v>2894</v>
      </c>
      <c r="F22" s="3266"/>
      <c r="G22" s="3266"/>
      <c r="H22" s="3266"/>
      <c r="I22" s="3267"/>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68" t="s">
        <v>1969</v>
      </c>
      <c r="C24" s="3269"/>
      <c r="D24" s="3270" t="s">
        <v>1970</v>
      </c>
      <c r="E24" s="3271"/>
      <c r="F24" s="1707" t="s">
        <v>1971</v>
      </c>
      <c r="G24" s="1693"/>
      <c r="H24" s="1693"/>
      <c r="I24" s="1706"/>
      <c r="J24" s="1693"/>
      <c r="K24" s="3256"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6"/>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6"/>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83" t="s">
        <v>2004</v>
      </c>
      <c r="B31" s="1763" t="s">
        <v>2005</v>
      </c>
      <c r="C31" s="3281"/>
      <c r="D31" s="3282"/>
      <c r="E31" s="1693"/>
      <c r="F31" s="1693"/>
      <c r="G31" s="1693"/>
      <c r="H31" s="1693"/>
      <c r="I31" s="1706"/>
      <c r="J31" s="1693"/>
      <c r="K31" s="2458"/>
      <c r="L31" s="1693"/>
      <c r="M31" s="1693"/>
      <c r="N31" s="1693"/>
      <c r="O31" s="1693"/>
      <c r="P31" s="1693"/>
      <c r="Q31" s="1693"/>
      <c r="R31" s="1693"/>
      <c r="S31" s="1693"/>
      <c r="T31" s="1693"/>
      <c r="U31" s="1693"/>
    </row>
    <row r="32" spans="1:21">
      <c r="A32" s="3283"/>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83"/>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84"/>
      <c r="B34" s="1660" t="s">
        <v>2008</v>
      </c>
      <c r="C34" s="3285"/>
      <c r="D34" s="3286"/>
      <c r="E34" s="1693"/>
      <c r="F34" s="1693"/>
      <c r="G34" s="1693"/>
      <c r="H34" s="1693"/>
      <c r="I34" s="1706"/>
      <c r="J34" s="1693"/>
      <c r="K34" s="2458"/>
      <c r="L34" s="1693"/>
      <c r="M34" s="1693"/>
      <c r="N34" s="1693"/>
      <c r="O34" s="1693"/>
      <c r="P34" s="1693"/>
      <c r="Q34" s="1693"/>
      <c r="R34" s="1693"/>
      <c r="S34" s="1693"/>
      <c r="T34" s="1693"/>
      <c r="U34" s="1693"/>
    </row>
    <row r="35" spans="1:21">
      <c r="A35" s="3287" t="s">
        <v>847</v>
      </c>
      <c r="B35" s="1721"/>
      <c r="C35" s="1775" t="str">
        <f>IF(B35="场地平整","——","具体情况：")</f>
        <v>具体情况：</v>
      </c>
      <c r="D35" s="3289"/>
      <c r="E35" s="3290"/>
      <c r="F35" s="3290"/>
      <c r="G35" s="3290"/>
      <c r="H35" s="3290"/>
      <c r="I35" s="3291"/>
      <c r="J35" s="1693"/>
      <c r="K35" s="1774"/>
      <c r="L35" s="1722"/>
      <c r="M35" s="1722"/>
      <c r="N35" s="1693"/>
      <c r="O35" s="1694"/>
      <c r="P35" s="1693"/>
      <c r="Q35" s="1693"/>
      <c r="R35" s="1693"/>
      <c r="S35" s="1693"/>
      <c r="T35" s="1693"/>
      <c r="U35" s="1693"/>
    </row>
    <row r="36" spans="1:21">
      <c r="A36" s="3283"/>
      <c r="B36" s="3292" t="s">
        <v>2057</v>
      </c>
      <c r="C36" s="3293"/>
      <c r="D36" s="1791"/>
      <c r="E36" s="3294"/>
      <c r="F36" s="3294"/>
      <c r="G36" s="1686" t="str">
        <f>IF(B35="场地未平整","估价结果处理","")</f>
        <v/>
      </c>
      <c r="H36" s="3295"/>
      <c r="I36" s="3295"/>
      <c r="J36" s="1693"/>
      <c r="K36" s="1774"/>
      <c r="L36" s="1722"/>
      <c r="M36" s="1722"/>
      <c r="N36" s="1693"/>
      <c r="O36" s="1694"/>
      <c r="P36" s="1693"/>
      <c r="Q36" s="1693"/>
      <c r="R36" s="1693"/>
      <c r="S36" s="1693"/>
      <c r="T36" s="1693"/>
      <c r="U36" s="1693"/>
    </row>
    <row r="37" spans="1:21" ht="28.5">
      <c r="A37" s="3283"/>
      <c r="B37" s="327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83"/>
      <c r="B38" s="3273"/>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84"/>
      <c r="B39" s="327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5" t="s">
        <v>1988</v>
      </c>
      <c r="T40" s="1730" t="str">
        <f>NUMBERSTRING(7-K40,1)&amp;"通"</f>
        <v>七通</v>
      </c>
      <c r="U40" s="1693"/>
    </row>
    <row r="41" spans="1:21">
      <c r="A41" s="1662"/>
      <c r="B41" s="3288" t="s">
        <v>1722</v>
      </c>
      <c r="C41" s="3288"/>
      <c r="D41" s="3288"/>
      <c r="E41" s="328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3017</v>
      </c>
      <c r="J9" s="51"/>
      <c r="K9" s="3019" t="s">
        <v>3019</v>
      </c>
      <c r="L9" s="51"/>
      <c r="M9" s="3019" t="s">
        <v>3019</v>
      </c>
      <c r="N9" s="51"/>
      <c r="O9" s="59" t="s">
        <v>3017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3020</v>
      </c>
      <c r="L10" s="51"/>
      <c r="M10" s="3021" t="s">
        <v>3024</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3018</v>
      </c>
      <c r="J11" s="71"/>
      <c r="K11" s="3020" t="s">
        <v>3021</v>
      </c>
      <c r="L11" s="71"/>
      <c r="M11" s="70" t="s">
        <v>3024</v>
      </c>
      <c r="N11" s="71"/>
      <c r="O11" s="70" t="s">
        <v>3068</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3016</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3022</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3023</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3067</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7" t="s">
        <v>203</v>
      </c>
      <c r="B2" s="3307"/>
      <c r="C2" s="3307"/>
      <c r="D2" s="1975" t="s">
        <v>204</v>
      </c>
      <c r="E2" s="106" t="s">
        <v>205</v>
      </c>
      <c r="F2" s="1984"/>
      <c r="G2" s="1198"/>
      <c r="H2" s="1199"/>
      <c r="I2" s="1200" t="s">
        <v>857</v>
      </c>
      <c r="J2" s="1984"/>
      <c r="K2" s="1984"/>
      <c r="L2" s="1984"/>
    </row>
    <row r="3" spans="1:16" ht="15.75" thickBot="1">
      <c r="A3" s="3308" t="s">
        <v>206</v>
      </c>
      <c r="B3" s="3308"/>
      <c r="C3" s="3308"/>
      <c r="D3" s="107">
        <f>'数据-基础表'!AY6</f>
        <v>2245</v>
      </c>
      <c r="E3" s="107">
        <f>'数据-基础表'!AZ5</f>
        <v>27719.55</v>
      </c>
      <c r="F3" s="1984"/>
      <c r="G3" s="280" t="s">
        <v>858</v>
      </c>
      <c r="H3" s="275" t="s">
        <v>859</v>
      </c>
      <c r="I3" s="1976">
        <f>ROUND('数据-基础表'!B3/'数据-基础表'!A3,2)</f>
        <v>12.35</v>
      </c>
      <c r="J3" s="1984"/>
      <c r="K3" s="1984"/>
      <c r="L3" s="1984"/>
    </row>
    <row r="4" spans="1:16" ht="15">
      <c r="A4" s="3309"/>
      <c r="B4" s="3310"/>
      <c r="C4" s="3311"/>
      <c r="D4" s="108" t="s">
        <v>204</v>
      </c>
      <c r="E4" s="109" t="s">
        <v>205</v>
      </c>
      <c r="F4" s="1984"/>
      <c r="G4" s="1201"/>
      <c r="H4" s="275" t="s">
        <v>860</v>
      </c>
      <c r="I4" s="1976">
        <f>ROUND(SUMIF('数据-基础表'!I9:AS9,"地上",'数据-基础表'!I5:AS5)/'数据-基础表'!A3,2)</f>
        <v>8.91</v>
      </c>
      <c r="J4" s="1984"/>
      <c r="K4" s="1984"/>
      <c r="L4" s="1984"/>
    </row>
    <row r="5" spans="1:16">
      <c r="A5" s="110" t="s">
        <v>207</v>
      </c>
      <c r="B5" s="3312" t="s">
        <v>230</v>
      </c>
      <c r="C5" s="3312"/>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12" t="s">
        <v>208</v>
      </c>
      <c r="C6" s="3312"/>
      <c r="D6" s="111">
        <f>ROUND($D$3*E6/$E$3,2)</f>
        <v>1435.1</v>
      </c>
      <c r="E6" s="112">
        <f>E3-E5</f>
        <v>17719.55</v>
      </c>
      <c r="F6" s="1984"/>
      <c r="G6" s="1201"/>
      <c r="H6" s="275" t="s">
        <v>860</v>
      </c>
      <c r="I6" s="1976">
        <f>ROUND(F31/D31,2)</f>
        <v>8.91</v>
      </c>
      <c r="J6" s="1984"/>
      <c r="K6" s="1984"/>
      <c r="L6" s="1984"/>
    </row>
    <row r="7" spans="1:16" ht="15">
      <c r="A7" s="3304"/>
      <c r="B7" s="3305"/>
      <c r="C7" s="3306"/>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298" t="s">
        <v>2569</v>
      </c>
      <c r="L16" s="3299"/>
      <c r="M16" s="3299"/>
      <c r="N16" s="3299"/>
      <c r="O16" s="3299"/>
      <c r="P16" s="3300"/>
    </row>
    <row r="17" spans="1:19" ht="15">
      <c r="A17" s="121" t="s">
        <v>216</v>
      </c>
      <c r="B17" s="122" t="s">
        <v>217</v>
      </c>
      <c r="C17" s="2298" t="s">
        <v>2316</v>
      </c>
      <c r="D17" s="108" t="s">
        <v>204</v>
      </c>
      <c r="E17" s="124" t="s">
        <v>205</v>
      </c>
      <c r="F17" s="125"/>
      <c r="G17" s="1365"/>
      <c r="H17" s="970" t="s">
        <v>218</v>
      </c>
      <c r="I17" s="971" t="s">
        <v>2315</v>
      </c>
      <c r="J17" s="1984"/>
      <c r="K17" s="3301" t="s">
        <v>2570</v>
      </c>
      <c r="L17" s="3302"/>
      <c r="M17" s="3303"/>
      <c r="N17" s="3301" t="s">
        <v>2571</v>
      </c>
      <c r="O17" s="3302"/>
      <c r="P17" s="3303"/>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3025</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3026</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3027</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213" t="s">
        <v>3069</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9"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1800</v>
      </c>
      <c r="M6" s="177">
        <f t="shared" ref="M6:M14" si="0">ROUND(K6*L6/10000,0)</f>
        <v>1800</v>
      </c>
      <c r="N6" s="3028">
        <v>1</v>
      </c>
      <c r="O6" s="177">
        <f>IF($N$5="成新度","——",ROUND(M6*N6,0))</f>
        <v>1800</v>
      </c>
      <c r="P6" s="178">
        <f>IF($N$5="成新度","——",M6-O6)</f>
        <v>0</v>
      </c>
      <c r="Q6" s="3029">
        <v>0.15</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3020</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3024</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v>0.25</v>
      </c>
      <c r="R9" s="179">
        <f>SUMIF('数据-汇总表'!C$19:C$33,A9,'数据-汇总表'!R$19:R$33)</f>
        <v>809.9</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2272</v>
      </c>
      <c r="M16" s="206">
        <f>SUM(M6:M14)</f>
        <v>6298</v>
      </c>
      <c r="N16" s="207">
        <f>ROUND(SUMPRODUCT(M6:M14,N6:N14)/M16,3)</f>
        <v>1</v>
      </c>
      <c r="O16" s="206">
        <f>SUM(O6:O14)</f>
        <v>6298</v>
      </c>
      <c r="P16" s="206">
        <f>SUM(P6:P14)</f>
        <v>0</v>
      </c>
      <c r="Q16" s="208">
        <f>ROUND(SUMPRODUCT(Q6:Q13,K6:K13)/SUMPRODUCT((Q6:Q13&gt;0)*(K6:K13)),2)</f>
        <v>0.18</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3" t="s">
        <v>1664</v>
      </c>
      <c r="B1" s="3314"/>
      <c r="C1" s="3314"/>
      <c r="D1" s="3314"/>
      <c r="E1" s="3314"/>
      <c r="F1" s="3314"/>
      <c r="G1" s="331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f>SUM(D14:D23)</f>
        <v>0</v>
      </c>
      <c r="C5" s="3046">
        <f>ROUND(B5*10000/$B$1,0)</f>
        <v>0</v>
      </c>
      <c r="D5" s="3046">
        <f>ROUND(B5*10000/$B$2,0)</f>
        <v>0</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f>结果一览表!F18</f>
        <v>0</v>
      </c>
      <c r="E14" s="3050">
        <f>ROUND(D14*10000/B14,0)</f>
        <v>0</v>
      </c>
      <c r="F14" s="3050">
        <f>ROUND(D14*10000/C14,0)</f>
        <v>0</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71" t="s">
        <v>298</v>
      </c>
      <c r="B3" s="3372"/>
      <c r="C3" s="3372"/>
      <c r="D3" s="3372"/>
      <c r="E3" s="3372"/>
      <c r="F3" s="3372"/>
      <c r="G3" s="3372"/>
      <c r="H3" s="3372"/>
      <c r="I3" s="3372"/>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35" t="s">
        <v>301</v>
      </c>
      <c r="F4" s="3377"/>
      <c r="G4" s="3377"/>
      <c r="H4" s="3377"/>
      <c r="I4" s="3336"/>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4" t="s">
        <v>302</v>
      </c>
      <c r="B5" s="3365">
        <v>25</v>
      </c>
      <c r="C5" s="3373"/>
      <c r="D5" s="3376"/>
      <c r="E5" s="261" t="s">
        <v>303</v>
      </c>
      <c r="F5" s="262"/>
      <c r="G5" s="262"/>
      <c r="H5" s="262"/>
      <c r="I5" s="263"/>
      <c r="J5" s="2030"/>
      <c r="K5" s="2029"/>
      <c r="L5" s="2029"/>
      <c r="M5" s="2029"/>
      <c r="N5" s="2029"/>
      <c r="O5" s="2029"/>
      <c r="P5" s="2029"/>
      <c r="Q5" s="2029"/>
      <c r="R5" s="2029"/>
      <c r="S5" s="2029"/>
      <c r="T5" s="2029"/>
      <c r="U5" s="2029"/>
      <c r="V5" s="2029"/>
    </row>
    <row r="6" spans="1:22" ht="14.25">
      <c r="A6" s="3364"/>
      <c r="B6" s="3365"/>
      <c r="C6" s="3374"/>
      <c r="D6" s="3376"/>
      <c r="E6" s="261" t="s">
        <v>304</v>
      </c>
      <c r="F6" s="262"/>
      <c r="G6" s="262"/>
      <c r="H6" s="262"/>
      <c r="I6" s="263"/>
      <c r="J6" s="2030"/>
      <c r="K6" s="2029"/>
      <c r="L6" s="2029"/>
      <c r="M6" s="2029"/>
      <c r="N6" s="2029"/>
      <c r="O6" s="2029"/>
      <c r="P6" s="2029"/>
      <c r="Q6" s="2029"/>
      <c r="R6" s="2029"/>
      <c r="S6" s="2029"/>
      <c r="T6" s="2029"/>
      <c r="U6" s="2029"/>
      <c r="V6" s="2029"/>
    </row>
    <row r="7" spans="1:22" ht="14.25">
      <c r="A7" s="3364"/>
      <c r="B7" s="3365"/>
      <c r="C7" s="3375"/>
      <c r="D7" s="3376"/>
      <c r="E7" s="261" t="s">
        <v>305</v>
      </c>
      <c r="F7" s="262"/>
      <c r="G7" s="262"/>
      <c r="H7" s="262"/>
      <c r="I7" s="263"/>
      <c r="J7" s="2030"/>
      <c r="K7" s="2029"/>
      <c r="L7" s="2029"/>
      <c r="M7" s="2029"/>
      <c r="N7" s="2029"/>
      <c r="O7" s="2029"/>
      <c r="P7" s="2029"/>
      <c r="Q7" s="2029"/>
      <c r="R7" s="2029"/>
      <c r="S7" s="2029"/>
      <c r="T7" s="2029"/>
      <c r="U7" s="2029"/>
      <c r="V7" s="2029"/>
    </row>
    <row r="8" spans="1:22" ht="14.25">
      <c r="A8" s="3364" t="s">
        <v>306</v>
      </c>
      <c r="B8" s="3365">
        <v>15</v>
      </c>
      <c r="C8" s="3373"/>
      <c r="D8" s="3376"/>
      <c r="E8" s="261" t="s">
        <v>307</v>
      </c>
      <c r="F8" s="262"/>
      <c r="G8" s="262"/>
      <c r="H8" s="262"/>
      <c r="I8" s="263"/>
      <c r="J8" s="2030"/>
      <c r="K8" s="2029"/>
      <c r="L8" s="2029"/>
      <c r="M8" s="2029"/>
      <c r="N8" s="2029"/>
      <c r="O8" s="2029"/>
      <c r="P8" s="2029"/>
      <c r="Q8" s="2029"/>
      <c r="R8" s="2029"/>
      <c r="S8" s="2029"/>
      <c r="T8" s="2029"/>
      <c r="U8" s="2029"/>
      <c r="V8" s="2029"/>
    </row>
    <row r="9" spans="1:22" ht="14.25">
      <c r="A9" s="3364"/>
      <c r="B9" s="3365"/>
      <c r="C9" s="3375"/>
      <c r="D9" s="3376"/>
      <c r="E9" s="261" t="s">
        <v>308</v>
      </c>
      <c r="F9" s="262"/>
      <c r="G9" s="262"/>
      <c r="H9" s="262"/>
      <c r="I9" s="263"/>
      <c r="J9" s="2030"/>
      <c r="K9" s="2029"/>
      <c r="L9" s="2029"/>
      <c r="M9" s="2029"/>
      <c r="N9" s="2029"/>
      <c r="O9" s="2029"/>
      <c r="P9" s="2029"/>
      <c r="Q9" s="2029"/>
      <c r="R9" s="2029"/>
      <c r="S9" s="2029"/>
      <c r="T9" s="2029"/>
      <c r="U9" s="2029"/>
      <c r="V9" s="2029"/>
    </row>
    <row r="10" spans="1:22" ht="14.25">
      <c r="A10" s="3364" t="s">
        <v>309</v>
      </c>
      <c r="B10" s="3365">
        <v>15</v>
      </c>
      <c r="C10" s="3373"/>
      <c r="D10" s="3376"/>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4"/>
      <c r="B11" s="3365"/>
      <c r="C11" s="3375"/>
      <c r="D11" s="3376"/>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4" t="s">
        <v>312</v>
      </c>
      <c r="B12" s="3365">
        <v>15</v>
      </c>
      <c r="C12" s="3373"/>
      <c r="D12" s="3376"/>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4"/>
      <c r="B13" s="3365"/>
      <c r="C13" s="3375"/>
      <c r="D13" s="3376"/>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4" t="s">
        <v>315</v>
      </c>
      <c r="B14" s="3365">
        <v>30</v>
      </c>
      <c r="C14" s="3373"/>
      <c r="D14" s="3376"/>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4"/>
      <c r="B15" s="3365"/>
      <c r="C15" s="3374"/>
      <c r="D15" s="3376"/>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4"/>
      <c r="B16" s="3365"/>
      <c r="C16" s="3375"/>
      <c r="D16" s="337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3384</v>
      </c>
      <c r="D19" s="271">
        <f ca="1">SUMIF(INDIRECT("'"&amp;D4&amp;"'"&amp;"!A:A"),结果表!B19,INDIRECT("'"&amp;D4&amp;"'"&amp;"!B:B"))</f>
        <v>-7530.5431392784794</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3384</v>
      </c>
      <c r="D20" s="277">
        <f ca="1">SUMIF(INDIRECT("'"&amp;D4&amp;"'"&amp;"!A:A"),结果表!B20,INDIRECT("'"&amp;D4&amp;"'"&amp;"!B:B"))</f>
        <v>-2717</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41783</v>
      </c>
      <c r="D21" s="151">
        <f ca="1">SUMIF(INDIRECT("'"&amp;D4&amp;"'"&amp;"!A:A"),结果表!B21,INDIRECT("'"&amp;D4&amp;"'"&amp;"!B:B"))</f>
        <v>-33544</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-1.4493699773591935</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9"/>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3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3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39"/>
      <c r="F35" s="301" t="s">
        <v>342</v>
      </c>
      <c r="G35" s="982"/>
      <c r="H35" s="981" t="s">
        <v>343</v>
      </c>
      <c r="I35" s="311"/>
      <c r="J35" s="2029"/>
      <c r="K35" s="3343" t="s">
        <v>350</v>
      </c>
      <c r="L35" s="3343" t="s">
        <v>351</v>
      </c>
      <c r="M35" s="1264" t="s">
        <v>352</v>
      </c>
      <c r="N35" s="3343" t="s">
        <v>353</v>
      </c>
      <c r="O35" s="3343" t="s">
        <v>354</v>
      </c>
      <c r="P35" s="2029"/>
      <c r="V35" s="2029"/>
    </row>
    <row r="36" spans="1:26" ht="16.5" customHeight="1">
      <c r="A36" s="303" t="s">
        <v>344</v>
      </c>
      <c r="B36" s="304" t="s">
        <v>333</v>
      </c>
      <c r="C36" s="305" t="s">
        <v>345</v>
      </c>
      <c r="D36" s="305" t="s">
        <v>346</v>
      </c>
      <c r="E36" s="306" t="s">
        <v>347</v>
      </c>
      <c r="F36" s="311"/>
      <c r="G36" s="311"/>
      <c r="H36" s="311"/>
      <c r="I36" s="311"/>
      <c r="J36" s="2031"/>
      <c r="K36" s="3344"/>
      <c r="L36" s="3344"/>
      <c r="M36" s="1266" t="s">
        <v>355</v>
      </c>
      <c r="N36" s="3344"/>
      <c r="O36" s="3344"/>
      <c r="P36" s="2029"/>
      <c r="V36" s="2029"/>
    </row>
    <row r="37" spans="1:26" ht="16.5" customHeight="1" thickBot="1">
      <c r="A37" s="1260" t="s">
        <v>348</v>
      </c>
      <c r="B37" s="307"/>
      <c r="C37" s="294"/>
      <c r="D37" s="294"/>
      <c r="E37" s="295"/>
      <c r="F37" s="311"/>
      <c r="G37" s="311"/>
      <c r="H37" s="311"/>
      <c r="I37" s="311"/>
      <c r="J37" s="2031"/>
      <c r="K37" s="3345"/>
      <c r="L37" s="3345"/>
      <c r="M37" s="1267"/>
      <c r="N37" s="3345"/>
      <c r="O37" s="3345"/>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20" t="str">
        <f>MID(A44,3,LEN(A44)-2)</f>
        <v/>
      </c>
      <c r="L39" s="3321"/>
      <c r="M39" s="3321"/>
      <c r="N39" s="3322"/>
      <c r="O39" s="1392" t="str">
        <f>C44</f>
        <v>——</v>
      </c>
      <c r="P39" s="2029"/>
      <c r="V39" s="2029"/>
    </row>
    <row r="40" spans="1:26" ht="19.5" thickBot="1">
      <c r="A40" s="104" t="s">
        <v>873</v>
      </c>
      <c r="B40" s="311"/>
      <c r="C40" s="311"/>
      <c r="D40" s="311"/>
      <c r="E40" s="311"/>
      <c r="F40" s="311"/>
      <c r="G40" s="311"/>
      <c r="H40" s="311"/>
      <c r="I40" s="311"/>
      <c r="J40" s="2031"/>
      <c r="K40" s="3320" t="str">
        <f t="shared" ref="K40:K41" si="0">MID(A45,3,LEN(A45)-2)</f>
        <v/>
      </c>
      <c r="L40" s="3321"/>
      <c r="M40" s="3321"/>
      <c r="N40" s="332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0" t="str">
        <f t="shared" si="0"/>
        <v/>
      </c>
      <c r="L41" s="3321"/>
      <c r="M41" s="3321"/>
      <c r="N41" s="3322"/>
      <c r="O41" s="1392" t="str">
        <f>C46</f>
        <v>——</v>
      </c>
      <c r="P41" s="2029"/>
      <c r="V41" s="2029"/>
    </row>
    <row r="42" spans="1:26" ht="29.25">
      <c r="A42" s="3380" t="s">
        <v>2070</v>
      </c>
      <c r="B42" s="3381"/>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90" t="s">
        <v>2733</v>
      </c>
      <c r="B43" s="3391"/>
      <c r="C43" s="264">
        <f>IF(H33="正常操作",G33+G34+G35,G34+G35)</f>
        <v>0</v>
      </c>
      <c r="D43" s="317" t="s">
        <v>43</v>
      </c>
      <c r="E43" s="317" t="s">
        <v>44</v>
      </c>
      <c r="F43" s="318" t="s">
        <v>44</v>
      </c>
      <c r="G43" s="2867" t="s">
        <v>952</v>
      </c>
      <c r="H43" s="311"/>
      <c r="I43" s="319"/>
      <c r="J43" s="2031"/>
      <c r="K43" s="1273" t="str">
        <f>C4</f>
        <v>剩余法-待开发</v>
      </c>
      <c r="L43" s="1274">
        <f ca="1">IF(L42="估价结果/万元",C19,C20)</f>
        <v>3384</v>
      </c>
      <c r="M43" s="1275" t="e">
        <f>C18</f>
        <v>#DIV/0!</v>
      </c>
      <c r="N43" s="1276" t="e">
        <f ca="1">IF(N42="测算结果/万元",G19,G20)</f>
        <v>#DIV/0!</v>
      </c>
      <c r="O43" s="1277" t="e">
        <f ca="1">IF(O42="最终结果/万元",C32,C33)</f>
        <v>#DIV/0!</v>
      </c>
      <c r="P43" s="2029"/>
      <c r="V43" s="2029"/>
    </row>
    <row r="44" spans="1:26" ht="30.75" thickBot="1">
      <c r="A44" s="3380" t="str">
        <f>IF(OR(项目基本情况!E8="抵押价格",项目基本情况!E8="已注销及未注销"),"3.抵押价格","——")</f>
        <v>——</v>
      </c>
      <c r="B44" s="3381"/>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-7530.5431392784794</v>
      </c>
      <c r="M44" s="1280" t="e">
        <f>D18</f>
        <v>#DIV/0!</v>
      </c>
      <c r="N44" s="1281"/>
      <c r="O44" s="1282"/>
      <c r="P44" s="2029"/>
      <c r="V44" s="2029"/>
    </row>
    <row r="45" spans="1:26" ht="15">
      <c r="A45" s="3385" t="str">
        <f>IF(项目基本情况!E8="已注销及未注销","4.抵押担保权已注销时的抵押价格",IF(项目基本情况!E8="已注销","3.抵押担保权已注销时的抵押价格","——"))</f>
        <v>——</v>
      </c>
      <c r="B45" s="338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8" t="s">
        <v>374</v>
      </c>
      <c r="B63" s="3349"/>
      <c r="C63" s="3350"/>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7" t="s">
        <v>378</v>
      </c>
      <c r="B64" s="3388"/>
      <c r="C64" s="3388"/>
      <c r="D64" s="3388"/>
      <c r="E64" s="3388"/>
      <c r="F64" s="3388"/>
      <c r="G64" s="3389"/>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84" t="s">
        <v>386</v>
      </c>
      <c r="B66" s="3355"/>
      <c r="C66" s="3355"/>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24" t="s">
        <v>385</v>
      </c>
      <c r="M66" s="3325"/>
      <c r="N66" s="2459"/>
      <c r="O66" s="2460"/>
      <c r="P66" s="2461"/>
      <c r="Q66" s="2029"/>
      <c r="R66" s="2029"/>
      <c r="S66" s="2029"/>
      <c r="T66" s="2029"/>
      <c r="U66" s="2029"/>
      <c r="V66" s="2029"/>
    </row>
    <row r="67" spans="1:22" ht="25.5" customHeight="1">
      <c r="A67" s="352" t="s">
        <v>390</v>
      </c>
      <c r="B67" s="3367" t="s">
        <v>391</v>
      </c>
      <c r="C67" s="3367"/>
      <c r="D67" s="353">
        <v>0</v>
      </c>
      <c r="E67" s="41" t="s">
        <v>392</v>
      </c>
      <c r="F67" s="62" t="s">
        <v>21</v>
      </c>
      <c r="G67" s="3351"/>
      <c r="H67" s="311"/>
      <c r="I67" s="1292"/>
      <c r="J67" s="2036"/>
      <c r="K67" s="1977">
        <v>2</v>
      </c>
      <c r="L67" s="3323" t="s">
        <v>389</v>
      </c>
      <c r="M67" s="3323"/>
      <c r="N67" s="1325">
        <f>'数据-取费表'!B2</f>
        <v>43273</v>
      </c>
      <c r="O67" s="1325"/>
      <c r="P67" s="1325"/>
      <c r="Q67" s="2029"/>
      <c r="R67" s="2029"/>
      <c r="S67" s="2029"/>
      <c r="T67" s="2029"/>
      <c r="U67" s="2029"/>
      <c r="V67" s="2029"/>
    </row>
    <row r="68" spans="1:22" ht="25.5" customHeight="1">
      <c r="A68" s="354"/>
      <c r="B68" s="3367" t="s">
        <v>394</v>
      </c>
      <c r="C68" s="3367"/>
      <c r="D68" s="355"/>
      <c r="E68" s="77"/>
      <c r="F68" s="356"/>
      <c r="G68" s="3352"/>
      <c r="H68" s="311"/>
      <c r="I68" s="1292"/>
      <c r="J68" s="2036"/>
      <c r="K68" s="1977">
        <v>3</v>
      </c>
      <c r="L68" s="3323" t="s">
        <v>393</v>
      </c>
      <c r="M68" s="3323"/>
      <c r="N68" s="1293" t="e">
        <f ca="1">C42</f>
        <v>#DIV/0!</v>
      </c>
      <c r="O68" s="1293"/>
      <c r="P68" s="1293"/>
      <c r="Q68" s="2029"/>
      <c r="R68" s="2029"/>
      <c r="S68" s="2029"/>
      <c r="T68" s="2029"/>
      <c r="U68" s="2029"/>
      <c r="V68" s="2029"/>
    </row>
    <row r="69" spans="1:22" ht="12" customHeight="1">
      <c r="A69" s="357"/>
      <c r="B69" s="3367" t="s">
        <v>395</v>
      </c>
      <c r="C69" s="3367"/>
      <c r="D69" s="358"/>
      <c r="E69" s="73"/>
      <c r="F69" s="356"/>
      <c r="G69" s="3353"/>
      <c r="H69" s="311"/>
      <c r="I69" s="1292"/>
      <c r="J69" s="2036"/>
      <c r="K69" s="1294">
        <v>4</v>
      </c>
      <c r="L69" s="3329" t="s">
        <v>2885</v>
      </c>
      <c r="M69" s="3330"/>
      <c r="N69" s="1295" t="str">
        <f>C44</f>
        <v>——</v>
      </c>
      <c r="O69" s="1295"/>
      <c r="P69" s="1295"/>
      <c r="Q69" s="2029"/>
      <c r="R69" s="2029"/>
      <c r="S69" s="2029"/>
      <c r="T69" s="2029"/>
      <c r="U69" s="2029"/>
      <c r="V69" s="2029"/>
    </row>
    <row r="70" spans="1:22" ht="24" customHeight="1">
      <c r="A70" s="359" t="s">
        <v>396</v>
      </c>
      <c r="B70" s="3367" t="s">
        <v>397</v>
      </c>
      <c r="C70" s="3367"/>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66" t="s">
        <v>405</v>
      </c>
      <c r="C71" s="3378"/>
      <c r="D71" s="358" t="e">
        <f ca="1">ROUND(D63*'数据-取费表'!B41/(1+'数据-取费表'!C42),0)</f>
        <v>#DIV/0!</v>
      </c>
      <c r="E71" s="17" t="s">
        <v>398</v>
      </c>
      <c r="F71" s="360">
        <f>'数据-取费表'!B41</f>
        <v>5.6000000000000001E-2</v>
      </c>
      <c r="G71" s="361"/>
      <c r="H71" s="311"/>
      <c r="I71" s="1292"/>
      <c r="J71" s="2036"/>
      <c r="K71" s="3062" t="s">
        <v>399</v>
      </c>
      <c r="L71" s="3331" t="s">
        <v>400</v>
      </c>
      <c r="M71" s="3331"/>
      <c r="N71" s="3062" t="s">
        <v>401</v>
      </c>
      <c r="O71" s="3062" t="s">
        <v>402</v>
      </c>
      <c r="P71" s="3062" t="s">
        <v>403</v>
      </c>
      <c r="Q71" s="2029"/>
      <c r="R71" s="2029"/>
      <c r="S71" s="2029"/>
      <c r="T71" s="2029"/>
      <c r="U71" s="2029"/>
      <c r="V71" s="2029"/>
    </row>
    <row r="72" spans="1:22" ht="12" customHeight="1">
      <c r="A72" s="359" t="s">
        <v>407</v>
      </c>
      <c r="B72" s="3366" t="s">
        <v>408</v>
      </c>
      <c r="C72" s="3378"/>
      <c r="D72" s="358" t="e">
        <f ca="1">C86</f>
        <v>#DIV/0!</v>
      </c>
      <c r="E72" s="73" t="s">
        <v>409</v>
      </c>
      <c r="F72" s="360">
        <f>'数据-取费表'!B41</f>
        <v>5.6000000000000001E-2</v>
      </c>
      <c r="G72" s="361"/>
      <c r="H72" s="1298"/>
      <c r="I72" s="1292"/>
      <c r="J72" s="2036"/>
      <c r="K72" s="1977">
        <v>1</v>
      </c>
      <c r="L72" s="3328" t="s">
        <v>406</v>
      </c>
      <c r="M72" s="3328"/>
      <c r="N72" s="1296" t="e">
        <f ca="1">D66</f>
        <v>#DIV/0!</v>
      </c>
      <c r="O72" s="1860" t="str">
        <f>E66</f>
        <v>销售额×税（费）率</v>
      </c>
      <c r="P72" s="1297">
        <f>F66</f>
        <v>5.6000000000000001E-2</v>
      </c>
      <c r="Q72" s="2029"/>
      <c r="R72" s="2029"/>
      <c r="S72" s="2029"/>
      <c r="T72" s="2029"/>
      <c r="U72" s="2029"/>
      <c r="V72" s="2029"/>
    </row>
    <row r="73" spans="1:22" ht="24" customHeight="1">
      <c r="A73" s="3354" t="s">
        <v>411</v>
      </c>
      <c r="B73" s="3355"/>
      <c r="C73" s="3355"/>
      <c r="D73" s="362">
        <f>IF(H73="个人住宅",0,ROUND(D63*I73,0))</f>
        <v>0</v>
      </c>
      <c r="E73" s="17" t="s">
        <v>412</v>
      </c>
      <c r="F73" s="360" t="str">
        <f>IF(H73="正常",I73,"免征")</f>
        <v>免征</v>
      </c>
      <c r="G73" s="361"/>
      <c r="H73" s="191" t="s">
        <v>2458</v>
      </c>
      <c r="I73" s="360">
        <f>'数据-取费表'!B49</f>
        <v>5.0000000000000001E-4</v>
      </c>
      <c r="J73" s="2036"/>
      <c r="K73" s="1977">
        <v>2</v>
      </c>
      <c r="L73" s="3328" t="s">
        <v>410</v>
      </c>
      <c r="M73" s="3328"/>
      <c r="N73" s="1296">
        <f t="shared" ref="N73:P74" si="1">D73</f>
        <v>0</v>
      </c>
      <c r="O73" s="1860" t="str">
        <f t="shared" si="1"/>
        <v>销售额×税（费）率</v>
      </c>
      <c r="P73" s="1297" t="str">
        <f t="shared" si="1"/>
        <v>免征</v>
      </c>
      <c r="Q73" s="2029"/>
      <c r="R73" s="2029"/>
      <c r="S73" s="2029"/>
      <c r="T73" s="2029"/>
      <c r="U73" s="2029"/>
      <c r="V73" s="2029"/>
    </row>
    <row r="74" spans="1:22" ht="24.75">
      <c r="A74" s="3354" t="s">
        <v>415</v>
      </c>
      <c r="B74" s="3355"/>
      <c r="C74" s="3355"/>
      <c r="D74" s="362" t="e">
        <f ca="1">IF(H74="个人住宅",D75,D76)</f>
        <v>#DIV/0!</v>
      </c>
      <c r="E74" s="17" t="s">
        <v>416</v>
      </c>
      <c r="F74" s="360" t="str">
        <f>IF(H74="正常",F76,"免征")</f>
        <v>——</v>
      </c>
      <c r="G74" s="983" t="s">
        <v>417</v>
      </c>
      <c r="H74" s="363" t="s">
        <v>413</v>
      </c>
      <c r="I74" s="42"/>
      <c r="J74" s="2036"/>
      <c r="K74" s="1977">
        <v>3</v>
      </c>
      <c r="L74" s="3328" t="s">
        <v>414</v>
      </c>
      <c r="M74" s="3328"/>
      <c r="N74" s="1296" t="e">
        <f t="shared" ca="1" si="1"/>
        <v>#DIV/0!</v>
      </c>
      <c r="O74" s="1860" t="str">
        <f t="shared" si="1"/>
        <v>增值额×税（费）率</v>
      </c>
      <c r="P74" s="1299" t="str">
        <f t="shared" si="1"/>
        <v>——</v>
      </c>
      <c r="Q74" s="2029"/>
      <c r="R74" s="2029"/>
      <c r="S74" s="2029"/>
      <c r="T74" s="2029"/>
      <c r="U74" s="2029"/>
      <c r="V74" s="2029"/>
    </row>
    <row r="75" spans="1:22" ht="24">
      <c r="A75" s="359" t="s">
        <v>418</v>
      </c>
      <c r="B75" s="3335" t="s">
        <v>419</v>
      </c>
      <c r="C75" s="3336"/>
      <c r="D75" s="364">
        <v>0</v>
      </c>
      <c r="E75" s="41" t="s">
        <v>420</v>
      </c>
      <c r="F75" s="365"/>
      <c r="G75" s="361"/>
      <c r="H75" s="42"/>
      <c r="I75" s="42"/>
      <c r="J75" s="2036"/>
      <c r="K75" s="3055">
        <f>IF(H77="非个人房产","",4)</f>
        <v>4</v>
      </c>
      <c r="L75" s="3328" t="str">
        <f>IF(H77="非个人房产","——","个人所得税")</f>
        <v>个人所得税</v>
      </c>
      <c r="M75" s="3328"/>
      <c r="N75" s="1300" t="e">
        <f ca="1">D77</f>
        <v>#DIV/0!</v>
      </c>
      <c r="O75" s="1873" t="str">
        <f>E77</f>
        <v>销售额×税（费）率</v>
      </c>
      <c r="P75" s="1301">
        <f>F77</f>
        <v>0.01</v>
      </c>
      <c r="Q75" s="2029"/>
      <c r="R75" s="2029"/>
      <c r="S75" s="2029"/>
      <c r="T75" s="2029"/>
      <c r="U75" s="2029"/>
      <c r="V75" s="2029"/>
    </row>
    <row r="76" spans="1:22" ht="24.75">
      <c r="A76" s="359" t="s">
        <v>396</v>
      </c>
      <c r="B76" s="3335" t="s">
        <v>422</v>
      </c>
      <c r="C76" s="3377"/>
      <c r="D76" s="362" t="e">
        <f ca="1">IF(H76="转让取得",C99,C115)</f>
        <v>#DIV/0!</v>
      </c>
      <c r="E76" s="17" t="s">
        <v>423</v>
      </c>
      <c r="F76" s="53" t="s">
        <v>21</v>
      </c>
      <c r="G76" s="361"/>
      <c r="H76" s="363" t="s">
        <v>424</v>
      </c>
      <c r="I76" s="42"/>
      <c r="J76" s="2036"/>
      <c r="K76" s="3055" t="str">
        <f>IF(项目基本情况!K6="上海银行",IF(K75="",4,K75+1),"")</f>
        <v/>
      </c>
      <c r="L76" s="3316" t="str">
        <f>IF(项目基本情况!K6="上海银行","其他处置费用","")</f>
        <v/>
      </c>
      <c r="M76" s="3317"/>
      <c r="N76" s="1296" t="str">
        <f>IF(项目基本情况!K6="上海银行",N89,"")</f>
        <v/>
      </c>
      <c r="O76" s="3318" t="str">
        <f>IF(项目基本情况!K6="上海银行","包含处置中涉及的律师、诉讼、拍卖、评估等费用","")</f>
        <v/>
      </c>
      <c r="P76" s="3319"/>
      <c r="Q76" s="2029"/>
      <c r="R76" s="2029"/>
      <c r="S76" s="2029"/>
      <c r="T76" s="2029"/>
      <c r="U76" s="2029"/>
      <c r="V76" s="2029"/>
    </row>
    <row r="77" spans="1:22" ht="26.25" thickBot="1">
      <c r="A77" s="3346" t="s">
        <v>426</v>
      </c>
      <c r="B77" s="3347"/>
      <c r="C77" s="3347"/>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42">
        <f>IF(AND(K75="",K76=""),4,IF(项目基本情况!K6="上海银行",K76+1,K75+1))</f>
        <v>5</v>
      </c>
      <c r="L77" s="3328"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42"/>
      <c r="L78" s="3328"/>
      <c r="M78" s="3061" t="s">
        <v>425</v>
      </c>
      <c r="N78" s="1302"/>
      <c r="O78" s="1303" t="str">
        <f ca="1">NUMBERSTRING(INT(O77*10000),2)&amp;"元整"</f>
        <v>零元整</v>
      </c>
      <c r="P78" s="1304"/>
      <c r="Q78" s="2029"/>
      <c r="R78" s="2029"/>
      <c r="S78" s="2029"/>
      <c r="T78" s="2029"/>
      <c r="U78" s="2029"/>
      <c r="V78" s="2029"/>
    </row>
    <row r="79" spans="1:22" ht="13.5" thickBot="1">
      <c r="A79" s="3332" t="s">
        <v>427</v>
      </c>
      <c r="B79" s="3332"/>
      <c r="C79" s="3332"/>
      <c r="D79" s="3332"/>
      <c r="E79" s="3332"/>
      <c r="F79" s="42"/>
      <c r="G79" s="42"/>
      <c r="H79" s="1003"/>
      <c r="I79" s="311"/>
      <c r="J79" s="2036"/>
      <c r="K79" s="3326">
        <f>K77+1</f>
        <v>6</v>
      </c>
      <c r="L79" s="3328" t="s">
        <v>2888</v>
      </c>
      <c r="M79" s="3061" t="s">
        <v>421</v>
      </c>
      <c r="N79" s="1302"/>
      <c r="O79" s="1303" t="e">
        <f ca="1">N69-O77</f>
        <v>#VALUE!</v>
      </c>
      <c r="P79" s="1304"/>
      <c r="Q79" s="2029"/>
      <c r="R79" s="2029"/>
      <c r="S79" s="2029"/>
      <c r="T79" s="2029"/>
      <c r="U79" s="2029"/>
      <c r="V79" s="2029"/>
    </row>
    <row r="80" spans="1:22" ht="12.75">
      <c r="A80" s="3333" t="s">
        <v>428</v>
      </c>
      <c r="B80" s="3334"/>
      <c r="C80" s="994"/>
      <c r="D80" s="994" t="s">
        <v>429</v>
      </c>
      <c r="E80" s="370" t="s">
        <v>430</v>
      </c>
      <c r="F80" s="42"/>
      <c r="G80" s="42"/>
      <c r="H80" s="1003"/>
      <c r="I80" s="311"/>
      <c r="J80" s="2029"/>
      <c r="K80" s="3327"/>
      <c r="L80" s="3328"/>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40" t="s">
        <v>2889</v>
      </c>
      <c r="M81" s="3341"/>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5"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15"/>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15"/>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15"/>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5"/>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9" t="s">
        <v>437</v>
      </c>
      <c r="B88" s="3370"/>
      <c r="C88" s="3370"/>
      <c r="D88" s="3370"/>
      <c r="E88" s="3370"/>
      <c r="F88" s="3370"/>
      <c r="G88" s="3370"/>
      <c r="H88" s="3370"/>
      <c r="I88" s="1315"/>
      <c r="J88" s="2037"/>
      <c r="K88" s="3315"/>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33" t="s">
        <v>428</v>
      </c>
      <c r="B89" s="3334"/>
      <c r="C89" s="994"/>
      <c r="D89" s="994" t="s">
        <v>429</v>
      </c>
      <c r="E89" s="391" t="s">
        <v>438</v>
      </c>
      <c r="F89" s="392"/>
      <c r="G89" s="392"/>
      <c r="H89" s="393"/>
      <c r="I89" s="1316"/>
      <c r="J89" s="2039"/>
      <c r="K89" s="3315"/>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6" t="s">
        <v>447</v>
      </c>
      <c r="F94" s="3367"/>
      <c r="G94" s="3367"/>
      <c r="H94" s="336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56" t="s">
        <v>2431</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9" t="s">
        <v>454</v>
      </c>
      <c r="B101" s="3370"/>
      <c r="C101" s="3370"/>
      <c r="D101" s="3370"/>
      <c r="E101" s="3370"/>
      <c r="F101" s="3370"/>
      <c r="G101" s="3370"/>
      <c r="H101" s="337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3" t="s">
        <v>428</v>
      </c>
      <c r="B102" s="333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9" t="s">
        <v>462</v>
      </c>
      <c r="F109" s="3357"/>
      <c r="G109" s="335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56" t="s">
        <v>2431</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9" t="s">
        <v>2456</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39" sqref="D3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3384</v>
      </c>
      <c r="C2" s="2105"/>
      <c r="D2" s="2105"/>
      <c r="E2" s="2105"/>
      <c r="F2" s="2105"/>
      <c r="G2" s="2105"/>
      <c r="H2" s="2105"/>
      <c r="I2" s="2105"/>
      <c r="J2" s="2105"/>
      <c r="K2" s="2105"/>
    </row>
    <row r="3" spans="1:31" s="2042" customFormat="1" ht="18" customHeight="1">
      <c r="A3" s="2107" t="s">
        <v>1685</v>
      </c>
      <c r="B3" s="2108">
        <f ca="1">ROUND(B2*10000/IF(B1="",'数据-汇总表'!E3,INDIRECT("'数据-取费表'!K"&amp;$K$1)),0)</f>
        <v>3384</v>
      </c>
      <c r="C3" s="2105"/>
      <c r="D3" s="2105"/>
      <c r="E3" s="2105"/>
      <c r="F3" s="2105"/>
      <c r="G3" s="2105"/>
      <c r="H3" s="2105"/>
      <c r="I3" s="2105"/>
      <c r="J3" s="2105"/>
      <c r="K3" s="2105"/>
    </row>
    <row r="4" spans="1:31" s="2042" customFormat="1" ht="18" customHeight="1">
      <c r="A4" s="426" t="s">
        <v>468</v>
      </c>
      <c r="B4" s="427">
        <f ca="1">ROUND(B2*10000/IF(B1="",'数据-汇总表'!D3,INDIRECT("'数据-取费表'!R"&amp;$K$1)),0)</f>
        <v>41783</v>
      </c>
      <c r="C4" s="428"/>
      <c r="D4" s="422"/>
      <c r="E4" s="422"/>
      <c r="F4" s="422"/>
      <c r="G4" s="422"/>
      <c r="H4" s="422"/>
      <c r="I4" s="422"/>
      <c r="J4" s="422"/>
      <c r="K4" s="422"/>
    </row>
    <row r="5" spans="1:31" s="2042" customFormat="1" ht="18" customHeight="1" thickBot="1">
      <c r="A5" s="429"/>
      <c r="B5" s="430">
        <f ca="1">ROUND(B2/(IF(B1="",'数据-汇总表'!D3,INDIRECT("'数据-取费表'!R"&amp;$K$1))/666.67),0)</f>
        <v>2786</v>
      </c>
      <c r="C5" s="431" t="s">
        <v>469</v>
      </c>
      <c r="D5" s="422"/>
      <c r="E5" s="422"/>
      <c r="F5" s="422"/>
      <c r="G5" s="422"/>
      <c r="H5" s="422"/>
      <c r="I5" s="422"/>
      <c r="J5" s="422"/>
      <c r="K5" s="422"/>
    </row>
    <row r="6" spans="1:31" s="2112" customFormat="1" ht="16.5" customHeight="1">
      <c r="A6" s="2829" t="s">
        <v>1843</v>
      </c>
      <c r="B6" s="2830"/>
      <c r="C6" s="2831">
        <f>SUM(C10:K10)</f>
        <v>7784</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ROUND('不动产比较法-车位'!C38,0)</f>
        <v>7784</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1800</v>
      </c>
      <c r="D13" s="2845"/>
      <c r="E13" s="2846"/>
      <c r="F13" s="2847"/>
      <c r="G13" s="2813"/>
      <c r="H13" s="2814"/>
      <c r="I13" s="2814"/>
      <c r="J13" s="2814"/>
      <c r="K13" s="2815"/>
    </row>
    <row r="14" spans="1:31" s="2117" customFormat="1" ht="13.5" customHeight="1">
      <c r="A14" s="2843" t="s">
        <v>1850</v>
      </c>
      <c r="B14" s="2844" t="s">
        <v>480</v>
      </c>
      <c r="C14" s="53">
        <f>ROUND(C13*F14,0)</f>
        <v>54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27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2081</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46</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156</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118</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118</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415</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3016</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3016</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372</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372</v>
      </c>
      <c r="D35" s="1629"/>
      <c r="E35" s="2865"/>
      <c r="F35" s="1630"/>
      <c r="G35" s="2823"/>
      <c r="H35" s="2824"/>
      <c r="I35" s="2824"/>
      <c r="J35" s="2824"/>
      <c r="K35" s="2825"/>
    </row>
    <row r="36" spans="1:11" s="2086" customFormat="1" ht="13.5" customHeight="1" thickBot="1">
      <c r="A36" s="284" t="s">
        <v>1845</v>
      </c>
      <c r="B36" s="2827"/>
      <c r="C36" s="2866">
        <f ca="1">ROUND((C6-C30-C33)/(1+D30+D33)*F36,0)</f>
        <v>3384</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-7648.4606384377666</v>
      </c>
      <c r="C2" s="2105"/>
      <c r="D2" s="2105"/>
      <c r="E2" s="2105"/>
      <c r="F2" s="2105"/>
      <c r="G2" s="2105"/>
      <c r="H2" s="2105"/>
      <c r="I2" s="2105"/>
      <c r="J2" s="2105"/>
      <c r="K2" s="2105"/>
    </row>
    <row r="3" spans="1:41" s="2042" customFormat="1" ht="18" customHeight="1">
      <c r="A3" s="1379" t="s">
        <v>1685</v>
      </c>
      <c r="B3" s="425">
        <f ca="1">ROUND(B2*10000/IF(B1="",'数据-汇总表'!E3,INDIRECT("'数据-取费表'!K"&amp;$K$1)),0)</f>
        <v>-2759</v>
      </c>
      <c r="C3" s="2105"/>
      <c r="D3" s="2105"/>
      <c r="E3" s="2105"/>
      <c r="F3" s="2105"/>
      <c r="G3" s="2105"/>
      <c r="H3" s="2105"/>
      <c r="I3" s="2105"/>
      <c r="J3" s="2105"/>
      <c r="K3" s="2105"/>
    </row>
    <row r="4" spans="1:41" s="2042" customFormat="1" ht="18" customHeight="1">
      <c r="A4" s="426" t="s">
        <v>468</v>
      </c>
      <c r="B4" s="427">
        <f ca="1">ROUND(B2*10000/IF(B1="",'数据-汇总表'!D3,INDIRECT("'数据-取费表'!R"&amp;$K$1)),0)</f>
        <v>-34069</v>
      </c>
      <c r="C4" s="2062"/>
      <c r="D4" s="2105"/>
      <c r="E4" s="2105"/>
      <c r="F4" s="2105"/>
      <c r="G4" s="2105"/>
      <c r="H4" s="2105"/>
      <c r="I4" s="2105"/>
      <c r="J4" s="2105"/>
      <c r="K4" s="2105"/>
    </row>
    <row r="5" spans="1:41" s="2042" customFormat="1" ht="18" customHeight="1" thickBot="1">
      <c r="A5" s="429"/>
      <c r="B5" s="430">
        <f ca="1">ROUND(B2/(IF(B1="",'数据-汇总表'!D3,INDIRECT("'数据-取费表'!R"&amp;$K$1))/666.67),0)</f>
        <v>-2271</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-7648.4606384377666</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7" t="str">
        <f>项目基本情况!B1</f>
        <v>出让国有建设用地使用权预评估</v>
      </c>
      <c r="C37" s="3227"/>
      <c r="D37" s="3227"/>
      <c r="E37" s="3227"/>
      <c r="F37" s="3227"/>
      <c r="G37" s="3227"/>
      <c r="H37" s="3227"/>
      <c r="I37" s="3227"/>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-7530.5431392784794</v>
      </c>
      <c r="C2" s="2105"/>
      <c r="D2" s="2105"/>
      <c r="E2" s="2105"/>
      <c r="F2" s="2105"/>
      <c r="G2" s="2105"/>
      <c r="H2" s="2105"/>
      <c r="I2" s="2105"/>
      <c r="J2" s="2105"/>
      <c r="K2" s="2105"/>
    </row>
    <row r="3" spans="1:41" s="2042" customFormat="1" ht="18" customHeight="1">
      <c r="A3" s="1379" t="s">
        <v>1685</v>
      </c>
      <c r="B3" s="425">
        <f ca="1">ROUND(B2*10000/IF(B1="",'数据-汇总表'!E3,INDIRECT("'数据-取费表'!K"&amp;$K$1)),0)</f>
        <v>-2717</v>
      </c>
      <c r="C3" s="2105"/>
      <c r="D3" s="2105"/>
      <c r="E3" s="2105"/>
      <c r="F3" s="2105"/>
      <c r="G3" s="2105"/>
      <c r="H3" s="2105"/>
      <c r="I3" s="2105"/>
      <c r="J3" s="2105"/>
      <c r="K3" s="2105"/>
    </row>
    <row r="4" spans="1:41" s="2042" customFormat="1" ht="18" customHeight="1">
      <c r="A4" s="426" t="s">
        <v>468</v>
      </c>
      <c r="B4" s="427">
        <f ca="1">ROUND(B2*10000/IF(B1="",'数据-汇总表'!D3,INDIRECT("'数据-取费表'!R"&amp;$K$1)),0)</f>
        <v>-33544</v>
      </c>
      <c r="C4" s="2062"/>
      <c r="D4" s="2105"/>
      <c r="E4" s="2105"/>
      <c r="F4" s="2105"/>
      <c r="G4" s="2105"/>
      <c r="H4" s="2105"/>
      <c r="I4" s="2105"/>
      <c r="J4" s="2105"/>
      <c r="K4" s="2105"/>
    </row>
    <row r="5" spans="1:41" s="2042" customFormat="1" ht="18" customHeight="1" thickBot="1">
      <c r="A5" s="429"/>
      <c r="B5" s="430">
        <f ca="1">ROUND(B2/(IF(B1="",'数据-汇总表'!D3,INDIRECT("'数据-取费表'!R"&amp;$K$1))/666.67),0)</f>
        <v>-2236</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-7530.5431392784794</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C20" sqref="C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9170</v>
      </c>
      <c r="U2" s="2927"/>
      <c r="V2" s="2938">
        <f ca="1">ROUND(T2*U2/10000,0)</f>
        <v>0</v>
      </c>
      <c r="W2" s="2190"/>
      <c r="X2" s="2190"/>
      <c r="Y2" s="2190"/>
      <c r="Z2" s="2190"/>
      <c r="AA2" s="2190"/>
      <c r="AB2" s="2190"/>
      <c r="AC2" s="2191"/>
    </row>
    <row r="3" spans="1:39" ht="36">
      <c r="A3" s="1411" t="s">
        <v>1688</v>
      </c>
      <c r="B3" s="1038" t="e">
        <f ca="1">ROUND(B2*10000/D1,0)</f>
        <v>#DIV/0!</v>
      </c>
      <c r="C3" s="1407" t="s">
        <v>927</v>
      </c>
      <c r="D3" s="1408" t="s">
        <v>928</v>
      </c>
      <c r="E3" s="1412" t="s">
        <v>3031</v>
      </c>
      <c r="F3" s="1413" t="s">
        <v>3015</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6582</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5310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4261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3628</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3191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3056</v>
      </c>
      <c r="F16" s="1462" t="s">
        <v>3057</v>
      </c>
      <c r="G16" s="1463" t="s">
        <v>3058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0.5</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3157</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6294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1574</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3074</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3074</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3154</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3093</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3074</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3093</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3074</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3094</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3074</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2451"/>
      <c r="L90" s="2451"/>
      <c r="M90" s="2451"/>
      <c r="N90" s="2451"/>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38191</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38191</v>
      </c>
      <c r="C3" s="2105"/>
      <c r="D3" s="2105"/>
      <c r="E3" s="2105"/>
      <c r="F3" s="2105"/>
      <c r="G3" s="2105"/>
      <c r="H3" s="2105"/>
      <c r="I3" s="2105"/>
      <c r="J3" s="2105"/>
      <c r="K3" s="2105"/>
    </row>
    <row r="4" spans="1:31" s="2042" customFormat="1" ht="18" customHeight="1">
      <c r="A4" s="426" t="s">
        <v>468</v>
      </c>
      <c r="B4" s="427">
        <f ca="1">ROUND(B2*10000/IF(B1="",'数据-汇总表'!D3,INDIRECT("'数据-取费表'!R"&amp;$K$1)),0)</f>
        <v>471552</v>
      </c>
      <c r="C4" s="428"/>
      <c r="D4" s="422"/>
      <c r="E4" s="422"/>
      <c r="F4" s="422"/>
      <c r="G4" s="422"/>
      <c r="H4" s="422"/>
      <c r="I4" s="422"/>
      <c r="J4" s="422"/>
      <c r="K4" s="422"/>
    </row>
    <row r="5" spans="1:31" s="2042" customFormat="1" ht="18" customHeight="1" thickBot="1">
      <c r="A5" s="429"/>
      <c r="B5" s="430">
        <f ca="1">ROUND(B2/(IF(B1="",'数据-汇总表'!D3,INDIRECT("'数据-取费表'!R"&amp;$K$1))/666.67),0)</f>
        <v>31437</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38191</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32" t="s">
        <v>522</v>
      </c>
      <c r="D6" s="3433"/>
      <c r="E6" s="3432" t="s">
        <v>523</v>
      </c>
      <c r="F6" s="3433"/>
      <c r="G6" s="3432" t="s">
        <v>524</v>
      </c>
      <c r="H6" s="3433"/>
      <c r="I6" s="3432" t="s">
        <v>525</v>
      </c>
      <c r="J6" s="3433"/>
      <c r="K6" s="514" t="s">
        <v>526</v>
      </c>
      <c r="L6" s="2134"/>
      <c r="M6" s="2133"/>
      <c r="N6" s="2133"/>
      <c r="O6" s="2135"/>
      <c r="P6" s="3434" t="s">
        <v>527</v>
      </c>
      <c r="Q6" s="3435"/>
      <c r="R6" s="3420" t="s">
        <v>523</v>
      </c>
      <c r="S6" s="3421"/>
      <c r="T6" s="3420" t="s">
        <v>524</v>
      </c>
      <c r="U6" s="3421"/>
      <c r="V6" s="3440" t="s">
        <v>525</v>
      </c>
      <c r="W6" s="3440"/>
      <c r="X6" s="1567"/>
      <c r="Y6" s="3420" t="s">
        <v>527</v>
      </c>
      <c r="Z6" s="3421"/>
      <c r="AA6" s="3415" t="s">
        <v>523</v>
      </c>
      <c r="AB6" s="3416" t="s">
        <v>524</v>
      </c>
      <c r="AC6" s="3415" t="s">
        <v>525</v>
      </c>
    </row>
    <row r="7" spans="1:30" ht="20.25">
      <c r="A7" s="515"/>
      <c r="B7" s="516"/>
      <c r="C7" s="3443" t="s">
        <v>2933</v>
      </c>
      <c r="D7" s="3444"/>
      <c r="E7" s="3443" t="s">
        <v>2934</v>
      </c>
      <c r="F7" s="3444"/>
      <c r="G7" s="3443" t="s">
        <v>2935</v>
      </c>
      <c r="H7" s="3444"/>
      <c r="I7" s="3443" t="s">
        <v>2936</v>
      </c>
      <c r="J7" s="3444"/>
      <c r="K7" s="514"/>
      <c r="L7" s="2134"/>
      <c r="M7" s="2133"/>
      <c r="N7" s="2133"/>
      <c r="O7" s="2135"/>
      <c r="P7" s="3436"/>
      <c r="Q7" s="3437"/>
      <c r="R7" s="3422"/>
      <c r="S7" s="3423"/>
      <c r="T7" s="3422"/>
      <c r="U7" s="3423"/>
      <c r="V7" s="3440"/>
      <c r="W7" s="3440"/>
      <c r="X7" s="1567"/>
      <c r="Y7" s="3422"/>
      <c r="Z7" s="3423"/>
      <c r="AA7" s="3416"/>
      <c r="AB7" s="3416"/>
      <c r="AC7" s="3416"/>
    </row>
    <row r="8" spans="1:30" ht="21" thickBot="1">
      <c r="A8" s="515"/>
      <c r="B8" s="516"/>
      <c r="C8" s="3445" t="s">
        <v>2937</v>
      </c>
      <c r="D8" s="3446"/>
      <c r="E8" s="3445" t="s">
        <v>2937</v>
      </c>
      <c r="F8" s="3446"/>
      <c r="G8" s="3441" t="s">
        <v>2937</v>
      </c>
      <c r="H8" s="3442"/>
      <c r="I8" s="3441" t="s">
        <v>2937</v>
      </c>
      <c r="J8" s="3442"/>
      <c r="K8" s="514" t="s">
        <v>528</v>
      </c>
      <c r="L8" s="2134"/>
      <c r="M8" s="2133"/>
      <c r="N8" s="2133"/>
      <c r="O8" s="2135"/>
      <c r="P8" s="3438"/>
      <c r="Q8" s="3439"/>
      <c r="R8" s="3422"/>
      <c r="S8" s="3423"/>
      <c r="T8" s="3424"/>
      <c r="U8" s="3425"/>
      <c r="V8" s="3440"/>
      <c r="W8" s="3440"/>
      <c r="X8" s="1567"/>
      <c r="Y8" s="3424"/>
      <c r="Z8" s="3425"/>
      <c r="AA8" s="3417"/>
      <c r="AB8" s="3417"/>
      <c r="AC8" s="3417"/>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18" t="s">
        <v>530</v>
      </c>
      <c r="Q9" s="3427"/>
      <c r="R9" s="1568" t="s">
        <v>8</v>
      </c>
      <c r="S9" s="1569">
        <f t="shared" ref="S9:S17" si="0">F9</f>
        <v>0</v>
      </c>
      <c r="T9" s="1568" t="s">
        <v>8</v>
      </c>
      <c r="U9" s="1569">
        <f t="shared" ref="U9:U17" si="1">H9</f>
        <v>0</v>
      </c>
      <c r="V9" s="1568" t="s">
        <v>8</v>
      </c>
      <c r="W9" s="1569">
        <f t="shared" ref="W9:W17" si="2">J9</f>
        <v>0</v>
      </c>
      <c r="X9" s="1570"/>
      <c r="Y9" s="3418" t="s">
        <v>530</v>
      </c>
      <c r="Z9" s="3419"/>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18" t="s">
        <v>533</v>
      </c>
      <c r="Q10" s="3419"/>
      <c r="R10" s="1568" t="s">
        <v>8</v>
      </c>
      <c r="S10" s="1569">
        <f t="shared" si="0"/>
        <v>0</v>
      </c>
      <c r="T10" s="1568" t="s">
        <v>8</v>
      </c>
      <c r="U10" s="1569">
        <f t="shared" si="1"/>
        <v>0</v>
      </c>
      <c r="V10" s="1568" t="s">
        <v>8</v>
      </c>
      <c r="W10" s="1569">
        <f t="shared" si="2"/>
        <v>0</v>
      </c>
      <c r="X10" s="1570"/>
      <c r="Y10" s="3418" t="s">
        <v>533</v>
      </c>
      <c r="Z10" s="3419"/>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26" t="s">
        <v>535</v>
      </c>
      <c r="Q11" s="1151" t="str">
        <f t="shared" ref="Q11:Q17" si="6">B11</f>
        <v>用途</v>
      </c>
      <c r="R11" s="1568" t="s">
        <v>8</v>
      </c>
      <c r="S11" s="1569">
        <f t="shared" si="0"/>
        <v>100</v>
      </c>
      <c r="T11" s="1568" t="s">
        <v>8</v>
      </c>
      <c r="U11" s="1569">
        <f t="shared" si="1"/>
        <v>100</v>
      </c>
      <c r="V11" s="1568" t="s">
        <v>8</v>
      </c>
      <c r="W11" s="1569">
        <f t="shared" si="2"/>
        <v>100</v>
      </c>
      <c r="X11" s="1570"/>
      <c r="Y11" s="3365"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26"/>
      <c r="Q12" s="1151" t="str">
        <f t="shared" si="6"/>
        <v>土地使用年限（年）</v>
      </c>
      <c r="R12" s="1568" t="s">
        <v>8</v>
      </c>
      <c r="S12" s="1569">
        <f t="shared" si="0"/>
        <v>101</v>
      </c>
      <c r="T12" s="1568" t="s">
        <v>8</v>
      </c>
      <c r="U12" s="1569">
        <f t="shared" si="1"/>
        <v>101</v>
      </c>
      <c r="V12" s="1568" t="s">
        <v>8</v>
      </c>
      <c r="W12" s="1569">
        <f t="shared" si="2"/>
        <v>101</v>
      </c>
      <c r="X12" s="1570"/>
      <c r="Y12" s="3365"/>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26"/>
      <c r="Q13" s="1151" t="str">
        <f t="shared" si="6"/>
        <v>容积率</v>
      </c>
      <c r="R13" s="1568" t="s">
        <v>8</v>
      </c>
      <c r="S13" s="1569" t="e">
        <f t="shared" si="0"/>
        <v>#N/A</v>
      </c>
      <c r="T13" s="1568" t="s">
        <v>8</v>
      </c>
      <c r="U13" s="1569" t="e">
        <f t="shared" si="1"/>
        <v>#N/A</v>
      </c>
      <c r="V13" s="1568" t="s">
        <v>8</v>
      </c>
      <c r="W13" s="1569" t="e">
        <f t="shared" si="2"/>
        <v>#N/A</v>
      </c>
      <c r="X13" s="1570"/>
      <c r="Y13" s="3365"/>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6"/>
      <c r="Q14" s="1151" t="str">
        <f t="shared" si="6"/>
        <v>配建</v>
      </c>
      <c r="R14" s="1568" t="s">
        <v>8</v>
      </c>
      <c r="S14" s="1569">
        <f t="shared" si="0"/>
        <v>100</v>
      </c>
      <c r="T14" s="1568" t="s">
        <v>8</v>
      </c>
      <c r="U14" s="1569">
        <f t="shared" si="1"/>
        <v>100</v>
      </c>
      <c r="V14" s="1568" t="s">
        <v>8</v>
      </c>
      <c r="W14" s="1569">
        <f t="shared" si="2"/>
        <v>100</v>
      </c>
      <c r="X14" s="1570"/>
      <c r="Y14" s="3365"/>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6"/>
      <c r="Q15" s="1151">
        <f t="shared" si="6"/>
        <v>111</v>
      </c>
      <c r="R15" s="1568" t="s">
        <v>8</v>
      </c>
      <c r="S15" s="1569">
        <f t="shared" si="0"/>
        <v>100</v>
      </c>
      <c r="T15" s="1568" t="s">
        <v>8</v>
      </c>
      <c r="U15" s="1569">
        <f t="shared" si="1"/>
        <v>100</v>
      </c>
      <c r="V15" s="1568" t="s">
        <v>8</v>
      </c>
      <c r="W15" s="1569">
        <f t="shared" si="2"/>
        <v>100</v>
      </c>
      <c r="X15" s="1570"/>
      <c r="Y15" s="3365"/>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6"/>
      <c r="Q16" s="1151">
        <f t="shared" si="6"/>
        <v>111</v>
      </c>
      <c r="R16" s="1568" t="s">
        <v>8</v>
      </c>
      <c r="S16" s="1569">
        <f t="shared" si="0"/>
        <v>100</v>
      </c>
      <c r="T16" s="1568" t="s">
        <v>8</v>
      </c>
      <c r="U16" s="1569">
        <f t="shared" si="1"/>
        <v>100</v>
      </c>
      <c r="V16" s="1568" t="s">
        <v>8</v>
      </c>
      <c r="W16" s="1569">
        <f t="shared" si="2"/>
        <v>100</v>
      </c>
      <c r="X16" s="1570"/>
      <c r="Y16" s="3365"/>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8" t="s">
        <v>540</v>
      </c>
      <c r="Q17" s="1572" t="str">
        <f t="shared" si="6"/>
        <v>居住社区成熟度</v>
      </c>
      <c r="R17" s="1573" t="s">
        <v>8</v>
      </c>
      <c r="S17" s="1574">
        <f t="shared" si="0"/>
        <v>100</v>
      </c>
      <c r="T17" s="1573" t="s">
        <v>8</v>
      </c>
      <c r="U17" s="1574">
        <f t="shared" si="1"/>
        <v>100</v>
      </c>
      <c r="V17" s="1573" t="s">
        <v>8</v>
      </c>
      <c r="W17" s="1574">
        <f t="shared" si="2"/>
        <v>100</v>
      </c>
      <c r="X17" s="1567"/>
      <c r="Y17" s="3428"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29"/>
      <c r="Q18" s="1572"/>
      <c r="R18" s="1573"/>
      <c r="S18" s="1574"/>
      <c r="T18" s="1573"/>
      <c r="U18" s="1574"/>
      <c r="V18" s="1573"/>
      <c r="W18" s="1574"/>
      <c r="X18" s="1567"/>
      <c r="Y18" s="3429"/>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9"/>
      <c r="Q19" s="1572" t="str">
        <f>B19</f>
        <v>商业繁华度</v>
      </c>
      <c r="R19" s="1573" t="s">
        <v>8</v>
      </c>
      <c r="S19" s="1574">
        <f>F19</f>
        <v>100</v>
      </c>
      <c r="T19" s="1573" t="s">
        <v>8</v>
      </c>
      <c r="U19" s="1574">
        <f>H19</f>
        <v>100</v>
      </c>
      <c r="V19" s="1573" t="s">
        <v>8</v>
      </c>
      <c r="W19" s="1574">
        <f>J19</f>
        <v>100</v>
      </c>
      <c r="X19" s="1567"/>
      <c r="Y19" s="3429"/>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9"/>
      <c r="Q20" s="1572"/>
      <c r="R20" s="1573"/>
      <c r="S20" s="1574"/>
      <c r="T20" s="1573"/>
      <c r="U20" s="1574"/>
      <c r="V20" s="1573"/>
      <c r="W20" s="1574"/>
      <c r="X20" s="1567"/>
      <c r="Y20" s="3429"/>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9"/>
      <c r="Q21" s="1572" t="str">
        <f>B21</f>
        <v>办公集聚程度</v>
      </c>
      <c r="R21" s="1573" t="s">
        <v>8</v>
      </c>
      <c r="S21" s="1574">
        <f>F21</f>
        <v>100</v>
      </c>
      <c r="T21" s="1573" t="s">
        <v>8</v>
      </c>
      <c r="U21" s="1574">
        <f>H21</f>
        <v>100</v>
      </c>
      <c r="V21" s="1573" t="s">
        <v>8</v>
      </c>
      <c r="W21" s="1574">
        <f>J21</f>
        <v>100</v>
      </c>
      <c r="X21" s="1567"/>
      <c r="Y21" s="3429"/>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9"/>
      <c r="Q22" s="1572"/>
      <c r="R22" s="1573"/>
      <c r="S22" s="1574"/>
      <c r="T22" s="1573"/>
      <c r="U22" s="1574"/>
      <c r="V22" s="1573"/>
      <c r="W22" s="1574"/>
      <c r="X22" s="1567"/>
      <c r="Y22" s="3429"/>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29"/>
      <c r="Q23" s="1572" t="str">
        <f>B23</f>
        <v>交通便捷度</v>
      </c>
      <c r="R23" s="1573" t="s">
        <v>8</v>
      </c>
      <c r="S23" s="1574">
        <f>F23</f>
        <v>100</v>
      </c>
      <c r="T23" s="1573" t="s">
        <v>8</v>
      </c>
      <c r="U23" s="1574">
        <f>H23</f>
        <v>100</v>
      </c>
      <c r="V23" s="1573" t="s">
        <v>8</v>
      </c>
      <c r="W23" s="1574">
        <f>J23</f>
        <v>100</v>
      </c>
      <c r="X23" s="1567"/>
      <c r="Y23" s="3429"/>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29"/>
      <c r="Q24" s="1572"/>
      <c r="R24" s="1573"/>
      <c r="S24" s="1574"/>
      <c r="T24" s="1573"/>
      <c r="U24" s="1574"/>
      <c r="V24" s="1573"/>
      <c r="W24" s="1574"/>
      <c r="X24" s="1567"/>
      <c r="Y24" s="3429"/>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29"/>
      <c r="Q25" s="1572" t="str">
        <f t="shared" ref="Q25:Q39" si="8">B25</f>
        <v>区域土地利用方向</v>
      </c>
      <c r="R25" s="1573" t="s">
        <v>8</v>
      </c>
      <c r="S25" s="1574">
        <f>F25</f>
        <v>100</v>
      </c>
      <c r="T25" s="1573" t="s">
        <v>8</v>
      </c>
      <c r="U25" s="1574">
        <f>H25</f>
        <v>100</v>
      </c>
      <c r="V25" s="1573" t="s">
        <v>8</v>
      </c>
      <c r="W25" s="1574">
        <f>J25</f>
        <v>100</v>
      </c>
      <c r="X25" s="1567"/>
      <c r="Y25" s="3429"/>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29"/>
      <c r="Q26" s="1572"/>
      <c r="R26" s="1573"/>
      <c r="S26" s="1574"/>
      <c r="T26" s="1573"/>
      <c r="U26" s="1574"/>
      <c r="V26" s="1573"/>
      <c r="W26" s="1574"/>
      <c r="X26" s="1567"/>
      <c r="Y26" s="3429"/>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29"/>
      <c r="Q27" s="1572" t="str">
        <f t="shared" si="8"/>
        <v>自然及人文环境状况</v>
      </c>
      <c r="R27" s="1573" t="s">
        <v>8</v>
      </c>
      <c r="S27" s="1574">
        <f>F27</f>
        <v>100</v>
      </c>
      <c r="T27" s="1573" t="s">
        <v>8</v>
      </c>
      <c r="U27" s="1574">
        <f>H27</f>
        <v>100</v>
      </c>
      <c r="V27" s="1573" t="s">
        <v>8</v>
      </c>
      <c r="W27" s="1574">
        <f>J27</f>
        <v>100</v>
      </c>
      <c r="X27" s="1567"/>
      <c r="Y27" s="3429"/>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29"/>
      <c r="Q28" s="1572"/>
      <c r="R28" s="1573"/>
      <c r="S28" s="1574"/>
      <c r="T28" s="1573"/>
      <c r="U28" s="1574"/>
      <c r="V28" s="1573"/>
      <c r="W28" s="1574"/>
      <c r="X28" s="1567"/>
      <c r="Y28" s="3429"/>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29"/>
      <c r="Q29" s="1151" t="str">
        <f t="shared" si="8"/>
        <v>公共配套设施</v>
      </c>
      <c r="R29" s="1568" t="s">
        <v>8</v>
      </c>
      <c r="S29" s="1569">
        <f>F29</f>
        <v>100</v>
      </c>
      <c r="T29" s="1568" t="s">
        <v>8</v>
      </c>
      <c r="U29" s="1569">
        <f>H29</f>
        <v>100</v>
      </c>
      <c r="V29" s="1568" t="s">
        <v>8</v>
      </c>
      <c r="W29" s="1569">
        <f>J29</f>
        <v>100</v>
      </c>
      <c r="X29" s="1570"/>
      <c r="Y29" s="3429"/>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29"/>
      <c r="Q30" s="1151"/>
      <c r="R30" s="1568"/>
      <c r="S30" s="1569"/>
      <c r="T30" s="1568"/>
      <c r="U30" s="1569"/>
      <c r="V30" s="1568"/>
      <c r="W30" s="1569"/>
      <c r="X30" s="1570"/>
      <c r="Y30" s="3429"/>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29"/>
      <c r="Q31" s="2579" t="str">
        <f t="shared" ref="Q31" si="9">B31</f>
        <v>基础设施水平</v>
      </c>
      <c r="R31" s="1568" t="s">
        <v>8</v>
      </c>
      <c r="S31" s="1569">
        <f>F31</f>
        <v>100</v>
      </c>
      <c r="T31" s="1568" t="s">
        <v>8</v>
      </c>
      <c r="U31" s="1569">
        <f>H31</f>
        <v>100</v>
      </c>
      <c r="V31" s="1568" t="s">
        <v>8</v>
      </c>
      <c r="W31" s="1569">
        <f>J31</f>
        <v>100</v>
      </c>
      <c r="X31" s="1570"/>
      <c r="Y31" s="3429"/>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29"/>
      <c r="Q32" s="2579"/>
      <c r="R32" s="1568"/>
      <c r="S32" s="1569"/>
      <c r="T32" s="1568"/>
      <c r="U32" s="1569"/>
      <c r="V32" s="1568"/>
      <c r="W32" s="1569"/>
      <c r="X32" s="1570"/>
      <c r="Y32" s="3429"/>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2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9"/>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9"/>
      <c r="Q34" s="1572" t="str">
        <f t="shared" si="8"/>
        <v>毗邻道路的类型与等级</v>
      </c>
      <c r="R34" s="1573" t="s">
        <v>8</v>
      </c>
      <c r="S34" s="1574">
        <f t="shared" si="10"/>
        <v>100</v>
      </c>
      <c r="T34" s="1573" t="s">
        <v>8</v>
      </c>
      <c r="U34" s="1574">
        <f t="shared" si="11"/>
        <v>100</v>
      </c>
      <c r="V34" s="1573" t="s">
        <v>8</v>
      </c>
      <c r="W34" s="1574">
        <f t="shared" si="12"/>
        <v>100</v>
      </c>
      <c r="X34" s="1567"/>
      <c r="Y34" s="3429"/>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9"/>
      <c r="Q35" s="1572"/>
      <c r="R35" s="1573"/>
      <c r="S35" s="1574"/>
      <c r="T35" s="1573"/>
      <c r="U35" s="1574"/>
      <c r="V35" s="1573"/>
      <c r="W35" s="1574"/>
      <c r="X35" s="1567"/>
      <c r="Y35" s="3429"/>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9"/>
      <c r="Q36" s="1572" t="str">
        <f t="shared" si="8"/>
        <v>土地级别</v>
      </c>
      <c r="R36" s="1573" t="s">
        <v>8</v>
      </c>
      <c r="S36" s="1574">
        <f t="shared" si="10"/>
        <v>100</v>
      </c>
      <c r="T36" s="1573" t="s">
        <v>8</v>
      </c>
      <c r="U36" s="1574">
        <f t="shared" si="11"/>
        <v>100</v>
      </c>
      <c r="V36" s="1573" t="s">
        <v>8</v>
      </c>
      <c r="W36" s="1574">
        <f t="shared" si="12"/>
        <v>100</v>
      </c>
      <c r="X36" s="1567"/>
      <c r="Y36" s="3429"/>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9"/>
      <c r="Q37" s="1572">
        <f t="shared" si="8"/>
        <v>111</v>
      </c>
      <c r="R37" s="1573" t="s">
        <v>8</v>
      </c>
      <c r="S37" s="1574">
        <f t="shared" si="10"/>
        <v>100</v>
      </c>
      <c r="T37" s="1573" t="s">
        <v>8</v>
      </c>
      <c r="U37" s="1574">
        <f t="shared" si="11"/>
        <v>100</v>
      </c>
      <c r="V37" s="1573" t="s">
        <v>8</v>
      </c>
      <c r="W37" s="1574">
        <f t="shared" si="12"/>
        <v>100</v>
      </c>
      <c r="X37" s="1567"/>
      <c r="Y37" s="3429"/>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0" t="s">
        <v>550</v>
      </c>
      <c r="Q38" s="1572">
        <f t="shared" si="8"/>
        <v>111</v>
      </c>
      <c r="R38" s="1573" t="s">
        <v>8</v>
      </c>
      <c r="S38" s="1574">
        <f t="shared" si="10"/>
        <v>100</v>
      </c>
      <c r="T38" s="1573" t="s">
        <v>8</v>
      </c>
      <c r="U38" s="1574">
        <f t="shared" si="11"/>
        <v>100</v>
      </c>
      <c r="V38" s="1573" t="s">
        <v>8</v>
      </c>
      <c r="W38" s="1574">
        <f t="shared" si="12"/>
        <v>100</v>
      </c>
      <c r="X38" s="1567"/>
      <c r="Y38" s="3431"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1"/>
      <c r="Q39" s="1572">
        <f t="shared" si="8"/>
        <v>111</v>
      </c>
      <c r="R39" s="1577" t="s">
        <v>8</v>
      </c>
      <c r="S39" s="1578">
        <f t="shared" si="10"/>
        <v>100</v>
      </c>
      <c r="T39" s="1577" t="s">
        <v>8</v>
      </c>
      <c r="U39" s="1578">
        <f t="shared" si="11"/>
        <v>100</v>
      </c>
      <c r="V39" s="1577" t="s">
        <v>8</v>
      </c>
      <c r="W39" s="1578">
        <f t="shared" si="12"/>
        <v>100</v>
      </c>
      <c r="X39" s="1579"/>
      <c r="Y39" s="3431"/>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31"/>
      <c r="Q40" s="1572" t="str">
        <f>B40</f>
        <v>宗地面积</v>
      </c>
      <c r="R40" s="1573" t="s">
        <v>8</v>
      </c>
      <c r="S40" s="1574" t="e">
        <f t="shared" si="10"/>
        <v>#N/A</v>
      </c>
      <c r="T40" s="1573" t="s">
        <v>8</v>
      </c>
      <c r="U40" s="1574" t="e">
        <f t="shared" si="11"/>
        <v>#N/A</v>
      </c>
      <c r="V40" s="1573" t="s">
        <v>8</v>
      </c>
      <c r="W40" s="1574" t="e">
        <f t="shared" si="12"/>
        <v>#N/A</v>
      </c>
      <c r="X40" s="1567"/>
      <c r="Y40" s="3431"/>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31"/>
      <c r="Q41" s="1572" t="str">
        <f t="shared" ref="Q41:Q47" si="14">B41</f>
        <v>宗地形状</v>
      </c>
      <c r="R41" s="1573" t="s">
        <v>8</v>
      </c>
      <c r="S41" s="1574">
        <f t="shared" si="10"/>
        <v>100</v>
      </c>
      <c r="T41" s="1573" t="s">
        <v>8</v>
      </c>
      <c r="U41" s="1574">
        <f t="shared" si="11"/>
        <v>100</v>
      </c>
      <c r="V41" s="1573" t="s">
        <v>8</v>
      </c>
      <c r="W41" s="1574">
        <f t="shared" si="12"/>
        <v>100</v>
      </c>
      <c r="X41" s="1567"/>
      <c r="Y41" s="3431"/>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1"/>
      <c r="Q42" s="1572" t="str">
        <f t="shared" si="14"/>
        <v>临街宽度及深度</v>
      </c>
      <c r="R42" s="1573" t="s">
        <v>8</v>
      </c>
      <c r="S42" s="1574">
        <f t="shared" si="10"/>
        <v>100</v>
      </c>
      <c r="T42" s="1573" t="s">
        <v>8</v>
      </c>
      <c r="U42" s="1574">
        <f t="shared" si="11"/>
        <v>100</v>
      </c>
      <c r="V42" s="1573" t="s">
        <v>8</v>
      </c>
      <c r="W42" s="1574">
        <f t="shared" si="12"/>
        <v>100</v>
      </c>
      <c r="X42" s="1567"/>
      <c r="Y42" s="3431"/>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31"/>
      <c r="Q43" s="1572" t="str">
        <f t="shared" si="14"/>
        <v>宗地开发程度</v>
      </c>
      <c r="R43" s="1568" t="s">
        <v>8</v>
      </c>
      <c r="S43" s="1569">
        <f t="shared" si="10"/>
        <v>100</v>
      </c>
      <c r="T43" s="1568" t="s">
        <v>8</v>
      </c>
      <c r="U43" s="1569">
        <f t="shared" si="11"/>
        <v>100</v>
      </c>
      <c r="V43" s="1568" t="s">
        <v>8</v>
      </c>
      <c r="W43" s="1569">
        <f t="shared" si="12"/>
        <v>100</v>
      </c>
      <c r="X43" s="1570"/>
      <c r="Y43" s="3431"/>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31" t="s">
        <v>550</v>
      </c>
      <c r="Q44" s="1572" t="str">
        <f t="shared" si="14"/>
        <v>工程地质条件</v>
      </c>
      <c r="R44" s="1573" t="s">
        <v>8</v>
      </c>
      <c r="S44" s="1574">
        <f t="shared" si="10"/>
        <v>100</v>
      </c>
      <c r="T44" s="1573" t="s">
        <v>8</v>
      </c>
      <c r="U44" s="1574">
        <f t="shared" si="11"/>
        <v>100</v>
      </c>
      <c r="V44" s="1573" t="s">
        <v>8</v>
      </c>
      <c r="W44" s="1574">
        <f t="shared" si="12"/>
        <v>100</v>
      </c>
      <c r="X44" s="1567"/>
      <c r="Y44" s="3431"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1"/>
      <c r="Q45" s="1572">
        <f t="shared" si="14"/>
        <v>111</v>
      </c>
      <c r="R45" s="1573" t="s">
        <v>8</v>
      </c>
      <c r="S45" s="1574">
        <f t="shared" si="10"/>
        <v>100</v>
      </c>
      <c r="T45" s="1573" t="s">
        <v>8</v>
      </c>
      <c r="U45" s="1574">
        <f t="shared" si="11"/>
        <v>100</v>
      </c>
      <c r="V45" s="1573" t="s">
        <v>8</v>
      </c>
      <c r="W45" s="1574">
        <f t="shared" si="12"/>
        <v>100</v>
      </c>
      <c r="X45" s="1567"/>
      <c r="Y45" s="3431"/>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1"/>
      <c r="Q46" s="1572">
        <f t="shared" si="14"/>
        <v>111</v>
      </c>
      <c r="R46" s="1573" t="s">
        <v>8</v>
      </c>
      <c r="S46" s="1574">
        <f t="shared" si="10"/>
        <v>100</v>
      </c>
      <c r="T46" s="1573" t="s">
        <v>8</v>
      </c>
      <c r="U46" s="1574">
        <f t="shared" si="11"/>
        <v>100</v>
      </c>
      <c r="V46" s="1573" t="s">
        <v>8</v>
      </c>
      <c r="W46" s="1574">
        <f t="shared" si="12"/>
        <v>100</v>
      </c>
      <c r="X46" s="1567"/>
      <c r="Y46" s="3431"/>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1"/>
      <c r="Q47" s="1572">
        <f t="shared" si="14"/>
        <v>111</v>
      </c>
      <c r="R47" s="1577" t="s">
        <v>8</v>
      </c>
      <c r="S47" s="1578">
        <f t="shared" si="10"/>
        <v>100</v>
      </c>
      <c r="T47" s="1577" t="s">
        <v>8</v>
      </c>
      <c r="U47" s="1578">
        <f t="shared" si="11"/>
        <v>100</v>
      </c>
      <c r="V47" s="1577" t="s">
        <v>8</v>
      </c>
      <c r="W47" s="1578">
        <f t="shared" si="12"/>
        <v>100</v>
      </c>
      <c r="X47" s="1579"/>
      <c r="Y47" s="3431"/>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26" t="str">
        <f>A48</f>
        <v>成交单价</v>
      </c>
      <c r="Q48" s="3426"/>
      <c r="R48" s="3440">
        <f>E48</f>
        <v>0</v>
      </c>
      <c r="S48" s="3440"/>
      <c r="T48" s="3440">
        <f>G48</f>
        <v>0</v>
      </c>
      <c r="U48" s="3440"/>
      <c r="V48" s="3440">
        <f>I48</f>
        <v>0</v>
      </c>
      <c r="W48" s="3440"/>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26" t="str">
        <f>A49</f>
        <v>比较价格（元/平方米）</v>
      </c>
      <c r="Q49" s="3426"/>
      <c r="R49" s="3450" t="e">
        <f>ROUND(PRODUCT(R48,AA9:AA47),0)</f>
        <v>#DIV/0!</v>
      </c>
      <c r="S49" s="3450"/>
      <c r="T49" s="3450" t="e">
        <f>ROUND(PRODUCT(T48,AB9:AB47),0)</f>
        <v>#DIV/0!</v>
      </c>
      <c r="U49" s="3450"/>
      <c r="V49" s="3450" t="e">
        <f>ROUND(PRODUCT(V48,AC9:AC47),0)</f>
        <v>#DIV/0!</v>
      </c>
      <c r="W49" s="3450"/>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47" t="str">
        <f>A50</f>
        <v>估价对象XX用房的比较价格（楼面单价，元/平方米）</v>
      </c>
      <c r="Q50" s="3448"/>
      <c r="R50" s="3449" t="e">
        <f>ROUND(AVERAGE(R49:V49),0)</f>
        <v>#DIV/0!</v>
      </c>
      <c r="S50" s="3449"/>
      <c r="T50" s="3449"/>
      <c r="U50" s="3449"/>
      <c r="V50" s="3449"/>
      <c r="W50" s="344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10" t="s">
        <v>2284</v>
      </c>
      <c r="H57" s="341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12"/>
      <c r="H58" s="341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1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1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1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1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32" t="s">
        <v>522</v>
      </c>
      <c r="D6" s="3433"/>
      <c r="E6" s="3456" t="s">
        <v>523</v>
      </c>
      <c r="F6" s="3457"/>
      <c r="G6" s="3432" t="s">
        <v>524</v>
      </c>
      <c r="H6" s="3433"/>
      <c r="I6" s="3432" t="s">
        <v>525</v>
      </c>
      <c r="J6" s="3433"/>
      <c r="K6" s="514" t="s">
        <v>526</v>
      </c>
      <c r="L6" s="2134"/>
      <c r="M6" s="2135"/>
      <c r="N6" s="2135"/>
      <c r="O6" s="2135"/>
      <c r="P6" s="3434" t="s">
        <v>527</v>
      </c>
      <c r="Q6" s="3435"/>
      <c r="R6" s="3420" t="s">
        <v>523</v>
      </c>
      <c r="S6" s="3421"/>
      <c r="T6" s="3420" t="s">
        <v>524</v>
      </c>
      <c r="U6" s="3421"/>
      <c r="V6" s="3440" t="s">
        <v>525</v>
      </c>
      <c r="W6" s="3440"/>
      <c r="X6" s="1567"/>
      <c r="Y6" s="3420" t="s">
        <v>527</v>
      </c>
      <c r="Z6" s="3421"/>
      <c r="AA6" s="3415" t="s">
        <v>523</v>
      </c>
      <c r="AB6" s="3416" t="s">
        <v>524</v>
      </c>
      <c r="AC6" s="3415" t="s">
        <v>525</v>
      </c>
    </row>
    <row r="7" spans="1:29" ht="15">
      <c r="A7" s="515"/>
      <c r="B7" s="516"/>
      <c r="C7" s="3443" t="s">
        <v>2933</v>
      </c>
      <c r="D7" s="3444"/>
      <c r="E7" s="3458" t="s">
        <v>2934</v>
      </c>
      <c r="F7" s="3459"/>
      <c r="G7" s="3443" t="s">
        <v>2935</v>
      </c>
      <c r="H7" s="3444"/>
      <c r="I7" s="3443" t="s">
        <v>2936</v>
      </c>
      <c r="J7" s="3444"/>
      <c r="K7" s="514"/>
      <c r="L7" s="2134"/>
      <c r="M7" s="2135"/>
      <c r="N7" s="2135"/>
      <c r="O7" s="2135"/>
      <c r="P7" s="3436"/>
      <c r="Q7" s="3437"/>
      <c r="R7" s="3422"/>
      <c r="S7" s="3423"/>
      <c r="T7" s="3422"/>
      <c r="U7" s="3423"/>
      <c r="V7" s="3440"/>
      <c r="W7" s="3440"/>
      <c r="X7" s="1567"/>
      <c r="Y7" s="3422"/>
      <c r="Z7" s="3423"/>
      <c r="AA7" s="3416"/>
      <c r="AB7" s="3416"/>
      <c r="AC7" s="3416"/>
    </row>
    <row r="8" spans="1:29" ht="15.75" thickBot="1">
      <c r="A8" s="517"/>
      <c r="B8" s="518"/>
      <c r="C8" s="3441" t="s">
        <v>2937</v>
      </c>
      <c r="D8" s="3442"/>
      <c r="E8" s="3460" t="s">
        <v>2937</v>
      </c>
      <c r="F8" s="3461"/>
      <c r="G8" s="3441" t="s">
        <v>2937</v>
      </c>
      <c r="H8" s="3442"/>
      <c r="I8" s="3441" t="s">
        <v>2937</v>
      </c>
      <c r="J8" s="3442"/>
      <c r="K8" s="514" t="s">
        <v>528</v>
      </c>
      <c r="L8" s="2134"/>
      <c r="M8" s="2135"/>
      <c r="N8" s="2135"/>
      <c r="O8" s="2135"/>
      <c r="P8" s="3438"/>
      <c r="Q8" s="3439"/>
      <c r="R8" s="3422"/>
      <c r="S8" s="3423"/>
      <c r="T8" s="3424"/>
      <c r="U8" s="3425"/>
      <c r="V8" s="3440"/>
      <c r="W8" s="3440"/>
      <c r="X8" s="1567"/>
      <c r="Y8" s="3424"/>
      <c r="Z8" s="3425"/>
      <c r="AA8" s="3417"/>
      <c r="AB8" s="3417"/>
      <c r="AC8" s="3417"/>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8" t="s">
        <v>530</v>
      </c>
      <c r="Q9" s="3427"/>
      <c r="R9" s="1568" t="s">
        <v>8</v>
      </c>
      <c r="S9" s="1569">
        <f t="shared" ref="S9:S17" si="0">F9</f>
        <v>0</v>
      </c>
      <c r="T9" s="1568" t="s">
        <v>8</v>
      </c>
      <c r="U9" s="1569">
        <f t="shared" ref="U9:U17" si="1">H9</f>
        <v>0</v>
      </c>
      <c r="V9" s="1568" t="s">
        <v>8</v>
      </c>
      <c r="W9" s="1569">
        <f t="shared" ref="W9:W17" si="2">J9</f>
        <v>0</v>
      </c>
      <c r="X9" s="1570"/>
      <c r="Y9" s="3418" t="s">
        <v>530</v>
      </c>
      <c r="Z9" s="3419"/>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8" t="s">
        <v>533</v>
      </c>
      <c r="Q10" s="3419"/>
      <c r="R10" s="1568" t="s">
        <v>8</v>
      </c>
      <c r="S10" s="1569">
        <f t="shared" si="0"/>
        <v>0</v>
      </c>
      <c r="T10" s="1568" t="s">
        <v>8</v>
      </c>
      <c r="U10" s="1569">
        <f t="shared" si="1"/>
        <v>0</v>
      </c>
      <c r="V10" s="1568" t="s">
        <v>8</v>
      </c>
      <c r="W10" s="1569">
        <f t="shared" si="2"/>
        <v>0</v>
      </c>
      <c r="X10" s="1570"/>
      <c r="Y10" s="3418" t="s">
        <v>533</v>
      </c>
      <c r="Z10" s="3419"/>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6" t="s">
        <v>535</v>
      </c>
      <c r="Q11" s="1151" t="str">
        <f t="shared" ref="Q11:Q17" si="6">B11</f>
        <v>用途</v>
      </c>
      <c r="R11" s="1568" t="s">
        <v>8</v>
      </c>
      <c r="S11" s="1569">
        <f t="shared" si="0"/>
        <v>100</v>
      </c>
      <c r="T11" s="1568" t="s">
        <v>8</v>
      </c>
      <c r="U11" s="1569">
        <f t="shared" si="1"/>
        <v>100</v>
      </c>
      <c r="V11" s="1568" t="s">
        <v>8</v>
      </c>
      <c r="W11" s="1569">
        <f t="shared" si="2"/>
        <v>100</v>
      </c>
      <c r="X11" s="1570"/>
      <c r="Y11" s="3365"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6"/>
      <c r="Q12" s="1151" t="str">
        <f t="shared" si="6"/>
        <v>土地使用年限（年）</v>
      </c>
      <c r="R12" s="1568" t="s">
        <v>8</v>
      </c>
      <c r="S12" s="1569">
        <f t="shared" si="0"/>
        <v>101</v>
      </c>
      <c r="T12" s="1568" t="s">
        <v>8</v>
      </c>
      <c r="U12" s="1569">
        <f t="shared" si="1"/>
        <v>101</v>
      </c>
      <c r="V12" s="1568" t="s">
        <v>8</v>
      </c>
      <c r="W12" s="1569">
        <f t="shared" si="2"/>
        <v>101</v>
      </c>
      <c r="X12" s="1570"/>
      <c r="Y12" s="3365"/>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6"/>
      <c r="Q13" s="1151" t="str">
        <f t="shared" si="6"/>
        <v>容积率</v>
      </c>
      <c r="R13" s="1568" t="s">
        <v>8</v>
      </c>
      <c r="S13" s="1569" t="e">
        <f t="shared" si="0"/>
        <v>#N/A</v>
      </c>
      <c r="T13" s="1568" t="s">
        <v>8</v>
      </c>
      <c r="U13" s="1569" t="e">
        <f t="shared" si="1"/>
        <v>#N/A</v>
      </c>
      <c r="V13" s="1568" t="s">
        <v>8</v>
      </c>
      <c r="W13" s="1569" t="e">
        <f t="shared" si="2"/>
        <v>#N/A</v>
      </c>
      <c r="X13" s="1570"/>
      <c r="Y13" s="3365"/>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6"/>
      <c r="Q15" s="1151">
        <f t="shared" si="6"/>
        <v>111</v>
      </c>
      <c r="R15" s="1568" t="s">
        <v>8</v>
      </c>
      <c r="S15" s="1569">
        <f t="shared" si="0"/>
        <v>100</v>
      </c>
      <c r="T15" s="1568" t="s">
        <v>8</v>
      </c>
      <c r="U15" s="1569">
        <f t="shared" si="1"/>
        <v>100</v>
      </c>
      <c r="V15" s="1568" t="s">
        <v>8</v>
      </c>
      <c r="W15" s="1569">
        <f t="shared" si="2"/>
        <v>100</v>
      </c>
      <c r="X15" s="1570"/>
      <c r="Y15" s="3365"/>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6"/>
      <c r="Q16" s="1151">
        <f t="shared" si="6"/>
        <v>111</v>
      </c>
      <c r="R16" s="1568" t="s">
        <v>8</v>
      </c>
      <c r="S16" s="1569">
        <f t="shared" si="0"/>
        <v>100</v>
      </c>
      <c r="T16" s="1568" t="s">
        <v>8</v>
      </c>
      <c r="U16" s="1569">
        <f t="shared" si="1"/>
        <v>100</v>
      </c>
      <c r="V16" s="1568" t="s">
        <v>8</v>
      </c>
      <c r="W16" s="1569">
        <f t="shared" si="2"/>
        <v>100</v>
      </c>
      <c r="X16" s="1570"/>
      <c r="Y16" s="3365"/>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8" t="s">
        <v>540</v>
      </c>
      <c r="Q17" s="1572" t="str">
        <f t="shared" si="6"/>
        <v>产业集聚程度</v>
      </c>
      <c r="R17" s="1573" t="s">
        <v>8</v>
      </c>
      <c r="S17" s="1574">
        <f t="shared" si="0"/>
        <v>100</v>
      </c>
      <c r="T17" s="1573" t="s">
        <v>8</v>
      </c>
      <c r="U17" s="1574">
        <f t="shared" si="1"/>
        <v>100</v>
      </c>
      <c r="V17" s="1573" t="s">
        <v>8</v>
      </c>
      <c r="W17" s="1574">
        <f t="shared" si="2"/>
        <v>100</v>
      </c>
      <c r="X17" s="1567"/>
      <c r="Y17" s="3428"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9"/>
      <c r="Q18" s="1572"/>
      <c r="R18" s="1573"/>
      <c r="S18" s="1574"/>
      <c r="T18" s="1573"/>
      <c r="U18" s="1574"/>
      <c r="V18" s="1573"/>
      <c r="W18" s="1574"/>
      <c r="X18" s="1567"/>
      <c r="Y18" s="3429"/>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9"/>
      <c r="Q19" s="1572" t="str">
        <f>B19</f>
        <v>交通便捷度</v>
      </c>
      <c r="R19" s="1573" t="s">
        <v>8</v>
      </c>
      <c r="S19" s="1574">
        <f>F19</f>
        <v>100</v>
      </c>
      <c r="T19" s="1573" t="s">
        <v>8</v>
      </c>
      <c r="U19" s="1574">
        <f>H19</f>
        <v>100</v>
      </c>
      <c r="V19" s="1573" t="s">
        <v>8</v>
      </c>
      <c r="W19" s="1574">
        <f>J19</f>
        <v>100</v>
      </c>
      <c r="X19" s="1567"/>
      <c r="Y19" s="342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9"/>
      <c r="Q21" s="1572" t="str">
        <f t="shared" ref="Q21:Q35" si="8">B21</f>
        <v>区域土地利用方向</v>
      </c>
      <c r="R21" s="1573" t="s">
        <v>8</v>
      </c>
      <c r="S21" s="1574">
        <f>F21</f>
        <v>100</v>
      </c>
      <c r="T21" s="1573" t="s">
        <v>8</v>
      </c>
      <c r="U21" s="1574">
        <f>H21</f>
        <v>100</v>
      </c>
      <c r="V21" s="1573" t="s">
        <v>8</v>
      </c>
      <c r="W21" s="1574">
        <f>J21</f>
        <v>100</v>
      </c>
      <c r="X21" s="1567"/>
      <c r="Y21" s="342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9"/>
      <c r="Q22" s="1572"/>
      <c r="R22" s="1573"/>
      <c r="S22" s="1574"/>
      <c r="T22" s="1573"/>
      <c r="U22" s="1574"/>
      <c r="V22" s="1573"/>
      <c r="W22" s="1574"/>
      <c r="X22" s="1567"/>
      <c r="Y22" s="3429"/>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9"/>
      <c r="Q23" s="1572" t="str">
        <f t="shared" si="8"/>
        <v>环境状况</v>
      </c>
      <c r="R23" s="1573" t="s">
        <v>8</v>
      </c>
      <c r="S23" s="1574">
        <f>F23</f>
        <v>100</v>
      </c>
      <c r="T23" s="1573" t="s">
        <v>8</v>
      </c>
      <c r="U23" s="1574">
        <f>H23</f>
        <v>100</v>
      </c>
      <c r="V23" s="1573" t="s">
        <v>8</v>
      </c>
      <c r="W23" s="1574">
        <f>J23</f>
        <v>100</v>
      </c>
      <c r="X23" s="1567"/>
      <c r="Y23" s="342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9"/>
      <c r="Q24" s="1572"/>
      <c r="R24" s="1573"/>
      <c r="S24" s="1574"/>
      <c r="T24" s="1573"/>
      <c r="U24" s="1574"/>
      <c r="V24" s="1573"/>
      <c r="W24" s="1574"/>
      <c r="X24" s="1567"/>
      <c r="Y24" s="3429"/>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9"/>
      <c r="Q25" s="1151" t="str">
        <f t="shared" si="8"/>
        <v>公共配套设施</v>
      </c>
      <c r="R25" s="1568" t="s">
        <v>8</v>
      </c>
      <c r="S25" s="1569">
        <f>F25</f>
        <v>100</v>
      </c>
      <c r="T25" s="1568" t="s">
        <v>8</v>
      </c>
      <c r="U25" s="1569">
        <f>H25</f>
        <v>100</v>
      </c>
      <c r="V25" s="1568" t="s">
        <v>8</v>
      </c>
      <c r="W25" s="1569">
        <f>J25</f>
        <v>100</v>
      </c>
      <c r="X25" s="1570"/>
      <c r="Y25" s="3429"/>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9"/>
      <c r="Q26" s="1151"/>
      <c r="R26" s="1568"/>
      <c r="S26" s="1569"/>
      <c r="T26" s="1568"/>
      <c r="U26" s="1569"/>
      <c r="V26" s="1568"/>
      <c r="W26" s="1569"/>
      <c r="X26" s="1570"/>
      <c r="Y26" s="3429"/>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9"/>
      <c r="Q27" s="2579" t="str">
        <f t="shared" ref="Q27" si="9">B27</f>
        <v>基础设施水平</v>
      </c>
      <c r="R27" s="1568" t="s">
        <v>8</v>
      </c>
      <c r="S27" s="1569">
        <f>F27</f>
        <v>100</v>
      </c>
      <c r="T27" s="1568" t="s">
        <v>8</v>
      </c>
      <c r="U27" s="1569">
        <f>H27</f>
        <v>100</v>
      </c>
      <c r="V27" s="1568" t="s">
        <v>8</v>
      </c>
      <c r="W27" s="1569">
        <f>J27</f>
        <v>100</v>
      </c>
      <c r="X27" s="1570"/>
      <c r="Y27" s="3429"/>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9"/>
      <c r="Q28" s="2579"/>
      <c r="R28" s="1568"/>
      <c r="S28" s="1569"/>
      <c r="T28" s="1568"/>
      <c r="U28" s="1569"/>
      <c r="V28" s="1568"/>
      <c r="W28" s="1569"/>
      <c r="X28" s="1570"/>
      <c r="Y28" s="3429"/>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9"/>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9"/>
      <c r="Q30" s="1572" t="str">
        <f t="shared" si="8"/>
        <v>毗邻道路的类型与等级</v>
      </c>
      <c r="R30" s="1573" t="s">
        <v>8</v>
      </c>
      <c r="S30" s="1574">
        <f t="shared" si="10"/>
        <v>100</v>
      </c>
      <c r="T30" s="1573" t="s">
        <v>8</v>
      </c>
      <c r="U30" s="1574">
        <f t="shared" si="11"/>
        <v>100</v>
      </c>
      <c r="V30" s="1573" t="s">
        <v>8</v>
      </c>
      <c r="W30" s="1574">
        <f t="shared" si="12"/>
        <v>100</v>
      </c>
      <c r="X30" s="1567"/>
      <c r="Y30" s="3429"/>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9"/>
      <c r="Q31" s="1572"/>
      <c r="R31" s="1573"/>
      <c r="S31" s="1574"/>
      <c r="T31" s="1573"/>
      <c r="U31" s="1574"/>
      <c r="V31" s="1573"/>
      <c r="W31" s="1574"/>
      <c r="X31" s="1567"/>
      <c r="Y31" s="3429"/>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9"/>
      <c r="Q32" s="1572" t="str">
        <f t="shared" si="8"/>
        <v>土地级别</v>
      </c>
      <c r="R32" s="1573" t="s">
        <v>8</v>
      </c>
      <c r="S32" s="1574">
        <f t="shared" si="10"/>
        <v>100</v>
      </c>
      <c r="T32" s="1573" t="s">
        <v>8</v>
      </c>
      <c r="U32" s="1574">
        <f t="shared" si="11"/>
        <v>100</v>
      </c>
      <c r="V32" s="1573" t="s">
        <v>8</v>
      </c>
      <c r="W32" s="1574">
        <f t="shared" si="12"/>
        <v>100</v>
      </c>
      <c r="X32" s="1567"/>
      <c r="Y32" s="3429"/>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9"/>
      <c r="Q33" s="1572">
        <f t="shared" si="8"/>
        <v>111</v>
      </c>
      <c r="R33" s="1573" t="s">
        <v>8</v>
      </c>
      <c r="S33" s="1574">
        <f t="shared" si="10"/>
        <v>100</v>
      </c>
      <c r="T33" s="1573" t="s">
        <v>8</v>
      </c>
      <c r="U33" s="1574">
        <f t="shared" si="11"/>
        <v>100</v>
      </c>
      <c r="V33" s="1573" t="s">
        <v>8</v>
      </c>
      <c r="W33" s="1574">
        <f t="shared" si="12"/>
        <v>100</v>
      </c>
      <c r="X33" s="1567"/>
      <c r="Y33" s="3429"/>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0" t="s">
        <v>550</v>
      </c>
      <c r="Q34" s="1572">
        <f t="shared" si="8"/>
        <v>111</v>
      </c>
      <c r="R34" s="1573" t="s">
        <v>8</v>
      </c>
      <c r="S34" s="1574">
        <f t="shared" si="10"/>
        <v>100</v>
      </c>
      <c r="T34" s="1573" t="s">
        <v>8</v>
      </c>
      <c r="U34" s="1574">
        <f t="shared" si="11"/>
        <v>100</v>
      </c>
      <c r="V34" s="1573" t="s">
        <v>8</v>
      </c>
      <c r="W34" s="1574">
        <f t="shared" si="12"/>
        <v>100</v>
      </c>
      <c r="X34" s="1567"/>
      <c r="Y34" s="3431"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1"/>
      <c r="Q35" s="1572">
        <f t="shared" si="8"/>
        <v>111</v>
      </c>
      <c r="R35" s="1577" t="s">
        <v>8</v>
      </c>
      <c r="S35" s="1578">
        <f t="shared" si="10"/>
        <v>100</v>
      </c>
      <c r="T35" s="1577" t="s">
        <v>8</v>
      </c>
      <c r="U35" s="1578">
        <f t="shared" si="11"/>
        <v>100</v>
      </c>
      <c r="V35" s="1577" t="s">
        <v>8</v>
      </c>
      <c r="W35" s="1578">
        <f t="shared" si="12"/>
        <v>100</v>
      </c>
      <c r="X35" s="1579"/>
      <c r="Y35" s="3431"/>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1"/>
      <c r="Q36" s="1572" t="str">
        <f>B36</f>
        <v>宗地面积</v>
      </c>
      <c r="R36" s="1573" t="s">
        <v>8</v>
      </c>
      <c r="S36" s="1574" t="e">
        <f t="shared" si="10"/>
        <v>#N/A</v>
      </c>
      <c r="T36" s="1573" t="s">
        <v>8</v>
      </c>
      <c r="U36" s="1574" t="e">
        <f t="shared" si="11"/>
        <v>#N/A</v>
      </c>
      <c r="V36" s="1573" t="s">
        <v>8</v>
      </c>
      <c r="W36" s="1574" t="e">
        <f t="shared" si="12"/>
        <v>#N/A</v>
      </c>
      <c r="X36" s="1567"/>
      <c r="Y36" s="3431"/>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1"/>
      <c r="Q37" s="1572" t="str">
        <f t="shared" ref="Q37:Q42" si="14">B37</f>
        <v>宗地形状</v>
      </c>
      <c r="R37" s="1573" t="s">
        <v>8</v>
      </c>
      <c r="S37" s="1574">
        <f t="shared" si="10"/>
        <v>100</v>
      </c>
      <c r="T37" s="1573" t="s">
        <v>8</v>
      </c>
      <c r="U37" s="1574">
        <f t="shared" si="11"/>
        <v>100</v>
      </c>
      <c r="V37" s="1573" t="s">
        <v>8</v>
      </c>
      <c r="W37" s="1574">
        <f t="shared" si="12"/>
        <v>100</v>
      </c>
      <c r="X37" s="1567"/>
      <c r="Y37" s="3431"/>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1"/>
      <c r="Q38" s="1572" t="str">
        <f t="shared" si="14"/>
        <v>宗地开发程度</v>
      </c>
      <c r="R38" s="1568" t="s">
        <v>8</v>
      </c>
      <c r="S38" s="1569">
        <f t="shared" si="10"/>
        <v>100</v>
      </c>
      <c r="T38" s="1568" t="s">
        <v>8</v>
      </c>
      <c r="U38" s="1569">
        <f t="shared" si="11"/>
        <v>100</v>
      </c>
      <c r="V38" s="1568" t="s">
        <v>8</v>
      </c>
      <c r="W38" s="1569">
        <f t="shared" si="12"/>
        <v>100</v>
      </c>
      <c r="X38" s="1570"/>
      <c r="Y38" s="3431"/>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1" t="s">
        <v>601</v>
      </c>
      <c r="Q39" s="1572" t="str">
        <f t="shared" si="14"/>
        <v>工程地质条件</v>
      </c>
      <c r="R39" s="1573" t="s">
        <v>8</v>
      </c>
      <c r="S39" s="1574">
        <f t="shared" si="10"/>
        <v>100</v>
      </c>
      <c r="T39" s="1573" t="s">
        <v>8</v>
      </c>
      <c r="U39" s="1574">
        <f t="shared" si="11"/>
        <v>100</v>
      </c>
      <c r="V39" s="1573" t="s">
        <v>8</v>
      </c>
      <c r="W39" s="1574">
        <f t="shared" si="12"/>
        <v>100</v>
      </c>
      <c r="X39" s="1567"/>
      <c r="Y39" s="3431"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1"/>
      <c r="Q40" s="1572">
        <f t="shared" si="14"/>
        <v>111</v>
      </c>
      <c r="R40" s="1573" t="s">
        <v>8</v>
      </c>
      <c r="S40" s="1574">
        <f t="shared" si="10"/>
        <v>100</v>
      </c>
      <c r="T40" s="1573" t="s">
        <v>8</v>
      </c>
      <c r="U40" s="1574">
        <f t="shared" si="11"/>
        <v>100</v>
      </c>
      <c r="V40" s="1573" t="s">
        <v>8</v>
      </c>
      <c r="W40" s="1574">
        <f t="shared" si="12"/>
        <v>100</v>
      </c>
      <c r="X40" s="1567"/>
      <c r="Y40" s="3431"/>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1"/>
      <c r="Q41" s="1572">
        <f t="shared" si="14"/>
        <v>111</v>
      </c>
      <c r="R41" s="1573" t="s">
        <v>8</v>
      </c>
      <c r="S41" s="1574">
        <f t="shared" si="10"/>
        <v>100</v>
      </c>
      <c r="T41" s="1573" t="s">
        <v>8</v>
      </c>
      <c r="U41" s="1574">
        <f t="shared" si="11"/>
        <v>100</v>
      </c>
      <c r="V41" s="1573" t="s">
        <v>8</v>
      </c>
      <c r="W41" s="1574">
        <f t="shared" si="12"/>
        <v>100</v>
      </c>
      <c r="X41" s="1567"/>
      <c r="Y41" s="3431"/>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1"/>
      <c r="Q42" s="1572">
        <f t="shared" si="14"/>
        <v>111</v>
      </c>
      <c r="R42" s="1577" t="s">
        <v>8</v>
      </c>
      <c r="S42" s="1578">
        <f t="shared" si="10"/>
        <v>100</v>
      </c>
      <c r="T42" s="1577" t="s">
        <v>8</v>
      </c>
      <c r="U42" s="1578">
        <f t="shared" si="11"/>
        <v>100</v>
      </c>
      <c r="V42" s="1577" t="s">
        <v>8</v>
      </c>
      <c r="W42" s="1578">
        <f t="shared" si="12"/>
        <v>100</v>
      </c>
      <c r="X42" s="1579"/>
      <c r="Y42" s="3431"/>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26" t="str">
        <f>A43</f>
        <v>成交单价</v>
      </c>
      <c r="Q43" s="3426"/>
      <c r="R43" s="3440">
        <f>E43</f>
        <v>0</v>
      </c>
      <c r="S43" s="3440"/>
      <c r="T43" s="3440">
        <f>G43</f>
        <v>0</v>
      </c>
      <c r="U43" s="3440"/>
      <c r="V43" s="3440">
        <f>I43</f>
        <v>0</v>
      </c>
      <c r="W43" s="3440"/>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26" t="str">
        <f>A44</f>
        <v>比较价格（元/平方米）</v>
      </c>
      <c r="Q44" s="3426"/>
      <c r="R44" s="3450" t="e">
        <f>ROUND(PRODUCT(R43,AA9:AA42),0)</f>
        <v>#DIV/0!</v>
      </c>
      <c r="S44" s="3450"/>
      <c r="T44" s="3450" t="e">
        <f>ROUND(PRODUCT(T43,AB9:AB42),0)</f>
        <v>#DIV/0!</v>
      </c>
      <c r="U44" s="3450"/>
      <c r="V44" s="3450" t="e">
        <f>ROUND(PRODUCT(V43,AC9:AC42),0)</f>
        <v>#DIV/0!</v>
      </c>
      <c r="W44" s="345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47" t="str">
        <f>A45</f>
        <v>估价对象XX用房的比较价格（楼面单价，元/平方米）</v>
      </c>
      <c r="Q45" s="3448"/>
      <c r="R45" s="3449" t="e">
        <f>ROUND(AVERAGE(R44:V44),0)</f>
        <v>#DIV/0!</v>
      </c>
      <c r="S45" s="3449"/>
      <c r="T45" s="3449"/>
      <c r="U45" s="3449"/>
      <c r="V45" s="3449"/>
      <c r="W45" s="344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51" t="s">
        <v>2287</v>
      </c>
      <c r="H52" s="3452"/>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53"/>
      <c r="H53" s="345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5"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3029</v>
      </c>
      <c r="F3" s="1413" t="s">
        <v>3015</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t="s">
        <v>3054</v>
      </c>
      <c r="D14" s="1453" t="s">
        <v>3054</v>
      </c>
      <c r="E14" s="1453" t="s">
        <v>3054</v>
      </c>
      <c r="F14" s="1454" t="s">
        <v>3055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3056</v>
      </c>
      <c r="F16" s="1462" t="s">
        <v>3057</v>
      </c>
      <c r="G16" s="1463" t="s">
        <v>3058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3157</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3074</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3074</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3093</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3074</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3074</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3094</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3093</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3074</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3074</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3183"/>
      <c r="L90" s="3183"/>
      <c r="M90" s="3183"/>
      <c r="N90" s="3183"/>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398" t="s">
        <v>1008</v>
      </c>
      <c r="B18" s="1154" t="s">
        <v>1447</v>
      </c>
      <c r="C18" s="1131" t="s">
        <v>1448</v>
      </c>
      <c r="D18" s="1132"/>
      <c r="E18" s="1154">
        <v>1</v>
      </c>
      <c r="F18" s="1133" t="s">
        <v>1449</v>
      </c>
      <c r="G18" s="1134"/>
      <c r="H18" s="1105"/>
      <c r="I18" s="1105"/>
    </row>
    <row r="19" spans="1:9" s="1599" customFormat="1" ht="19.5" customHeight="1">
      <c r="A19" s="3398"/>
      <c r="B19" s="3398" t="s">
        <v>1450</v>
      </c>
      <c r="C19" s="1131" t="s">
        <v>1451</v>
      </c>
      <c r="D19" s="1132"/>
      <c r="E19" s="1154">
        <v>0.9</v>
      </c>
      <c r="F19" s="1133" t="s">
        <v>1452</v>
      </c>
      <c r="G19" s="1134"/>
      <c r="H19" s="1105"/>
      <c r="I19" s="1105"/>
    </row>
    <row r="20" spans="1:9" s="1599" customFormat="1" ht="19.5" customHeight="1">
      <c r="A20" s="3398"/>
      <c r="B20" s="3398"/>
      <c r="C20" s="1131" t="s">
        <v>1453</v>
      </c>
      <c r="D20" s="1132"/>
      <c r="E20" s="1154">
        <v>1.1000000000000001</v>
      </c>
      <c r="F20" s="1133" t="s">
        <v>1454</v>
      </c>
      <c r="G20" s="1134"/>
      <c r="H20" s="1105"/>
      <c r="I20" s="1105"/>
    </row>
    <row r="21" spans="1:9" s="1599" customFormat="1" ht="19.5" customHeight="1">
      <c r="A21" s="3398"/>
      <c r="B21" s="3398"/>
      <c r="C21" s="1131" t="s">
        <v>1455</v>
      </c>
      <c r="D21" s="1132"/>
      <c r="E21" s="1154">
        <v>0.8</v>
      </c>
      <c r="F21" s="1133" t="s">
        <v>1456</v>
      </c>
      <c r="G21" s="1134"/>
      <c r="H21" s="1105"/>
      <c r="I21" s="1105"/>
    </row>
    <row r="22" spans="1:9" s="1599" customFormat="1" ht="19.5" customHeight="1">
      <c r="A22" s="3398"/>
      <c r="B22" s="3398"/>
      <c r="C22" s="1131" t="s">
        <v>1457</v>
      </c>
      <c r="D22" s="1132"/>
      <c r="E22" s="1154">
        <v>0.5</v>
      </c>
      <c r="F22" s="1133"/>
      <c r="G22" s="1134"/>
      <c r="H22" s="1105"/>
      <c r="I22" s="1105"/>
    </row>
    <row r="23" spans="1:9" s="1599" customFormat="1" ht="19.5" customHeight="1">
      <c r="A23" s="3398" t="s">
        <v>1030</v>
      </c>
      <c r="B23" s="1154" t="s">
        <v>1447</v>
      </c>
      <c r="C23" s="1131" t="s">
        <v>1458</v>
      </c>
      <c r="D23" s="1132"/>
      <c r="E23" s="1154">
        <v>1</v>
      </c>
      <c r="F23" s="1133" t="s">
        <v>1459</v>
      </c>
      <c r="G23" s="1134"/>
      <c r="H23" s="1105"/>
      <c r="I23" s="1105"/>
    </row>
    <row r="24" spans="1:9" s="1599" customFormat="1" ht="19.5" customHeight="1">
      <c r="A24" s="3398"/>
      <c r="B24" s="3398" t="s">
        <v>1450</v>
      </c>
      <c r="C24" s="1131" t="s">
        <v>1460</v>
      </c>
      <c r="D24" s="1132"/>
      <c r="E24" s="1154">
        <v>0.5</v>
      </c>
      <c r="F24" s="1133"/>
      <c r="G24" s="1134"/>
      <c r="H24" s="1105"/>
      <c r="I24" s="1105"/>
    </row>
    <row r="25" spans="1:9" s="1599" customFormat="1" ht="19.5" customHeight="1">
      <c r="A25" s="3398"/>
      <c r="B25" s="3398"/>
      <c r="C25" s="1131" t="s">
        <v>1461</v>
      </c>
      <c r="D25" s="1132"/>
      <c r="E25" s="1154">
        <v>1.1000000000000001</v>
      </c>
      <c r="F25" s="1133"/>
      <c r="G25" s="1134"/>
      <c r="H25" s="1105"/>
      <c r="I25" s="1105"/>
    </row>
    <row r="26" spans="1:9" s="1599" customFormat="1" ht="19.5" customHeight="1">
      <c r="A26" s="3398"/>
      <c r="B26" s="3398"/>
      <c r="C26" s="1131" t="s">
        <v>1462</v>
      </c>
      <c r="D26" s="1132"/>
      <c r="E26" s="1154">
        <v>1.1000000000000001</v>
      </c>
      <c r="F26" s="1133"/>
      <c r="G26" s="1134"/>
      <c r="H26" s="1105"/>
      <c r="I26" s="1105"/>
    </row>
    <row r="27" spans="1:9" s="1599" customFormat="1" ht="19.5" customHeight="1">
      <c r="A27" s="3398"/>
      <c r="B27" s="3398"/>
      <c r="C27" s="1131" t="s">
        <v>1463</v>
      </c>
      <c r="D27" s="1132"/>
      <c r="E27" s="1154">
        <v>0.9</v>
      </c>
      <c r="F27" s="1133" t="s">
        <v>1464</v>
      </c>
      <c r="G27" s="1134"/>
      <c r="H27" s="1105"/>
      <c r="I27" s="1105"/>
    </row>
    <row r="28" spans="1:9" s="1599" customFormat="1" ht="19.5" customHeight="1">
      <c r="A28" s="3398"/>
      <c r="B28" s="3398"/>
      <c r="C28" s="1131" t="s">
        <v>1465</v>
      </c>
      <c r="D28" s="1132"/>
      <c r="E28" s="1154">
        <v>0.9</v>
      </c>
      <c r="F28" s="1133" t="s">
        <v>1466</v>
      </c>
      <c r="G28" s="1134"/>
      <c r="H28" s="1105"/>
      <c r="I28" s="1105"/>
    </row>
    <row r="29" spans="1:9" s="1599" customFormat="1" ht="19.5" customHeight="1">
      <c r="A29" s="3398"/>
      <c r="B29" s="3398"/>
      <c r="C29" s="1131" t="s">
        <v>1467</v>
      </c>
      <c r="D29" s="1132"/>
      <c r="E29" s="1154">
        <v>0.9</v>
      </c>
      <c r="F29" s="1133" t="s">
        <v>1468</v>
      </c>
      <c r="G29" s="1134"/>
      <c r="H29" s="1105"/>
      <c r="I29" s="1105"/>
    </row>
    <row r="30" spans="1:9" s="1599" customFormat="1" ht="19.5" customHeight="1">
      <c r="A30" s="3398"/>
      <c r="B30" s="3398"/>
      <c r="C30" s="1131" t="s">
        <v>1469</v>
      </c>
      <c r="D30" s="1132"/>
      <c r="E30" s="1154">
        <v>0.9</v>
      </c>
      <c r="F30" s="1133" t="s">
        <v>1470</v>
      </c>
      <c r="G30" s="1134"/>
      <c r="H30" s="1105"/>
      <c r="I30" s="1105"/>
    </row>
    <row r="31" spans="1:9" s="1599" customFormat="1" ht="19.5" customHeight="1">
      <c r="A31" s="3398"/>
      <c r="B31" s="3398"/>
      <c r="C31" s="1131" t="s">
        <v>1471</v>
      </c>
      <c r="D31" s="1132"/>
      <c r="E31" s="1154">
        <v>0.8</v>
      </c>
      <c r="F31" s="1133" t="s">
        <v>1472</v>
      </c>
      <c r="G31" s="1134"/>
      <c r="H31" s="1105"/>
      <c r="I31" s="1105"/>
    </row>
    <row r="32" spans="1:9" s="1599" customFormat="1" ht="19.5" customHeight="1">
      <c r="A32" s="3398"/>
      <c r="B32" s="3398"/>
      <c r="C32" s="1131" t="s">
        <v>1473</v>
      </c>
      <c r="D32" s="1132"/>
      <c r="E32" s="1154">
        <v>0.8</v>
      </c>
      <c r="F32" s="1133" t="s">
        <v>1474</v>
      </c>
      <c r="G32" s="1134"/>
      <c r="H32" s="1105"/>
      <c r="I32" s="1105"/>
    </row>
    <row r="33" spans="1:9" s="1599" customFormat="1" ht="19.5" customHeight="1">
      <c r="A33" s="3398" t="s">
        <v>1475</v>
      </c>
      <c r="B33" s="1154" t="s">
        <v>1447</v>
      </c>
      <c r="C33" s="1131" t="s">
        <v>1476</v>
      </c>
      <c r="D33" s="1132"/>
      <c r="E33" s="1154">
        <v>1</v>
      </c>
      <c r="F33" s="1133" t="s">
        <v>1477</v>
      </c>
      <c r="G33" s="1134"/>
      <c r="H33" s="1105"/>
      <c r="I33" s="1105"/>
    </row>
    <row r="34" spans="1:9" s="1599" customFormat="1" ht="19.5" customHeight="1">
      <c r="A34" s="3398"/>
      <c r="B34" s="1154" t="s">
        <v>1450</v>
      </c>
      <c r="C34" s="1131" t="s">
        <v>1478</v>
      </c>
      <c r="D34" s="1132"/>
      <c r="E34" s="1154">
        <v>1.5</v>
      </c>
      <c r="F34" s="1133" t="s">
        <v>1479</v>
      </c>
      <c r="G34" s="1134"/>
      <c r="H34" s="1105"/>
      <c r="I34" s="1105"/>
    </row>
    <row r="35" spans="1:9" s="1599" customFormat="1" ht="19.5" customHeight="1">
      <c r="A35" s="3398" t="s">
        <v>1433</v>
      </c>
      <c r="B35" s="1154" t="s">
        <v>1447</v>
      </c>
      <c r="C35" s="1131" t="s">
        <v>1480</v>
      </c>
      <c r="D35" s="1132"/>
      <c r="E35" s="1154">
        <v>1</v>
      </c>
      <c r="F35" s="1133" t="s">
        <v>1481</v>
      </c>
      <c r="G35" s="1134"/>
      <c r="H35" s="1105"/>
      <c r="I35" s="1105"/>
    </row>
    <row r="36" spans="1:9" s="1599" customFormat="1" ht="19.5" customHeight="1">
      <c r="A36" s="3398"/>
      <c r="B36" s="3398" t="s">
        <v>1450</v>
      </c>
      <c r="C36" s="1131" t="s">
        <v>1482</v>
      </c>
      <c r="D36" s="1132"/>
      <c r="E36" s="1154">
        <v>1</v>
      </c>
      <c r="F36" s="1133" t="s">
        <v>1483</v>
      </c>
      <c r="G36" s="1134"/>
      <c r="H36" s="1105"/>
      <c r="I36" s="1105"/>
    </row>
    <row r="37" spans="1:9" s="1599" customFormat="1" ht="19.5" customHeight="1">
      <c r="A37" s="3398"/>
      <c r="B37" s="3398"/>
      <c r="C37" s="1131" t="s">
        <v>1484</v>
      </c>
      <c r="D37" s="1132"/>
      <c r="E37" s="1154">
        <v>1.5</v>
      </c>
      <c r="F37" s="1133" t="s">
        <v>1485</v>
      </c>
      <c r="G37" s="1134"/>
      <c r="H37" s="1105"/>
      <c r="I37" s="1105"/>
    </row>
    <row r="38" spans="1:9" s="1599" customFormat="1" ht="19.5" customHeight="1">
      <c r="A38" s="3398"/>
      <c r="B38" s="3398"/>
      <c r="C38" s="1131" t="s">
        <v>1486</v>
      </c>
      <c r="D38" s="1132"/>
      <c r="E38" s="1154">
        <v>1</v>
      </c>
      <c r="F38" s="1133" t="s">
        <v>1487</v>
      </c>
      <c r="G38" s="1134"/>
      <c r="H38" s="1105"/>
      <c r="I38" s="1105"/>
    </row>
    <row r="39" spans="1:9" s="1599" customFormat="1" ht="19.5" customHeight="1">
      <c r="A39" s="3398"/>
      <c r="B39" s="339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98" t="s">
        <v>1502</v>
      </c>
      <c r="C61" s="1068" t="s">
        <v>1503</v>
      </c>
      <c r="D61" s="1068" t="s">
        <v>1504</v>
      </c>
      <c r="E61" s="1139">
        <v>0.5</v>
      </c>
      <c r="F61" s="1154">
        <v>80</v>
      </c>
      <c r="H61" s="1105">
        <f>SUMIF(C59:C119,基准地价!C8,E59:E119)</f>
        <v>0</v>
      </c>
    </row>
    <row r="62" spans="1:8" s="1105" customFormat="1" ht="24">
      <c r="A62" s="1154">
        <v>2</v>
      </c>
      <c r="B62" s="3398"/>
      <c r="C62" s="1068" t="s">
        <v>1505</v>
      </c>
      <c r="D62" s="1068" t="s">
        <v>1506</v>
      </c>
      <c r="E62" s="1139">
        <v>0.5</v>
      </c>
      <c r="F62" s="1154">
        <v>80</v>
      </c>
    </row>
    <row r="63" spans="1:8" s="1105" customFormat="1" ht="36">
      <c r="A63" s="1154">
        <v>3</v>
      </c>
      <c r="B63" s="3398"/>
      <c r="C63" s="1068" t="s">
        <v>1507</v>
      </c>
      <c r="D63" s="1068" t="s">
        <v>1508</v>
      </c>
      <c r="E63" s="1139">
        <v>0.5</v>
      </c>
      <c r="F63" s="1154">
        <v>80</v>
      </c>
    </row>
    <row r="64" spans="1:8" s="1105" customFormat="1" ht="36">
      <c r="A64" s="1154">
        <v>4</v>
      </c>
      <c r="B64" s="3398"/>
      <c r="C64" s="1068" t="s">
        <v>1509</v>
      </c>
      <c r="D64" s="1068" t="s">
        <v>1510</v>
      </c>
      <c r="E64" s="1139">
        <v>0.4</v>
      </c>
      <c r="F64" s="1154">
        <v>60</v>
      </c>
    </row>
    <row r="65" spans="1:6" s="1105" customFormat="1" ht="36">
      <c r="A65" s="1154">
        <v>5</v>
      </c>
      <c r="B65" s="3398"/>
      <c r="C65" s="1068" t="s">
        <v>1511</v>
      </c>
      <c r="D65" s="1068" t="s">
        <v>1512</v>
      </c>
      <c r="E65" s="1139">
        <v>0.2</v>
      </c>
      <c r="F65" s="1154">
        <v>30</v>
      </c>
    </row>
    <row r="66" spans="1:6" s="1105" customFormat="1" ht="36">
      <c r="A66" s="1154">
        <v>6</v>
      </c>
      <c r="B66" s="3398"/>
      <c r="C66" s="1068" t="s">
        <v>1513</v>
      </c>
      <c r="D66" s="1068" t="s">
        <v>1514</v>
      </c>
      <c r="E66" s="1139">
        <v>0.3</v>
      </c>
      <c r="F66" s="1154">
        <v>50</v>
      </c>
    </row>
    <row r="67" spans="1:6" s="1105" customFormat="1" ht="36">
      <c r="A67" s="1154">
        <v>7</v>
      </c>
      <c r="B67" s="3398"/>
      <c r="C67" s="1068" t="s">
        <v>1515</v>
      </c>
      <c r="D67" s="1068" t="s">
        <v>1516</v>
      </c>
      <c r="E67" s="1139">
        <v>0.2</v>
      </c>
      <c r="F67" s="1154">
        <v>30</v>
      </c>
    </row>
    <row r="68" spans="1:6" s="1105" customFormat="1" ht="36">
      <c r="A68" s="1154">
        <v>8</v>
      </c>
      <c r="B68" s="3398"/>
      <c r="C68" s="1068" t="s">
        <v>1517</v>
      </c>
      <c r="D68" s="1068" t="s">
        <v>1518</v>
      </c>
      <c r="E68" s="1139">
        <v>0.2</v>
      </c>
      <c r="F68" s="1154">
        <v>30</v>
      </c>
    </row>
    <row r="69" spans="1:6" s="1105" customFormat="1" ht="36">
      <c r="A69" s="1154">
        <v>9</v>
      </c>
      <c r="B69" s="3398"/>
      <c r="C69" s="1068" t="s">
        <v>1519</v>
      </c>
      <c r="D69" s="1068" t="s">
        <v>1520</v>
      </c>
      <c r="E69" s="1139">
        <v>0.2</v>
      </c>
      <c r="F69" s="1154">
        <v>30</v>
      </c>
    </row>
    <row r="70" spans="1:6" s="1105" customFormat="1" ht="48">
      <c r="A70" s="1154">
        <v>10</v>
      </c>
      <c r="B70" s="3398"/>
      <c r="C70" s="1068" t="s">
        <v>1521</v>
      </c>
      <c r="D70" s="1068" t="s">
        <v>1522</v>
      </c>
      <c r="E70" s="1139">
        <v>0.2</v>
      </c>
      <c r="F70" s="1154">
        <v>30</v>
      </c>
    </row>
    <row r="71" spans="1:6" s="1105" customFormat="1" ht="48">
      <c r="A71" s="1154">
        <v>11</v>
      </c>
      <c r="B71" s="3398"/>
      <c r="C71" s="1068" t="s">
        <v>1523</v>
      </c>
      <c r="D71" s="1068" t="s">
        <v>1524</v>
      </c>
      <c r="E71" s="1139">
        <v>0.2</v>
      </c>
      <c r="F71" s="1154">
        <v>30</v>
      </c>
    </row>
    <row r="72" spans="1:6" s="1105" customFormat="1" ht="36">
      <c r="A72" s="1154">
        <v>12</v>
      </c>
      <c r="B72" s="3398"/>
      <c r="C72" s="1068" t="s">
        <v>1525</v>
      </c>
      <c r="D72" s="1068" t="s">
        <v>1526</v>
      </c>
      <c r="E72" s="1139">
        <v>0.5</v>
      </c>
      <c r="F72" s="1154">
        <v>80</v>
      </c>
    </row>
    <row r="73" spans="1:6" s="1105" customFormat="1" ht="24">
      <c r="A73" s="1154">
        <v>13</v>
      </c>
      <c r="B73" s="3398"/>
      <c r="C73" s="1068" t="s">
        <v>1527</v>
      </c>
      <c r="D73" s="1068" t="s">
        <v>1528</v>
      </c>
      <c r="E73" s="1139">
        <v>0.4</v>
      </c>
      <c r="F73" s="1154">
        <v>60</v>
      </c>
    </row>
    <row r="74" spans="1:6" s="1105" customFormat="1" ht="24">
      <c r="A74" s="1154">
        <v>14</v>
      </c>
      <c r="B74" s="3398"/>
      <c r="C74" s="1068" t="s">
        <v>1529</v>
      </c>
      <c r="D74" s="1068" t="s">
        <v>1530</v>
      </c>
      <c r="E74" s="1139">
        <v>0.2</v>
      </c>
      <c r="F74" s="1154">
        <v>30</v>
      </c>
    </row>
    <row r="75" spans="1:6" s="1105" customFormat="1" ht="24">
      <c r="A75" s="1154">
        <v>15</v>
      </c>
      <c r="B75" s="3398"/>
      <c r="C75" s="1068" t="s">
        <v>1531</v>
      </c>
      <c r="D75" s="1068" t="s">
        <v>1532</v>
      </c>
      <c r="E75" s="1139">
        <v>0.2</v>
      </c>
      <c r="F75" s="1154">
        <v>30</v>
      </c>
    </row>
    <row r="76" spans="1:6" s="1105" customFormat="1" ht="24">
      <c r="A76" s="1154">
        <v>16</v>
      </c>
      <c r="B76" s="3398" t="s">
        <v>1533</v>
      </c>
      <c r="C76" s="1068" t="s">
        <v>1534</v>
      </c>
      <c r="D76" s="1068" t="s">
        <v>1535</v>
      </c>
      <c r="E76" s="1139">
        <v>0.5</v>
      </c>
      <c r="F76" s="1154">
        <v>80</v>
      </c>
    </row>
    <row r="77" spans="1:6" s="1105" customFormat="1" ht="24">
      <c r="A77" s="1154">
        <v>17</v>
      </c>
      <c r="B77" s="3398"/>
      <c r="C77" s="1068" t="s">
        <v>1536</v>
      </c>
      <c r="D77" s="1068" t="s">
        <v>1537</v>
      </c>
      <c r="E77" s="1139">
        <v>0.5</v>
      </c>
      <c r="F77" s="1154">
        <v>80</v>
      </c>
    </row>
    <row r="78" spans="1:6" s="1105" customFormat="1" ht="24">
      <c r="A78" s="1154">
        <v>18</v>
      </c>
      <c r="B78" s="3398"/>
      <c r="C78" s="1068" t="s">
        <v>1538</v>
      </c>
      <c r="D78" s="1068" t="s">
        <v>1539</v>
      </c>
      <c r="E78" s="1139">
        <v>0.2</v>
      </c>
      <c r="F78" s="1154">
        <v>30</v>
      </c>
    </row>
    <row r="79" spans="1:6" s="1105" customFormat="1" ht="24">
      <c r="A79" s="1154">
        <v>19</v>
      </c>
      <c r="B79" s="3398"/>
      <c r="C79" s="1068" t="s">
        <v>1540</v>
      </c>
      <c r="D79" s="1068" t="s">
        <v>1541</v>
      </c>
      <c r="E79" s="1139">
        <v>0.5</v>
      </c>
      <c r="F79" s="1154">
        <v>80</v>
      </c>
    </row>
    <row r="80" spans="1:6" s="1105" customFormat="1" ht="36">
      <c r="A80" s="1154">
        <v>20</v>
      </c>
      <c r="B80" s="3398"/>
      <c r="C80" s="1068" t="s">
        <v>1542</v>
      </c>
      <c r="D80" s="1068" t="s">
        <v>1543</v>
      </c>
      <c r="E80" s="1139">
        <v>0.2</v>
      </c>
      <c r="F80" s="1154">
        <v>30</v>
      </c>
    </row>
    <row r="81" spans="1:6" s="1105" customFormat="1" ht="36">
      <c r="A81" s="1154">
        <v>21</v>
      </c>
      <c r="B81" s="3398"/>
      <c r="C81" s="1068" t="s">
        <v>1544</v>
      </c>
      <c r="D81" s="1068" t="s">
        <v>1545</v>
      </c>
      <c r="E81" s="1139">
        <v>0.2</v>
      </c>
      <c r="F81" s="1154">
        <v>30</v>
      </c>
    </row>
    <row r="82" spans="1:6" s="1105" customFormat="1" ht="48">
      <c r="A82" s="1154">
        <v>22</v>
      </c>
      <c r="B82" s="3398"/>
      <c r="C82" s="1068" t="s">
        <v>1546</v>
      </c>
      <c r="D82" s="1068" t="s">
        <v>1547</v>
      </c>
      <c r="E82" s="1139">
        <v>0.2</v>
      </c>
      <c r="F82" s="1154">
        <v>30</v>
      </c>
    </row>
    <row r="83" spans="1:6" s="1105" customFormat="1" ht="48">
      <c r="A83" s="1154">
        <v>23</v>
      </c>
      <c r="B83" s="3398"/>
      <c r="C83" s="1068" t="s">
        <v>1548</v>
      </c>
      <c r="D83" s="1068" t="s">
        <v>1549</v>
      </c>
      <c r="E83" s="1139">
        <v>0.2</v>
      </c>
      <c r="F83" s="1154">
        <v>30</v>
      </c>
    </row>
    <row r="84" spans="1:6" s="1105" customFormat="1" ht="36">
      <c r="A84" s="1154">
        <v>24</v>
      </c>
      <c r="B84" s="3398"/>
      <c r="C84" s="1068" t="s">
        <v>1550</v>
      </c>
      <c r="D84" s="1068" t="s">
        <v>1551</v>
      </c>
      <c r="E84" s="1139">
        <v>0.2</v>
      </c>
      <c r="F84" s="1154">
        <v>30</v>
      </c>
    </row>
    <row r="85" spans="1:6" s="1105" customFormat="1" ht="36">
      <c r="A85" s="1154">
        <v>25</v>
      </c>
      <c r="B85" s="3398"/>
      <c r="C85" s="1068" t="s">
        <v>1552</v>
      </c>
      <c r="D85" s="1068" t="s">
        <v>1553</v>
      </c>
      <c r="E85" s="1139">
        <v>0.5</v>
      </c>
      <c r="F85" s="1154">
        <v>80</v>
      </c>
    </row>
    <row r="86" spans="1:6" s="1105" customFormat="1" ht="36">
      <c r="A86" s="1154">
        <v>26</v>
      </c>
      <c r="B86" s="3398"/>
      <c r="C86" s="1068" t="s">
        <v>1554</v>
      </c>
      <c r="D86" s="1068" t="s">
        <v>1555</v>
      </c>
      <c r="E86" s="1139">
        <v>0.2</v>
      </c>
      <c r="F86" s="1154">
        <v>30</v>
      </c>
    </row>
    <row r="87" spans="1:6" s="1105" customFormat="1" ht="36">
      <c r="A87" s="1154">
        <v>27</v>
      </c>
      <c r="B87" s="3398"/>
      <c r="C87" s="1068" t="s">
        <v>1556</v>
      </c>
      <c r="D87" s="1068" t="s">
        <v>1557</v>
      </c>
      <c r="E87" s="1139">
        <v>0.2</v>
      </c>
      <c r="F87" s="1154">
        <v>30</v>
      </c>
    </row>
    <row r="88" spans="1:6" s="1105" customFormat="1" ht="36">
      <c r="A88" s="1154">
        <v>28</v>
      </c>
      <c r="B88" s="3398"/>
      <c r="C88" s="1068" t="s">
        <v>1558</v>
      </c>
      <c r="D88" s="1068" t="s">
        <v>1559</v>
      </c>
      <c r="E88" s="1139">
        <v>0.2</v>
      </c>
      <c r="F88" s="1154">
        <v>30</v>
      </c>
    </row>
    <row r="89" spans="1:6" s="1105" customFormat="1" ht="24">
      <c r="A89" s="1154">
        <v>29</v>
      </c>
      <c r="B89" s="3398"/>
      <c r="C89" s="1068" t="s">
        <v>1560</v>
      </c>
      <c r="D89" s="1068" t="s">
        <v>1561</v>
      </c>
      <c r="E89" s="1139">
        <v>0.2</v>
      </c>
      <c r="F89" s="1154">
        <v>30</v>
      </c>
    </row>
    <row r="90" spans="1:6" s="1105" customFormat="1" ht="24">
      <c r="A90" s="1154">
        <v>30</v>
      </c>
      <c r="B90" s="3398"/>
      <c r="C90" s="1068" t="s">
        <v>1562</v>
      </c>
      <c r="D90" s="1068" t="s">
        <v>1563</v>
      </c>
      <c r="E90" s="1139">
        <v>0.2</v>
      </c>
      <c r="F90" s="1154">
        <v>30</v>
      </c>
    </row>
    <row r="91" spans="1:6" s="1105" customFormat="1" ht="36">
      <c r="A91" s="1154">
        <v>31</v>
      </c>
      <c r="B91" s="3398"/>
      <c r="C91" s="1068" t="s">
        <v>1564</v>
      </c>
      <c r="D91" s="1068" t="s">
        <v>1565</v>
      </c>
      <c r="E91" s="1139">
        <v>0.2</v>
      </c>
      <c r="F91" s="1154">
        <v>30</v>
      </c>
    </row>
    <row r="92" spans="1:6" s="1105" customFormat="1" ht="24">
      <c r="A92" s="1154">
        <v>32</v>
      </c>
      <c r="B92" s="3398" t="s">
        <v>1566</v>
      </c>
      <c r="C92" s="1154" t="s">
        <v>1567</v>
      </c>
      <c r="D92" s="1068" t="s">
        <v>1568</v>
      </c>
      <c r="E92" s="1139">
        <v>0.2</v>
      </c>
      <c r="F92" s="1154">
        <v>30</v>
      </c>
    </row>
    <row r="93" spans="1:6" s="1105" customFormat="1" ht="36">
      <c r="A93" s="1154">
        <v>33</v>
      </c>
      <c r="B93" s="3398"/>
      <c r="C93" s="1154" t="s">
        <v>1569</v>
      </c>
      <c r="D93" s="1068" t="s">
        <v>1570</v>
      </c>
      <c r="E93" s="1139">
        <v>0.2</v>
      </c>
      <c r="F93" s="1154">
        <v>30</v>
      </c>
    </row>
    <row r="94" spans="1:6" s="1105" customFormat="1" ht="48">
      <c r="A94" s="1154">
        <v>34</v>
      </c>
      <c r="B94" s="3398"/>
      <c r="C94" s="1154" t="s">
        <v>1571</v>
      </c>
      <c r="D94" s="1068" t="s">
        <v>1572</v>
      </c>
      <c r="E94" s="1139">
        <v>0.2</v>
      </c>
      <c r="F94" s="1154">
        <v>30</v>
      </c>
    </row>
    <row r="95" spans="1:6" s="1105" customFormat="1" ht="36">
      <c r="A95" s="1154">
        <v>35</v>
      </c>
      <c r="B95" s="3398"/>
      <c r="C95" s="1154" t="s">
        <v>1573</v>
      </c>
      <c r="D95" s="1068" t="s">
        <v>1574</v>
      </c>
      <c r="E95" s="1139">
        <v>0.2</v>
      </c>
      <c r="F95" s="1154">
        <v>30</v>
      </c>
    </row>
    <row r="96" spans="1:6" s="1105" customFormat="1" ht="48">
      <c r="A96" s="1154">
        <v>36</v>
      </c>
      <c r="B96" s="3398"/>
      <c r="C96" s="1068" t="s">
        <v>1575</v>
      </c>
      <c r="D96" s="1068" t="s">
        <v>1576</v>
      </c>
      <c r="E96" s="1139">
        <v>0.2</v>
      </c>
      <c r="F96" s="1154">
        <v>30</v>
      </c>
    </row>
    <row r="97" spans="1:6" s="1105" customFormat="1" ht="36">
      <c r="A97" s="1154">
        <v>37</v>
      </c>
      <c r="B97" s="3398"/>
      <c r="C97" s="1154" t="s">
        <v>1577</v>
      </c>
      <c r="D97" s="1068" t="s">
        <v>1578</v>
      </c>
      <c r="E97" s="1139">
        <v>0.2</v>
      </c>
      <c r="F97" s="1154">
        <v>30</v>
      </c>
    </row>
    <row r="98" spans="1:6" s="1105" customFormat="1" ht="36">
      <c r="A98" s="1154">
        <v>38</v>
      </c>
      <c r="B98" s="3398"/>
      <c r="C98" s="1154" t="s">
        <v>1579</v>
      </c>
      <c r="D98" s="1068" t="s">
        <v>1580</v>
      </c>
      <c r="E98" s="1139">
        <v>0.2</v>
      </c>
      <c r="F98" s="1154">
        <v>30</v>
      </c>
    </row>
    <row r="99" spans="1:6" s="1105" customFormat="1" ht="36">
      <c r="A99" s="1154">
        <v>39</v>
      </c>
      <c r="B99" s="3398" t="s">
        <v>1581</v>
      </c>
      <c r="C99" s="1154" t="s">
        <v>1582</v>
      </c>
      <c r="D99" s="1068" t="s">
        <v>1583</v>
      </c>
      <c r="E99" s="1139">
        <v>0.3</v>
      </c>
      <c r="F99" s="1154">
        <v>50</v>
      </c>
    </row>
    <row r="100" spans="1:6" s="1105" customFormat="1" ht="24">
      <c r="A100" s="1154">
        <v>40</v>
      </c>
      <c r="B100" s="3398"/>
      <c r="C100" s="1154" t="s">
        <v>1584</v>
      </c>
      <c r="D100" s="1068" t="s">
        <v>1585</v>
      </c>
      <c r="E100" s="1139">
        <v>0.2</v>
      </c>
      <c r="F100" s="1154">
        <v>30</v>
      </c>
    </row>
    <row r="101" spans="1:6" s="1105" customFormat="1" ht="36">
      <c r="A101" s="1154">
        <v>41</v>
      </c>
      <c r="B101" s="339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98" t="s">
        <v>1596</v>
      </c>
      <c r="C105" s="1154" t="s">
        <v>1597</v>
      </c>
      <c r="D105" s="1068" t="s">
        <v>1598</v>
      </c>
      <c r="E105" s="1139">
        <v>0.2</v>
      </c>
      <c r="F105" s="1154">
        <v>30</v>
      </c>
    </row>
    <row r="106" spans="1:6" s="1105" customFormat="1" ht="36">
      <c r="A106" s="1154">
        <v>46</v>
      </c>
      <c r="B106" s="3398"/>
      <c r="C106" s="1154" t="s">
        <v>1599</v>
      </c>
      <c r="D106" s="1068" t="s">
        <v>1600</v>
      </c>
      <c r="E106" s="1139">
        <v>0.2</v>
      </c>
      <c r="F106" s="1154">
        <v>30</v>
      </c>
    </row>
    <row r="107" spans="1:6" s="1105" customFormat="1" ht="36">
      <c r="A107" s="1154">
        <v>47</v>
      </c>
      <c r="B107" s="3398" t="s">
        <v>1601</v>
      </c>
      <c r="C107" s="1154" t="s">
        <v>1602</v>
      </c>
      <c r="D107" s="1068" t="s">
        <v>1603</v>
      </c>
      <c r="E107" s="1139">
        <v>0.3</v>
      </c>
      <c r="F107" s="1154">
        <v>50</v>
      </c>
    </row>
    <row r="108" spans="1:6" s="1105" customFormat="1" ht="36">
      <c r="A108" s="1154">
        <v>48</v>
      </c>
      <c r="B108" s="339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98" t="s">
        <v>1612</v>
      </c>
      <c r="C111" s="1154" t="s">
        <v>1613</v>
      </c>
      <c r="D111" s="1068" t="s">
        <v>1614</v>
      </c>
      <c r="E111" s="1139">
        <v>0.2</v>
      </c>
      <c r="F111" s="1154">
        <v>30</v>
      </c>
    </row>
    <row r="112" spans="1:6" s="1105" customFormat="1" ht="24">
      <c r="A112" s="1154">
        <v>52</v>
      </c>
      <c r="B112" s="3398"/>
      <c r="C112" s="1154" t="s">
        <v>1615</v>
      </c>
      <c r="D112" s="1068" t="s">
        <v>1616</v>
      </c>
      <c r="E112" s="1139">
        <v>0.2</v>
      </c>
      <c r="F112" s="1154">
        <v>30</v>
      </c>
    </row>
    <row r="113" spans="1:14" s="1105" customFormat="1" ht="24">
      <c r="A113" s="1154">
        <v>53</v>
      </c>
      <c r="B113" s="339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98" t="s">
        <v>1625</v>
      </c>
      <c r="C116" s="1154" t="s">
        <v>1626</v>
      </c>
      <c r="D116" s="1068" t="s">
        <v>1627</v>
      </c>
      <c r="E116" s="1139">
        <v>0.2</v>
      </c>
      <c r="F116" s="1154">
        <v>30</v>
      </c>
    </row>
    <row r="117" spans="1:14" ht="36">
      <c r="A117" s="1154">
        <v>57</v>
      </c>
      <c r="B117" s="339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7" t="s">
        <v>1634</v>
      </c>
      <c r="B121" s="3397"/>
      <c r="C121" s="3397"/>
      <c r="D121" s="3397"/>
      <c r="E121" s="3397"/>
      <c r="F121" s="3397"/>
      <c r="G121" s="3397"/>
      <c r="H121" s="3397"/>
      <c r="I121" s="3397"/>
      <c r="J121" s="339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2" t="s">
        <v>1040</v>
      </c>
      <c r="B1" s="3462"/>
      <c r="C1" s="3462"/>
      <c r="D1" s="3462"/>
      <c r="E1" s="3462"/>
      <c r="F1" s="346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3" t="s">
        <v>1053</v>
      </c>
      <c r="B2" s="3463"/>
      <c r="C2" s="3463"/>
      <c r="D2" s="3463"/>
      <c r="E2" s="3463"/>
      <c r="F2" s="346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6" t="s">
        <v>2082</v>
      </c>
      <c r="B1" s="3466"/>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68" t="s">
        <v>2466</v>
      </c>
      <c r="C8" s="1826">
        <f ca="1">ROUND(F8*F10*F9*(1-F11)/10000,0)</f>
        <v>0</v>
      </c>
      <c r="D8" s="1823" t="s">
        <v>2537</v>
      </c>
      <c r="E8" s="61" t="s">
        <v>637</v>
      </c>
      <c r="F8" s="785">
        <f ca="1">INDIRECT("'数据-取费表'!u"&amp;$G$1)</f>
        <v>0</v>
      </c>
      <c r="G8" s="1592"/>
      <c r="H8" s="2505" t="s">
        <v>1825</v>
      </c>
      <c r="I8" s="3468" t="s">
        <v>2466</v>
      </c>
      <c r="J8" s="783">
        <f ca="1">ROUND(M8*M10*M9*(1-M11)/10000,0)</f>
        <v>0</v>
      </c>
      <c r="K8" s="341" t="s">
        <v>2537</v>
      </c>
      <c r="L8" s="784" t="s">
        <v>1739</v>
      </c>
      <c r="M8" s="785">
        <f ca="1">INDIRECT("'数据-取费表'!z"&amp;$G$1)</f>
        <v>0</v>
      </c>
    </row>
    <row r="9" spans="1:25" ht="18" customHeight="1">
      <c r="A9" s="2501"/>
      <c r="B9" s="3469"/>
      <c r="C9" s="1827"/>
      <c r="D9" s="1824"/>
      <c r="E9" s="61" t="s">
        <v>638</v>
      </c>
      <c r="F9" s="785">
        <f ca="1">IF(INDIRECT("'数据-取费表'!ah"&amp;$G$1)="",INDIRECT("'数据-取费表'!k"&amp;$G$1),INDIRECT("'数据-取费表'!ah"&amp;$G$1))</f>
        <v>0</v>
      </c>
      <c r="G9" s="1592"/>
      <c r="H9" s="2490"/>
      <c r="I9" s="3469"/>
      <c r="J9" s="788"/>
      <c r="K9" s="789"/>
      <c r="L9" s="784" t="s">
        <v>1740</v>
      </c>
      <c r="M9" s="785">
        <f ca="1">F9</f>
        <v>0</v>
      </c>
    </row>
    <row r="10" spans="1:25" ht="18" customHeight="1">
      <c r="A10" s="2494"/>
      <c r="B10" s="3470"/>
      <c r="C10" s="1827"/>
      <c r="D10" s="1824"/>
      <c r="E10" s="61" t="s">
        <v>639</v>
      </c>
      <c r="F10" s="785">
        <f ca="1">INDIRECT("'数据-取费表'!ai"&amp;$G$1)</f>
        <v>0</v>
      </c>
      <c r="G10" s="1592"/>
      <c r="H10" s="2490"/>
      <c r="I10" s="3470"/>
      <c r="J10" s="788"/>
      <c r="K10" s="789"/>
      <c r="L10" s="784" t="s">
        <v>1741</v>
      </c>
      <c r="M10" s="785">
        <f ca="1">INDIRECT("'数据-取费表'!ai"&amp;$G$1)</f>
        <v>0</v>
      </c>
    </row>
    <row r="11" spans="1:25" ht="18" customHeight="1">
      <c r="A11" s="786"/>
      <c r="B11" s="3471"/>
      <c r="C11" s="1827"/>
      <c r="D11" s="1824"/>
      <c r="E11" s="61" t="s">
        <v>640</v>
      </c>
      <c r="F11" s="794">
        <f ca="1">INDIRECT("'数据-取费表'!w"&amp;$G$1)</f>
        <v>0</v>
      </c>
      <c r="G11" s="1592"/>
      <c r="H11" s="2506"/>
      <c r="I11" s="3470"/>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7"/>
      <c r="J36" s="2080"/>
      <c r="K36" s="2081"/>
      <c r="L36" s="2080"/>
      <c r="M36" s="2080"/>
    </row>
    <row r="37" spans="1:18" ht="18" customHeight="1">
      <c r="A37" s="815"/>
      <c r="B37" s="793"/>
      <c r="C37" s="69"/>
      <c r="D37" s="816"/>
      <c r="E37" s="784" t="s">
        <v>674</v>
      </c>
      <c r="F37" s="785">
        <f ca="1">INDIRECT("'数据-取费表'!r"&amp;$G$1)</f>
        <v>0</v>
      </c>
      <c r="G37" s="2063"/>
      <c r="H37" s="2066"/>
      <c r="I37" s="346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72"/>
      <c r="L54" s="3473"/>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38686</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38686</v>
      </c>
      <c r="C3" s="2105"/>
      <c r="D3" s="2105"/>
      <c r="E3" s="2105"/>
      <c r="F3" s="2105"/>
      <c r="G3" s="2105"/>
      <c r="H3" s="2105"/>
      <c r="I3" s="2105"/>
      <c r="J3" s="2105"/>
      <c r="K3" s="2105"/>
    </row>
    <row r="4" spans="1:31" s="2042" customFormat="1" ht="18" customHeight="1">
      <c r="A4" s="426" t="s">
        <v>468</v>
      </c>
      <c r="B4" s="427">
        <f ca="1">ROUND(B2*10000/IF(B1="",'数据-汇总表'!D3,INDIRECT("'数据-取费表'!R"&amp;$K$1)),0)</f>
        <v>477664</v>
      </c>
      <c r="C4" s="428"/>
      <c r="D4" s="422"/>
      <c r="E4" s="422"/>
      <c r="F4" s="422"/>
      <c r="G4" s="422"/>
      <c r="H4" s="422"/>
      <c r="I4" s="422"/>
      <c r="J4" s="422"/>
      <c r="K4" s="422"/>
    </row>
    <row r="5" spans="1:31" s="2042" customFormat="1" ht="18" customHeight="1" thickBot="1">
      <c r="A5" s="429"/>
      <c r="B5" s="430">
        <f ca="1">ROUND(B2/(IF(B1="",'数据-汇总表'!D3,INDIRECT("'数据-取费表'!R"&amp;$K$1))/666.67),0)</f>
        <v>31844</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207" t="s">
        <v>476</v>
      </c>
      <c r="E12" s="3207" t="s">
        <v>477</v>
      </c>
      <c r="F12" s="3207"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207">
        <f ca="1">ROUND(D19*E19/10000,0)</f>
        <v>0</v>
      </c>
      <c r="D19" s="2855">
        <f ca="1">D16</f>
        <v>10000</v>
      </c>
      <c r="E19" s="3207">
        <f>'数据-取费表'!B32</f>
        <v>0</v>
      </c>
      <c r="F19" s="468"/>
      <c r="G19" s="2813" t="s">
        <v>489</v>
      </c>
      <c r="H19" s="2814"/>
      <c r="I19" s="2818"/>
      <c r="J19" s="2818"/>
      <c r="K19" s="2819"/>
    </row>
    <row r="20" spans="1:14" s="2117" customFormat="1" ht="13.5" customHeight="1">
      <c r="A20" s="2851" t="s">
        <v>1856</v>
      </c>
      <c r="B20" s="2852" t="s">
        <v>490</v>
      </c>
      <c r="C20" s="3207">
        <f ca="1">C21+C22-IF(B1="",'数据-取费表'!B29,IF(G20="已全部缴纳",C21+C22,H20))</f>
        <v>160</v>
      </c>
      <c r="D20" s="2855"/>
      <c r="E20" s="3207"/>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38686</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topLeftCell="A16"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3029</v>
      </c>
      <c r="F3" s="1413" t="s">
        <v>3015</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93"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211" t="s">
        <v>2767</v>
      </c>
      <c r="X7" s="2928" t="str">
        <f>G2</f>
        <v>七级</v>
      </c>
      <c r="Y7" s="2928" t="s">
        <v>2768</v>
      </c>
      <c r="Z7" s="2929">
        <f>G3</f>
        <v>1</v>
      </c>
      <c r="AA7" s="2193"/>
      <c r="AB7" s="2193"/>
      <c r="AC7" s="2194"/>
      <c r="AD7" s="2930"/>
      <c r="AE7" s="2930"/>
      <c r="AF7" s="2930"/>
      <c r="AG7" s="2930"/>
      <c r="AH7" s="2930"/>
      <c r="AI7" s="2930"/>
      <c r="AJ7" s="2931"/>
    </row>
    <row r="8" spans="1:39" ht="15">
      <c r="A8" s="3394"/>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403" t="s">
        <v>2785</v>
      </c>
      <c r="X8" s="340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94"/>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402"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94"/>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402"/>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94"/>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40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93"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402"/>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5"/>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402"/>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5"/>
      <c r="B14" s="1451"/>
      <c r="C14" s="1452" t="s">
        <v>3054</v>
      </c>
      <c r="D14" s="1453" t="s">
        <v>3054</v>
      </c>
      <c r="E14" s="1453" t="s">
        <v>3054</v>
      </c>
      <c r="F14" s="1454" t="s">
        <v>3055</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93" t="s">
        <v>1839</v>
      </c>
      <c r="B16" s="1427" t="s">
        <v>950</v>
      </c>
      <c r="C16" s="1054">
        <f>ROUND(SUM(G17:J17)/C17,0)</f>
        <v>20</v>
      </c>
      <c r="D16" s="1460" t="s">
        <v>951</v>
      </c>
      <c r="E16" s="1461" t="s">
        <v>3056</v>
      </c>
      <c r="F16" s="1462" t="s">
        <v>3057</v>
      </c>
      <c r="G16" s="1463" t="s">
        <v>3058</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94"/>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3157</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9"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0"/>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0"/>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1"/>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3074</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3074</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3093</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3074</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3074</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3094</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3093</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3074</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3074</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7" t="s">
        <v>1634</v>
      </c>
      <c r="B90" s="3397"/>
      <c r="C90" s="3397"/>
      <c r="D90" s="3397"/>
      <c r="E90" s="3397"/>
      <c r="F90" s="3397"/>
      <c r="G90" s="3397"/>
      <c r="H90" s="3397"/>
      <c r="I90" s="3397"/>
      <c r="J90" s="3397"/>
      <c r="K90" s="3209"/>
      <c r="L90" s="3209"/>
      <c r="M90" s="3209"/>
      <c r="N90" s="3209"/>
    </row>
    <row r="91" spans="1:40">
      <c r="A91" s="3398" t="s">
        <v>1444</v>
      </c>
      <c r="B91" s="3398" t="s">
        <v>1635</v>
      </c>
      <c r="C91" s="1140" t="s">
        <v>1636</v>
      </c>
      <c r="D91" s="1141"/>
      <c r="E91" s="1141"/>
      <c r="F91" s="1141"/>
      <c r="G91" s="1141"/>
      <c r="H91" s="1141"/>
      <c r="I91" s="1141"/>
      <c r="J91" s="1142"/>
      <c r="K91" s="1134"/>
      <c r="L91" s="1134"/>
      <c r="M91" s="1134"/>
      <c r="N91" s="1134"/>
    </row>
    <row r="92" spans="1:40">
      <c r="A92" s="3398"/>
      <c r="B92" s="3398"/>
      <c r="C92" s="3210" t="s">
        <v>907</v>
      </c>
      <c r="D92" s="3210" t="s">
        <v>885</v>
      </c>
      <c r="E92" s="3210" t="s">
        <v>886</v>
      </c>
      <c r="F92" s="3210" t="s">
        <v>910</v>
      </c>
      <c r="G92" s="3210" t="s">
        <v>888</v>
      </c>
      <c r="H92" s="3210" t="s">
        <v>889</v>
      </c>
      <c r="I92" s="3210" t="s">
        <v>890</v>
      </c>
      <c r="J92" s="3210" t="s">
        <v>891</v>
      </c>
      <c r="K92" s="3210" t="s">
        <v>915</v>
      </c>
      <c r="L92" s="3210" t="s">
        <v>893</v>
      </c>
      <c r="M92" s="3210" t="s">
        <v>894</v>
      </c>
      <c r="N92" s="3210" t="s">
        <v>918</v>
      </c>
    </row>
    <row r="93" spans="1:40">
      <c r="A93" s="340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6"/>
      <c r="B108" s="340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92" t="s">
        <v>1640</v>
      </c>
      <c r="B110" s="3392"/>
      <c r="C110" s="3392"/>
      <c r="D110" s="3392"/>
      <c r="E110" s="3392"/>
      <c r="F110" s="3392"/>
      <c r="G110" s="3392"/>
      <c r="H110" s="3392"/>
      <c r="I110" s="3392"/>
      <c r="J110" s="3392"/>
      <c r="K110" s="3208"/>
      <c r="L110" s="3208"/>
      <c r="M110" s="3208"/>
      <c r="N110" s="3208"/>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6" t="s">
        <v>2579</v>
      </c>
      <c r="C1" s="3476"/>
      <c r="D1" s="3476"/>
      <c r="E1" s="3476"/>
      <c r="F1" s="3476"/>
      <c r="G1" s="3475" t="s">
        <v>2580</v>
      </c>
      <c r="H1" s="3475"/>
      <c r="I1" s="3475"/>
      <c r="J1" s="3475"/>
      <c r="K1" s="3475"/>
      <c r="L1" s="3475"/>
      <c r="N1" s="3475" t="s">
        <v>2581</v>
      </c>
      <c r="O1" s="3475"/>
      <c r="P1" s="3475"/>
      <c r="Q1" s="3475"/>
      <c r="R1" s="2655"/>
      <c r="S1" s="3475" t="s">
        <v>2582</v>
      </c>
      <c r="T1" s="3475"/>
      <c r="U1" s="3475"/>
      <c r="V1" s="3475"/>
      <c r="X1" s="3474" t="s">
        <v>2642</v>
      </c>
      <c r="Y1" s="3475"/>
      <c r="Z1" s="3475"/>
      <c r="AA1" s="3475"/>
      <c r="AB1" s="3475"/>
      <c r="AD1" s="3474" t="s">
        <v>2646</v>
      </c>
      <c r="AE1" s="3475"/>
      <c r="AF1" s="3475"/>
      <c r="AG1" s="3475"/>
      <c r="AH1" s="3475"/>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25">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25">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25">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25">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25">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25">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25">
        <f t="shared" si="22"/>
        <v>1.0391999999999999</v>
      </c>
    </row>
    <row r="12" spans="1:35">
      <c r="A12" s="2656" t="s">
        <v>971</v>
      </c>
      <c r="B12" s="2662">
        <v>392</v>
      </c>
      <c r="C12" s="2662">
        <v>302</v>
      </c>
      <c r="D12" s="2662">
        <f t="shared" si="24"/>
        <v>302</v>
      </c>
      <c r="E12" s="2662">
        <v>553</v>
      </c>
      <c r="F12" s="2663">
        <v>266</v>
      </c>
      <c r="G12" s="3483">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25">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78"/>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25">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78"/>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25">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79"/>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25">
        <f t="shared" si="22"/>
        <v>1.0454000000000001</v>
      </c>
    </row>
    <row r="16" spans="1:35" ht="13.5" thickBot="1">
      <c r="A16" s="2656" t="s">
        <v>968</v>
      </c>
      <c r="B16" s="2662">
        <v>333</v>
      </c>
      <c r="C16" s="2662">
        <v>277</v>
      </c>
      <c r="D16" s="2662">
        <f t="shared" si="46"/>
        <v>277</v>
      </c>
      <c r="E16" s="2662">
        <v>459</v>
      </c>
      <c r="F16" s="2663">
        <v>249</v>
      </c>
      <c r="G16" s="3477">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25">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78"/>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25">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78"/>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25">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79"/>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25">
        <f t="shared" si="22"/>
        <v>1.0047999999999999</v>
      </c>
    </row>
    <row r="20" spans="1:36" ht="13.5" thickBot="1">
      <c r="A20" s="2656" t="s">
        <v>964</v>
      </c>
      <c r="B20" s="2684">
        <v>318</v>
      </c>
      <c r="C20" s="2684">
        <v>268</v>
      </c>
      <c r="D20" s="2684">
        <f t="shared" si="46"/>
        <v>268</v>
      </c>
      <c r="E20" s="2684">
        <v>437</v>
      </c>
      <c r="F20" s="2685">
        <v>237</v>
      </c>
      <c r="G20" s="3477">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25">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78"/>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25">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78"/>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25">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79"/>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25">
        <f t="shared" si="22"/>
        <v>1.0327999999999999</v>
      </c>
      <c r="AJ23" s="3226">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80">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81"/>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81"/>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82"/>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77">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78"/>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78"/>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79"/>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77">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78">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78">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79">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77">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78">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78">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79">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77">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78">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78">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79">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77">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78">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78">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79">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77">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78">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78">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79">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77">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78">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78">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79">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77">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78">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78">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79">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77">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78">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78">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79">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77">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78">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78">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79">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77">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78">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78">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79">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68" t="s">
        <v>2466</v>
      </c>
      <c r="C6" s="783">
        <f ca="1">ROUND(F6*F8*F7*(1-F9)/10000,0)</f>
        <v>0</v>
      </c>
      <c r="D6" s="2498" t="s">
        <v>2465</v>
      </c>
      <c r="E6" s="784" t="s">
        <v>1739</v>
      </c>
      <c r="F6" s="785">
        <f ca="1">INDIRECT("'数据-取费表'!u"&amp;$G$1)</f>
        <v>0</v>
      </c>
      <c r="G6" s="1592"/>
      <c r="H6" s="2505" t="s">
        <v>2471</v>
      </c>
      <c r="I6" s="3468" t="s">
        <v>2466</v>
      </c>
      <c r="J6" s="783">
        <f ca="1">ROUND(M6*M8*M7*(1-M9)/10000,0)</f>
        <v>0</v>
      </c>
      <c r="K6" s="341" t="s">
        <v>1738</v>
      </c>
      <c r="L6" s="784" t="s">
        <v>1739</v>
      </c>
      <c r="M6" s="785">
        <f ca="1">INDIRECT("'数据-取费表'!z"&amp;$G$1)</f>
        <v>0</v>
      </c>
    </row>
    <row r="7" spans="1:33" ht="18" customHeight="1">
      <c r="A7" s="2501"/>
      <c r="B7" s="3469"/>
      <c r="C7" s="788"/>
      <c r="D7" s="789"/>
      <c r="E7" s="784" t="s">
        <v>1740</v>
      </c>
      <c r="F7" s="785">
        <f ca="1">IF(INDIRECT("'数据-取费表'!ah"&amp;$G$1)="",INDIRECT("'数据-取费表'!k"&amp;$G$1),INDIRECT("'数据-取费表'!ah"&amp;$G$1))</f>
        <v>0</v>
      </c>
      <c r="G7" s="1592"/>
      <c r="H7" s="2490"/>
      <c r="I7" s="3469"/>
      <c r="J7" s="788"/>
      <c r="K7" s="789"/>
      <c r="L7" s="784" t="s">
        <v>1740</v>
      </c>
      <c r="M7" s="785">
        <f ca="1">F7</f>
        <v>0</v>
      </c>
    </row>
    <row r="8" spans="1:33" ht="18" customHeight="1">
      <c r="A8" s="2494"/>
      <c r="B8" s="3470"/>
      <c r="C8" s="788"/>
      <c r="D8" s="789"/>
      <c r="E8" s="784" t="s">
        <v>1741</v>
      </c>
      <c r="F8" s="785">
        <f ca="1">INDIRECT("'数据-取费表'!ai"&amp;$G$1)</f>
        <v>0</v>
      </c>
      <c r="G8" s="1592"/>
      <c r="H8" s="2490"/>
      <c r="I8" s="3470"/>
      <c r="J8" s="788"/>
      <c r="K8" s="789"/>
      <c r="L8" s="784" t="s">
        <v>1741</v>
      </c>
      <c r="M8" s="785">
        <f ca="1">INDIRECT("'数据-取费表'!ai"&amp;$G$1)</f>
        <v>0</v>
      </c>
    </row>
    <row r="9" spans="1:33" ht="18" customHeight="1">
      <c r="A9" s="786"/>
      <c r="B9" s="3471"/>
      <c r="C9" s="788"/>
      <c r="D9" s="789"/>
      <c r="E9" s="784" t="s">
        <v>1742</v>
      </c>
      <c r="F9" s="794">
        <f ca="1">INDIRECT("'数据-取费表'!w"&amp;$G$1)</f>
        <v>0</v>
      </c>
      <c r="G9" s="1592"/>
      <c r="H9" s="2506"/>
      <c r="I9" s="3470"/>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484" t="s">
        <v>2970</v>
      </c>
      <c r="L53" s="3485"/>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f ca="1">IF(项目基本情况!B11="企业","",IF(INDIRECT("'数据-取费表'!c"&amp;$G$1)="住宅",5%,IF(F48*F49*F50/12/(1+'数据-取费表'!C42)&gt;20000,12%,7%)))</f>
        <v>7.0000000000000007E-2</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2" t="s">
        <v>2474</v>
      </c>
      <c r="B1" s="3503"/>
      <c r="C1" s="3504"/>
      <c r="D1" s="3505">
        <f>SUM(I10,I15,I20,I21,I23)</f>
        <v>0</v>
      </c>
      <c r="E1" s="3505"/>
      <c r="F1" s="3505"/>
      <c r="G1" s="3505"/>
      <c r="H1" s="3505"/>
      <c r="I1" s="3506"/>
    </row>
    <row r="2" spans="1:9">
      <c r="A2" s="3492" t="s">
        <v>2475</v>
      </c>
      <c r="B2" s="3493" t="s">
        <v>2476</v>
      </c>
      <c r="C2" s="3493"/>
      <c r="D2" s="2508" t="s">
        <v>2477</v>
      </c>
      <c r="E2" s="2508" t="s">
        <v>2478</v>
      </c>
      <c r="F2" s="2508" t="s">
        <v>2479</v>
      </c>
      <c r="G2" s="2508" t="s">
        <v>2480</v>
      </c>
      <c r="H2" s="2508" t="s">
        <v>2481</v>
      </c>
      <c r="I2" s="2509" t="s">
        <v>2482</v>
      </c>
    </row>
    <row r="3" spans="1:9">
      <c r="A3" s="3492"/>
      <c r="B3" s="3493" t="s">
        <v>2483</v>
      </c>
      <c r="C3" s="3493"/>
      <c r="D3" s="2510"/>
      <c r="E3" s="2508"/>
      <c r="F3" s="2511"/>
      <c r="G3" s="2511"/>
      <c r="H3" s="2512"/>
      <c r="I3" s="2513">
        <f>ROUND(D3*E3*F3*G3*H3/10000,0)</f>
        <v>0</v>
      </c>
    </row>
    <row r="4" spans="1:9">
      <c r="A4" s="3492"/>
      <c r="B4" s="3493" t="s">
        <v>2484</v>
      </c>
      <c r="C4" s="3493"/>
      <c r="D4" s="2510"/>
      <c r="E4" s="2508"/>
      <c r="F4" s="2511"/>
      <c r="G4" s="2511"/>
      <c r="H4" s="2512"/>
      <c r="I4" s="2513">
        <f t="shared" ref="I4:I9" si="0">ROUND(D4*E4*F4*G4*H4/10000,0)</f>
        <v>0</v>
      </c>
    </row>
    <row r="5" spans="1:9">
      <c r="A5" s="3492"/>
      <c r="B5" s="3493" t="s">
        <v>2485</v>
      </c>
      <c r="C5" s="3493"/>
      <c r="D5" s="2510"/>
      <c r="E5" s="2508"/>
      <c r="F5" s="2511"/>
      <c r="G5" s="2511"/>
      <c r="H5" s="2512"/>
      <c r="I5" s="2513">
        <f t="shared" si="0"/>
        <v>0</v>
      </c>
    </row>
    <row r="6" spans="1:9">
      <c r="A6" s="3492"/>
      <c r="B6" s="3493" t="s">
        <v>2486</v>
      </c>
      <c r="C6" s="3493"/>
      <c r="D6" s="2510"/>
      <c r="E6" s="2508"/>
      <c r="F6" s="2511"/>
      <c r="G6" s="2511"/>
      <c r="H6" s="2512"/>
      <c r="I6" s="2513">
        <f t="shared" si="0"/>
        <v>0</v>
      </c>
    </row>
    <row r="7" spans="1:9">
      <c r="A7" s="3492"/>
      <c r="B7" s="3493" t="s">
        <v>2487</v>
      </c>
      <c r="C7" s="3493"/>
      <c r="D7" s="2510"/>
      <c r="E7" s="2508"/>
      <c r="F7" s="2511"/>
      <c r="G7" s="2511"/>
      <c r="H7" s="2512"/>
      <c r="I7" s="2513">
        <f t="shared" si="0"/>
        <v>0</v>
      </c>
    </row>
    <row r="8" spans="1:9">
      <c r="A8" s="3492"/>
      <c r="B8" s="3493" t="s">
        <v>2488</v>
      </c>
      <c r="C8" s="3493"/>
      <c r="D8" s="2510"/>
      <c r="E8" s="2508"/>
      <c r="F8" s="2511"/>
      <c r="G8" s="2511"/>
      <c r="H8" s="2512"/>
      <c r="I8" s="2513">
        <f t="shared" si="0"/>
        <v>0</v>
      </c>
    </row>
    <row r="9" spans="1:9">
      <c r="A9" s="3492"/>
      <c r="B9" s="3493" t="s">
        <v>2489</v>
      </c>
      <c r="C9" s="3493"/>
      <c r="D9" s="2510"/>
      <c r="E9" s="2508"/>
      <c r="F9" s="2511"/>
      <c r="G9" s="2511"/>
      <c r="H9" s="2512"/>
      <c r="I9" s="2513">
        <f t="shared" si="0"/>
        <v>0</v>
      </c>
    </row>
    <row r="10" spans="1:9">
      <c r="A10" s="3492"/>
      <c r="B10" s="3494" t="s">
        <v>2490</v>
      </c>
      <c r="C10" s="3494"/>
      <c r="D10" s="2514">
        <v>527</v>
      </c>
      <c r="E10" s="2514" t="e">
        <f>ROUND(D1*10000/D10/H9,0)</f>
        <v>#DIV/0!</v>
      </c>
      <c r="F10" s="2515"/>
      <c r="G10" s="2515"/>
      <c r="H10" s="2516"/>
      <c r="I10" s="2517">
        <f>SUM(I3:I9)</f>
        <v>0</v>
      </c>
    </row>
    <row r="11" spans="1:9" ht="14.25">
      <c r="A11" s="3492" t="s">
        <v>2491</v>
      </c>
      <c r="B11" s="3493" t="s">
        <v>2492</v>
      </c>
      <c r="C11" s="3493"/>
      <c r="D11" s="2510" t="s">
        <v>2493</v>
      </c>
      <c r="E11" s="2510" t="s">
        <v>2494</v>
      </c>
      <c r="F11" s="2511" t="s">
        <v>2495</v>
      </c>
      <c r="G11" s="2511" t="s">
        <v>2496</v>
      </c>
      <c r="H11" s="2518" t="s">
        <v>2497</v>
      </c>
      <c r="I11" s="2509" t="s">
        <v>2498</v>
      </c>
    </row>
    <row r="12" spans="1:9">
      <c r="A12" s="3492"/>
      <c r="B12" s="3493" t="s">
        <v>2499</v>
      </c>
      <c r="C12" s="3493"/>
      <c r="D12" s="2510"/>
      <c r="E12" s="2510"/>
      <c r="F12" s="2511"/>
      <c r="G12" s="2512"/>
      <c r="H12" s="2519"/>
      <c r="I12" s="2509">
        <f>ROUND(D12*E12*F12*G12/10000,0)</f>
        <v>0</v>
      </c>
    </row>
    <row r="13" spans="1:9">
      <c r="A13" s="3492"/>
      <c r="B13" s="3493" t="s">
        <v>2500</v>
      </c>
      <c r="C13" s="3493"/>
      <c r="D13" s="2510"/>
      <c r="E13" s="2510"/>
      <c r="F13" s="2511"/>
      <c r="G13" s="2512"/>
      <c r="H13" s="2519"/>
      <c r="I13" s="2509">
        <f>ROUND(D13*E13*F13*G13/10000,0)</f>
        <v>0</v>
      </c>
    </row>
    <row r="14" spans="1:9">
      <c r="A14" s="3492"/>
      <c r="B14" s="3493" t="s">
        <v>2501</v>
      </c>
      <c r="C14" s="3493"/>
      <c r="D14" s="2510"/>
      <c r="E14" s="2510"/>
      <c r="F14" s="2511"/>
      <c r="G14" s="2512"/>
      <c r="H14" s="2519"/>
      <c r="I14" s="2509">
        <f>ROUND(D14*E14*F14*G14/10000,0)</f>
        <v>0</v>
      </c>
    </row>
    <row r="15" spans="1:9">
      <c r="A15" s="3492"/>
      <c r="B15" s="3494" t="s">
        <v>2490</v>
      </c>
      <c r="C15" s="3494"/>
      <c r="D15" s="2514"/>
      <c r="E15" s="2514">
        <f>SUM(E12:E14)</f>
        <v>0</v>
      </c>
      <c r="F15" s="2515"/>
      <c r="G15" s="2512"/>
      <c r="H15" s="2519"/>
      <c r="I15" s="2520">
        <f>SUM(I12:I14)</f>
        <v>0</v>
      </c>
    </row>
    <row r="16" spans="1:9" ht="24">
      <c r="A16" s="3492" t="s">
        <v>2502</v>
      </c>
      <c r="B16" s="3493" t="s">
        <v>2503</v>
      </c>
      <c r="C16" s="3493"/>
      <c r="D16" s="2510" t="s">
        <v>2504</v>
      </c>
      <c r="E16" s="2521" t="s">
        <v>2505</v>
      </c>
      <c r="F16" s="2511" t="s">
        <v>2506</v>
      </c>
      <c r="G16" s="2512" t="s">
        <v>2496</v>
      </c>
      <c r="H16" s="2518" t="s">
        <v>2497</v>
      </c>
      <c r="I16" s="2509" t="s">
        <v>2498</v>
      </c>
    </row>
    <row r="17" spans="1:9" ht="14.25">
      <c r="A17" s="3492"/>
      <c r="B17" s="3493" t="s">
        <v>2507</v>
      </c>
      <c r="C17" s="3493"/>
      <c r="D17" s="2510"/>
      <c r="E17" s="2510"/>
      <c r="F17" s="2511"/>
      <c r="G17" s="2512"/>
      <c r="H17" s="2522"/>
      <c r="I17" s="2523">
        <f>ROUND(D17*E17*F17*G17/10000,0)</f>
        <v>0</v>
      </c>
    </row>
    <row r="18" spans="1:9" ht="14.25">
      <c r="A18" s="3492"/>
      <c r="B18" s="3493" t="s">
        <v>2508</v>
      </c>
      <c r="C18" s="3493"/>
      <c r="D18" s="2510"/>
      <c r="E18" s="2510"/>
      <c r="F18" s="2511"/>
      <c r="G18" s="2512"/>
      <c r="H18" s="2522"/>
      <c r="I18" s="2523">
        <f>ROUND(D18*E18*F18*G18/10000,0)</f>
        <v>0</v>
      </c>
    </row>
    <row r="19" spans="1:9" ht="14.25">
      <c r="A19" s="3492"/>
      <c r="B19" s="3493" t="s">
        <v>2509</v>
      </c>
      <c r="C19" s="3493"/>
      <c r="D19" s="2510"/>
      <c r="E19" s="2510"/>
      <c r="F19" s="2511"/>
      <c r="G19" s="2512"/>
      <c r="H19" s="2522"/>
      <c r="I19" s="2523">
        <f>ROUND(D19*E19*F19*G19/10000,0)</f>
        <v>0</v>
      </c>
    </row>
    <row r="20" spans="1:9">
      <c r="A20" s="3492"/>
      <c r="B20" s="3494" t="s">
        <v>2490</v>
      </c>
      <c r="C20" s="3494"/>
      <c r="D20" s="2514">
        <f>SUM(D17:D19)</f>
        <v>0</v>
      </c>
      <c r="E20" s="2514"/>
      <c r="F20" s="2515"/>
      <c r="G20" s="2512"/>
      <c r="H20" s="2519"/>
      <c r="I20" s="2520">
        <f>SUM(I17:I19)</f>
        <v>0</v>
      </c>
    </row>
    <row r="21" spans="1:9">
      <c r="A21" s="3492" t="s">
        <v>2510</v>
      </c>
      <c r="B21" s="3495"/>
      <c r="C21" s="3495"/>
      <c r="D21" s="3495"/>
      <c r="E21" s="3495"/>
      <c r="F21" s="3495"/>
      <c r="G21" s="3495"/>
      <c r="H21" s="2524">
        <v>0.1</v>
      </c>
      <c r="I21" s="2517">
        <f>ROUND(I10*H21,0)</f>
        <v>0</v>
      </c>
    </row>
    <row r="22" spans="1:9" ht="14.25">
      <c r="A22" s="3496" t="s">
        <v>2511</v>
      </c>
      <c r="B22" s="3497"/>
      <c r="C22" s="3498"/>
      <c r="D22" s="2525" t="s">
        <v>2512</v>
      </c>
      <c r="E22" s="2525" t="s">
        <v>2513</v>
      </c>
      <c r="F22" s="2526" t="s">
        <v>2514</v>
      </c>
      <c r="G22" s="2526" t="s">
        <v>2515</v>
      </c>
      <c r="H22" s="2518" t="s">
        <v>2516</v>
      </c>
      <c r="I22" s="2509" t="s">
        <v>2517</v>
      </c>
    </row>
    <row r="23" spans="1:9" ht="14.25" thickBot="1">
      <c r="A23" s="3499"/>
      <c r="B23" s="3500"/>
      <c r="C23" s="3501"/>
      <c r="D23" s="2527"/>
      <c r="E23" s="2527"/>
      <c r="F23" s="2527"/>
      <c r="G23" s="2528"/>
      <c r="H23" s="2529"/>
      <c r="I23" s="2530">
        <f>ROUND(E23*D23*F23*(1-G23)/10000,0)</f>
        <v>0</v>
      </c>
    </row>
    <row r="26" spans="1:9">
      <c r="A26" s="2531" t="s">
        <v>2518</v>
      </c>
      <c r="B26" s="2531"/>
      <c r="C26" s="2531"/>
      <c r="D26" s="2531"/>
      <c r="E26" s="3489">
        <f>C27-C30-C31-C32</f>
        <v>0</v>
      </c>
      <c r="F26" s="3489"/>
      <c r="G26" s="3489"/>
      <c r="H26" s="3045" t="s">
        <v>2845</v>
      </c>
    </row>
    <row r="27" spans="1:9">
      <c r="A27" s="2532">
        <v>1</v>
      </c>
      <c r="B27" s="2533" t="s">
        <v>2519</v>
      </c>
      <c r="C27" s="2533"/>
      <c r="D27" s="2533"/>
      <c r="E27" s="3490"/>
      <c r="F27" s="3490"/>
      <c r="G27" s="3490"/>
    </row>
    <row r="28" spans="1:9">
      <c r="A28" s="2534" t="s">
        <v>2520</v>
      </c>
      <c r="B28" s="2533" t="s">
        <v>2521</v>
      </c>
      <c r="C28" s="2533"/>
      <c r="D28" s="2533"/>
      <c r="E28" s="3490"/>
      <c r="F28" s="3490"/>
      <c r="G28" s="349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1"/>
      <c r="F32" s="3491"/>
      <c r="G32" s="3491"/>
    </row>
    <row r="33" spans="1:7" hidden="1">
      <c r="A33" s="3486" t="s">
        <v>2529</v>
      </c>
      <c r="B33" s="3487"/>
      <c r="C33" s="3487"/>
      <c r="D33" s="3488"/>
      <c r="E33" s="3489"/>
      <c r="F33" s="3489"/>
      <c r="G33" s="3489"/>
    </row>
    <row r="34" spans="1:7" hidden="1">
      <c r="A34" s="2536">
        <v>1</v>
      </c>
      <c r="B34" s="2533" t="s">
        <v>2530</v>
      </c>
      <c r="C34" s="2533"/>
      <c r="D34" s="2533"/>
      <c r="E34" s="3490"/>
      <c r="F34" s="3490"/>
      <c r="G34" s="3490"/>
    </row>
    <row r="35" spans="1:7" hidden="1">
      <c r="A35" s="2536">
        <v>2</v>
      </c>
      <c r="B35" s="2533" t="s">
        <v>2531</v>
      </c>
      <c r="C35" s="2533"/>
      <c r="D35" s="2533"/>
      <c r="E35" s="3490"/>
      <c r="F35" s="3490"/>
      <c r="G35" s="3490"/>
    </row>
    <row r="36" spans="1:7" hidden="1">
      <c r="A36" s="2536">
        <v>3</v>
      </c>
      <c r="B36" s="2533" t="s">
        <v>2532</v>
      </c>
      <c r="C36" s="2533"/>
      <c r="D36" s="2533"/>
      <c r="E36" s="3490"/>
      <c r="F36" s="3490"/>
      <c r="G36" s="3490"/>
    </row>
    <row r="37" spans="1:7" hidden="1">
      <c r="A37" s="2536">
        <v>4</v>
      </c>
      <c r="B37" s="2533" t="s">
        <v>2533</v>
      </c>
      <c r="C37" s="2533"/>
      <c r="D37" s="2533"/>
      <c r="E37" s="3490"/>
      <c r="F37" s="3490"/>
      <c r="G37" s="3490"/>
    </row>
    <row r="38" spans="1:7" hidden="1">
      <c r="A38" s="3486" t="s">
        <v>2534</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8" zoomScale="80" zoomScaleNormal="80" workbookViewId="0">
      <selection activeCell="I38" sqref="I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63377.7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32" t="s">
        <v>522</v>
      </c>
      <c r="D4" s="3433"/>
      <c r="E4" s="3456" t="s">
        <v>523</v>
      </c>
      <c r="F4" s="3457"/>
      <c r="G4" s="3432" t="s">
        <v>524</v>
      </c>
      <c r="H4" s="3433"/>
      <c r="I4" s="3432" t="s">
        <v>525</v>
      </c>
      <c r="J4" s="3433"/>
      <c r="K4" s="853"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15" t="s">
        <v>524</v>
      </c>
      <c r="AC4" s="3415" t="s">
        <v>525</v>
      </c>
    </row>
    <row r="5" spans="1:29" ht="15">
      <c r="A5" s="515"/>
      <c r="B5" s="516"/>
      <c r="C5" s="3508" t="s">
        <v>3099</v>
      </c>
      <c r="D5" s="3444"/>
      <c r="E5" s="3507" t="s">
        <v>3097</v>
      </c>
      <c r="F5" s="3459"/>
      <c r="G5" s="3508" t="s">
        <v>3140</v>
      </c>
      <c r="H5" s="3444"/>
      <c r="I5" s="3508" t="s">
        <v>3143</v>
      </c>
      <c r="J5" s="3444"/>
      <c r="K5" s="85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509" t="s">
        <v>3071</v>
      </c>
      <c r="D6" s="3442"/>
      <c r="E6" s="3510" t="s">
        <v>3098</v>
      </c>
      <c r="F6" s="3461"/>
      <c r="G6" s="3509" t="s">
        <v>3141</v>
      </c>
      <c r="H6" s="3442"/>
      <c r="I6" s="3509" t="s">
        <v>3144</v>
      </c>
      <c r="J6" s="3442"/>
      <c r="K6" s="85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v>43223</v>
      </c>
      <c r="F7" s="522">
        <f>SUMIF(58:58,YEAR(E7)&amp;"-"&amp;MONTH(E7),59:59)</f>
        <v>100</v>
      </c>
      <c r="G7" s="523">
        <v>43249</v>
      </c>
      <c r="H7" s="520">
        <f>SUMIF(58:58,YEAR(G7)&amp;"-"&amp;MONTH(G7),59:59)</f>
        <v>100</v>
      </c>
      <c r="I7" s="523">
        <v>43250</v>
      </c>
      <c r="J7" s="520">
        <f>SUMIF(58:58,YEAR(I7)&amp;"-"&amp;MONTH(I7),59:59)</f>
        <v>100</v>
      </c>
      <c r="K7" s="855"/>
      <c r="L7" s="2136"/>
      <c r="M7" s="2137"/>
      <c r="N7" s="2137"/>
      <c r="O7" s="2137"/>
      <c r="P7" s="3418" t="s">
        <v>530</v>
      </c>
      <c r="Q7" s="3427"/>
      <c r="R7" s="1568" t="s">
        <v>13</v>
      </c>
      <c r="S7" s="1569">
        <f t="shared" ref="S7:S15" si="0">F7</f>
        <v>100</v>
      </c>
      <c r="T7" s="1568" t="s">
        <v>13</v>
      </c>
      <c r="U7" s="1569">
        <f t="shared" ref="U7:U15" si="1">H7</f>
        <v>100</v>
      </c>
      <c r="V7" s="1568" t="s">
        <v>13</v>
      </c>
      <c r="W7" s="1569">
        <f t="shared" ref="W7:W15" si="2">J7</f>
        <v>100</v>
      </c>
      <c r="X7" s="1570"/>
      <c r="Y7" s="3418" t="s">
        <v>530</v>
      </c>
      <c r="Z7" s="3419"/>
      <c r="AA7" s="1571">
        <f>D7/F7</f>
        <v>1</v>
      </c>
      <c r="AB7" s="1571">
        <f>D7/H7</f>
        <v>1</v>
      </c>
      <c r="AC7" s="1571">
        <f>D7/J7</f>
        <v>1</v>
      </c>
    </row>
    <row r="8" spans="1:29" s="1220" customFormat="1" ht="15.75" thickBot="1">
      <c r="A8" s="2914"/>
      <c r="B8" s="2921" t="s">
        <v>531</v>
      </c>
      <c r="C8" s="525" t="s">
        <v>576</v>
      </c>
      <c r="D8" s="520">
        <v>100</v>
      </c>
      <c r="E8" s="856" t="s">
        <v>3089</v>
      </c>
      <c r="F8" s="522">
        <f>SUMIF(61:61,E8,62:62)-SUMIF(61:61,C8,62:62)+100</f>
        <v>100</v>
      </c>
      <c r="G8" s="525" t="s">
        <v>3089</v>
      </c>
      <c r="H8" s="520">
        <f>SUMIF(61:61,G8,62:62)-SUMIF(61:61,C8,62:62)+100</f>
        <v>100</v>
      </c>
      <c r="I8" s="856" t="s">
        <v>3089</v>
      </c>
      <c r="J8" s="520">
        <f>SUMIF(61:61,I8,62:62)-SUMIF(61:61,C8,62:62)+100</f>
        <v>100</v>
      </c>
      <c r="K8" s="855"/>
      <c r="L8" s="2136"/>
      <c r="M8" s="2137"/>
      <c r="N8" s="2137"/>
      <c r="O8" s="2137"/>
      <c r="P8" s="3418" t="s">
        <v>533</v>
      </c>
      <c r="Q8" s="3419"/>
      <c r="R8" s="1568" t="s">
        <v>13</v>
      </c>
      <c r="S8" s="1569">
        <f t="shared" si="0"/>
        <v>100</v>
      </c>
      <c r="T8" s="1568" t="s">
        <v>13</v>
      </c>
      <c r="U8" s="1569">
        <f t="shared" si="1"/>
        <v>100</v>
      </c>
      <c r="V8" s="1568" t="s">
        <v>13</v>
      </c>
      <c r="W8" s="1569">
        <f t="shared" si="2"/>
        <v>100</v>
      </c>
      <c r="X8" s="1570"/>
      <c r="Y8" s="3418" t="s">
        <v>533</v>
      </c>
      <c r="Z8" s="3419"/>
      <c r="AA8" s="1571">
        <f t="shared" ref="AA8:AA46" si="3">D8/F8</f>
        <v>1</v>
      </c>
      <c r="AB8" s="1571">
        <f t="shared" ref="AB8:AB46" si="4">D8/H8</f>
        <v>1</v>
      </c>
      <c r="AC8" s="1571">
        <f t="shared" ref="AC8:AC46" si="5">D8/J8</f>
        <v>1</v>
      </c>
    </row>
    <row r="9" spans="1:29" s="1220" customFormat="1" ht="15">
      <c r="A9" s="2915"/>
      <c r="B9" s="2922" t="s">
        <v>2759</v>
      </c>
      <c r="C9" s="3214" t="s">
        <v>3100</v>
      </c>
      <c r="D9" s="254">
        <v>100</v>
      </c>
      <c r="E9" s="858" t="s">
        <v>3102</v>
      </c>
      <c r="F9" s="859">
        <f>SUMIF(63:63,E9,64:64)-SUMIF(63:63,C9,64:64)+100</f>
        <v>100</v>
      </c>
      <c r="G9" s="860" t="s">
        <v>3102</v>
      </c>
      <c r="H9" s="254">
        <f>SUMIF(63:63,G9,64:64)-SUMIF(63:63,C9,64:64)+100</f>
        <v>100</v>
      </c>
      <c r="I9" s="860" t="s">
        <v>3102</v>
      </c>
      <c r="J9" s="254">
        <f>SUMIF(63:63,I9,64:64)-SUMIF(63:63,C9,64:64)+100</f>
        <v>100</v>
      </c>
      <c r="K9" s="855"/>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t="s">
        <v>3101</v>
      </c>
      <c r="D10" s="255">
        <v>100</v>
      </c>
      <c r="E10" s="862" t="s">
        <v>3101</v>
      </c>
      <c r="F10" s="863">
        <f>SUMIF(65:65,E10,66:66)-SUMIF(65:65,C10,66:66)+100</f>
        <v>100</v>
      </c>
      <c r="G10" s="861" t="s">
        <v>3101</v>
      </c>
      <c r="H10" s="255">
        <f>SUMIF(65:65,G10,66:66)-SUMIF(65:65,C10,66:66)+100</f>
        <v>100</v>
      </c>
      <c r="I10" s="861" t="s">
        <v>3101</v>
      </c>
      <c r="J10" s="255">
        <f>SUMIF(65:65,I10,66:66)-SUMIF(65:65,C10,66:66)+100</f>
        <v>100</v>
      </c>
      <c r="K10" s="86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26"/>
      <c r="Q11" s="1151" t="str">
        <f t="shared" si="6"/>
        <v>容积率</v>
      </c>
      <c r="R11" s="1568" t="s">
        <v>11</v>
      </c>
      <c r="S11" s="1569">
        <f t="shared" si="0"/>
        <v>100</v>
      </c>
      <c r="T11" s="1568" t="s">
        <v>11</v>
      </c>
      <c r="U11" s="1569">
        <f t="shared" si="1"/>
        <v>100</v>
      </c>
      <c r="V11" s="1568" t="s">
        <v>11</v>
      </c>
      <c r="W11" s="1569">
        <f t="shared" si="2"/>
        <v>100</v>
      </c>
      <c r="X11" s="1570"/>
      <c r="Y11" s="3365"/>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6"/>
      <c r="Q12" s="1151">
        <f t="shared" si="6"/>
        <v>111</v>
      </c>
      <c r="R12" s="1568" t="s">
        <v>11</v>
      </c>
      <c r="S12" s="1569">
        <f t="shared" si="0"/>
        <v>100</v>
      </c>
      <c r="T12" s="1568" t="s">
        <v>11</v>
      </c>
      <c r="U12" s="1569">
        <f t="shared" si="1"/>
        <v>100</v>
      </c>
      <c r="V12" s="1568" t="s">
        <v>11</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6"/>
      <c r="Q13" s="1151">
        <f t="shared" si="6"/>
        <v>111</v>
      </c>
      <c r="R13" s="1568" t="s">
        <v>11</v>
      </c>
      <c r="S13" s="1569">
        <f t="shared" si="0"/>
        <v>100</v>
      </c>
      <c r="T13" s="1568" t="s">
        <v>11</v>
      </c>
      <c r="U13" s="1569">
        <f t="shared" si="1"/>
        <v>100</v>
      </c>
      <c r="V13" s="1568" t="s">
        <v>11</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6"/>
      <c r="Q14" s="1151">
        <f t="shared" si="6"/>
        <v>111</v>
      </c>
      <c r="R14" s="1568" t="s">
        <v>11</v>
      </c>
      <c r="S14" s="1569">
        <f t="shared" si="0"/>
        <v>100</v>
      </c>
      <c r="T14" s="1568" t="s">
        <v>11</v>
      </c>
      <c r="U14" s="1569">
        <f t="shared" si="1"/>
        <v>100</v>
      </c>
      <c r="V14" s="1568" t="s">
        <v>11</v>
      </c>
      <c r="W14" s="1569">
        <f t="shared" si="2"/>
        <v>100</v>
      </c>
      <c r="X14" s="1570"/>
      <c r="Y14" s="3365"/>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8" t="s">
        <v>540</v>
      </c>
      <c r="Q15" s="1572" t="str">
        <f t="shared" si="6"/>
        <v>居住社区成熟度</v>
      </c>
      <c r="R15" s="1573" t="s">
        <v>11</v>
      </c>
      <c r="S15" s="1574">
        <f t="shared" si="0"/>
        <v>100</v>
      </c>
      <c r="T15" s="1573" t="s">
        <v>11</v>
      </c>
      <c r="U15" s="1574">
        <f t="shared" si="1"/>
        <v>100</v>
      </c>
      <c r="V15" s="1573" t="s">
        <v>11</v>
      </c>
      <c r="W15" s="1574">
        <f t="shared" si="2"/>
        <v>100</v>
      </c>
      <c r="X15" s="1567"/>
      <c r="Y15" s="3428" t="s">
        <v>540</v>
      </c>
      <c r="Z15" s="1575" t="str">
        <f t="shared" si="7"/>
        <v>居住社区成熟度</v>
      </c>
      <c r="AA15" s="1576">
        <f t="shared" si="3"/>
        <v>1</v>
      </c>
      <c r="AB15" s="1576">
        <f t="shared" si="4"/>
        <v>1</v>
      </c>
      <c r="AC15" s="1576">
        <f t="shared" si="5"/>
        <v>1</v>
      </c>
    </row>
    <row r="16" spans="1:29" ht="15">
      <c r="A16" s="532"/>
      <c r="B16" s="869"/>
      <c r="C16" s="576" t="s">
        <v>3074</v>
      </c>
      <c r="D16" s="555"/>
      <c r="E16" s="556" t="s">
        <v>3074</v>
      </c>
      <c r="F16" s="557"/>
      <c r="G16" s="558" t="s">
        <v>3074</v>
      </c>
      <c r="H16" s="559"/>
      <c r="I16" s="556" t="s">
        <v>3074</v>
      </c>
      <c r="J16" s="555"/>
      <c r="K16" s="870"/>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29"/>
      <c r="Q17" s="1572" t="str">
        <f>B17</f>
        <v>交通便捷度</v>
      </c>
      <c r="R17" s="1573" t="s">
        <v>11</v>
      </c>
      <c r="S17" s="1574">
        <f>F17</f>
        <v>100</v>
      </c>
      <c r="T17" s="1573" t="s">
        <v>11</v>
      </c>
      <c r="U17" s="1574">
        <f>H17</f>
        <v>100</v>
      </c>
      <c r="V17" s="1573" t="s">
        <v>11</v>
      </c>
      <c r="W17" s="1574">
        <f>J17</f>
        <v>100</v>
      </c>
      <c r="X17" s="1567"/>
      <c r="Y17" s="3429"/>
      <c r="Z17" s="1575" t="str">
        <f>Q17</f>
        <v>交通便捷度</v>
      </c>
      <c r="AA17" s="1576">
        <f t="shared" si="3"/>
        <v>1</v>
      </c>
      <c r="AB17" s="1576">
        <f t="shared" si="4"/>
        <v>1</v>
      </c>
      <c r="AC17" s="1576">
        <f t="shared" si="5"/>
        <v>1</v>
      </c>
    </row>
    <row r="18" spans="1:29" ht="15">
      <c r="A18" s="532"/>
      <c r="B18" s="595"/>
      <c r="C18" s="873" t="s">
        <v>3074</v>
      </c>
      <c r="D18" s="559"/>
      <c r="E18" s="568" t="s">
        <v>3074</v>
      </c>
      <c r="F18" s="563"/>
      <c r="G18" s="569" t="s">
        <v>3074</v>
      </c>
      <c r="H18" s="555"/>
      <c r="I18" s="568" t="s">
        <v>3074</v>
      </c>
      <c r="J18" s="555"/>
      <c r="K18" s="870"/>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9"/>
      <c r="Q19" s="1572" t="str">
        <f>B19</f>
        <v>公共配套设施</v>
      </c>
      <c r="R19" s="1573" t="s">
        <v>11</v>
      </c>
      <c r="S19" s="1574">
        <f>F19</f>
        <v>100</v>
      </c>
      <c r="T19" s="1573" t="s">
        <v>11</v>
      </c>
      <c r="U19" s="1574">
        <f>H19</f>
        <v>100</v>
      </c>
      <c r="V19" s="1573" t="s">
        <v>11</v>
      </c>
      <c r="W19" s="1574">
        <f>J19</f>
        <v>100</v>
      </c>
      <c r="X19" s="1567"/>
      <c r="Y19" s="3429"/>
      <c r="Z19" s="1575" t="str">
        <f>Q19</f>
        <v>公共配套设施</v>
      </c>
      <c r="AA19" s="1576">
        <f t="shared" si="3"/>
        <v>1</v>
      </c>
      <c r="AB19" s="1576">
        <f t="shared" si="4"/>
        <v>1</v>
      </c>
      <c r="AC19" s="1576">
        <f t="shared" si="5"/>
        <v>1</v>
      </c>
    </row>
    <row r="20" spans="1:29" ht="15">
      <c r="A20" s="532"/>
      <c r="B20" s="595"/>
      <c r="C20" s="576" t="s">
        <v>3074</v>
      </c>
      <c r="D20" s="555"/>
      <c r="E20" s="556" t="s">
        <v>3074</v>
      </c>
      <c r="F20" s="557"/>
      <c r="G20" s="558" t="s">
        <v>3074</v>
      </c>
      <c r="H20" s="555"/>
      <c r="I20" s="556" t="s">
        <v>3074</v>
      </c>
      <c r="J20" s="555"/>
      <c r="K20" s="870"/>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9"/>
      <c r="Q21" s="2580" t="str">
        <f>B21</f>
        <v>基础设施水平</v>
      </c>
      <c r="R21" s="1573" t="s">
        <v>11</v>
      </c>
      <c r="S21" s="1574">
        <f>F21</f>
        <v>100</v>
      </c>
      <c r="T21" s="1573" t="s">
        <v>11</v>
      </c>
      <c r="U21" s="1574">
        <f>H21</f>
        <v>100</v>
      </c>
      <c r="V21" s="1573" t="s">
        <v>11</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922"/>
      <c r="C22" s="873" t="s">
        <v>3076</v>
      </c>
      <c r="D22" s="555"/>
      <c r="E22" s="576" t="s">
        <v>3076</v>
      </c>
      <c r="F22" s="557"/>
      <c r="G22" s="576" t="s">
        <v>3076</v>
      </c>
      <c r="H22" s="555"/>
      <c r="I22" s="576" t="s">
        <v>3076</v>
      </c>
      <c r="J22" s="555"/>
      <c r="K22" s="2600"/>
      <c r="L22" s="2143"/>
      <c r="M22" s="2135"/>
      <c r="N22" s="2135"/>
      <c r="O22" s="2142"/>
      <c r="P22" s="3429"/>
      <c r="Q22" s="2580"/>
      <c r="R22" s="1573"/>
      <c r="S22" s="1574"/>
      <c r="T22" s="1573"/>
      <c r="U22" s="1574"/>
      <c r="V22" s="1573"/>
      <c r="W22" s="1574"/>
      <c r="X22" s="2582"/>
      <c r="Y22" s="3429"/>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9"/>
      <c r="Q23" s="1572" t="str">
        <f>B23</f>
        <v>自然及人文环境</v>
      </c>
      <c r="R23" s="1573" t="s">
        <v>11</v>
      </c>
      <c r="S23" s="1574">
        <f>F23</f>
        <v>100</v>
      </c>
      <c r="T23" s="1573" t="s">
        <v>11</v>
      </c>
      <c r="U23" s="1574">
        <f>H23</f>
        <v>100</v>
      </c>
      <c r="V23" s="1573" t="s">
        <v>11</v>
      </c>
      <c r="W23" s="1574">
        <f>J23</f>
        <v>100</v>
      </c>
      <c r="X23" s="1567"/>
      <c r="Y23" s="3429"/>
      <c r="Z23" s="1575" t="str">
        <f>Q23</f>
        <v>自然及人文环境</v>
      </c>
      <c r="AA23" s="1576">
        <f t="shared" si="3"/>
        <v>1</v>
      </c>
      <c r="AB23" s="1576">
        <f t="shared" si="4"/>
        <v>1</v>
      </c>
      <c r="AC23" s="1576">
        <f t="shared" si="5"/>
        <v>1</v>
      </c>
    </row>
    <row r="24" spans="1:29" ht="15">
      <c r="A24" s="532"/>
      <c r="B24" s="595"/>
      <c r="C24" s="576" t="s">
        <v>3074</v>
      </c>
      <c r="D24" s="555"/>
      <c r="E24" s="556" t="s">
        <v>3074</v>
      </c>
      <c r="F24" s="557"/>
      <c r="G24" s="558" t="s">
        <v>3074</v>
      </c>
      <c r="H24" s="555"/>
      <c r="I24" s="556" t="s">
        <v>3074</v>
      </c>
      <c r="J24" s="555"/>
      <c r="K24" s="870"/>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32"/>
      <c r="B25" s="1896" t="s">
        <v>2259</v>
      </c>
      <c r="C25" s="574" t="s">
        <v>3134</v>
      </c>
      <c r="D25" s="540">
        <v>100</v>
      </c>
      <c r="E25" s="874" t="s">
        <v>3133</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29"/>
      <c r="Q25" s="1572" t="str">
        <f t="shared" ref="Q25:Q46" si="11">B25</f>
        <v>楼层-1</v>
      </c>
      <c r="R25" s="1573" t="s">
        <v>11</v>
      </c>
      <c r="S25" s="1574">
        <f>F25</f>
        <v>100</v>
      </c>
      <c r="T25" s="1573" t="s">
        <v>11</v>
      </c>
      <c r="U25" s="1574">
        <f>H25</f>
        <v>100</v>
      </c>
      <c r="V25" s="1573" t="s">
        <v>11</v>
      </c>
      <c r="W25" s="1574">
        <f>J25</f>
        <v>100</v>
      </c>
      <c r="X25" s="1567"/>
      <c r="Y25" s="3429"/>
      <c r="Z25" s="1575" t="str">
        <f>Q25</f>
        <v>楼层-1</v>
      </c>
      <c r="AA25" s="1576">
        <f t="shared" si="3"/>
        <v>1</v>
      </c>
      <c r="AB25" s="1576">
        <f t="shared" si="4"/>
        <v>1</v>
      </c>
      <c r="AC25" s="1576">
        <f t="shared" si="5"/>
        <v>1</v>
      </c>
    </row>
    <row r="26" spans="1:29" ht="15">
      <c r="A26" s="532"/>
      <c r="B26" s="527" t="s">
        <v>723</v>
      </c>
      <c r="C26" s="574" t="s">
        <v>3104</v>
      </c>
      <c r="D26" s="540">
        <v>100</v>
      </c>
      <c r="E26" s="874" t="s">
        <v>3104</v>
      </c>
      <c r="F26" s="575">
        <f>SUMIF(88:88,E26,89:89)-SUMIF(88:88,C26,89:89)+100</f>
        <v>100</v>
      </c>
      <c r="G26" s="599" t="s">
        <v>3104</v>
      </c>
      <c r="H26" s="540">
        <f>SUMIF(88:88,G26,89:89)-SUMIF(88:88,C26,89:89)+100</f>
        <v>100</v>
      </c>
      <c r="I26" s="874" t="s">
        <v>3104</v>
      </c>
      <c r="J26" s="540">
        <f>SUMIF(88:88,I26,89:89)-SUMIF(88:88,C26,89:89)+100</f>
        <v>100</v>
      </c>
      <c r="K26" s="864"/>
      <c r="L26" s="2143"/>
      <c r="M26" s="2135"/>
      <c r="N26" s="2135"/>
      <c r="O26" s="2142"/>
      <c r="P26" s="3429"/>
      <c r="Q26" s="1572" t="str">
        <f t="shared" si="11"/>
        <v>朝向</v>
      </c>
      <c r="R26" s="1573" t="s">
        <v>11</v>
      </c>
      <c r="S26" s="1574">
        <f>F26</f>
        <v>100</v>
      </c>
      <c r="T26" s="1573" t="s">
        <v>11</v>
      </c>
      <c r="U26" s="1574">
        <f>H26</f>
        <v>100</v>
      </c>
      <c r="V26" s="1573" t="s">
        <v>11</v>
      </c>
      <c r="W26" s="1574">
        <f>J26</f>
        <v>100</v>
      </c>
      <c r="X26" s="1567"/>
      <c r="Y26" s="3429"/>
      <c r="Z26" s="1575" t="str">
        <f>Q26</f>
        <v>朝向</v>
      </c>
      <c r="AA26" s="1576">
        <f t="shared" si="3"/>
        <v>1</v>
      </c>
      <c r="AB26" s="1576">
        <f t="shared" si="4"/>
        <v>1</v>
      </c>
      <c r="AC26" s="1576">
        <f t="shared" si="5"/>
        <v>1</v>
      </c>
    </row>
    <row r="27" spans="1:29" s="1220" customFormat="1" ht="15">
      <c r="A27" s="536"/>
      <c r="B27" s="537" t="s">
        <v>724</v>
      </c>
      <c r="C27" s="3222" t="s">
        <v>3155</v>
      </c>
      <c r="D27" s="875">
        <v>100</v>
      </c>
      <c r="E27" s="3223" t="s">
        <v>3156</v>
      </c>
      <c r="F27" s="876">
        <f>SUMIF(90:90,E27,91:91)-SUMIF(90:90,C27,91:91)+100</f>
        <v>102</v>
      </c>
      <c r="G27" s="3224" t="s">
        <v>3156</v>
      </c>
      <c r="H27" s="875">
        <f>SUMIF(90:90,G27,91:91)-SUMIF(90:90,C27,91:91)+100</f>
        <v>102</v>
      </c>
      <c r="I27" s="3223" t="s">
        <v>3156</v>
      </c>
      <c r="J27" s="875">
        <f>SUMIF(90:90,I27,91:91)-SUMIF(90:90,C27,91:91)+100</f>
        <v>102</v>
      </c>
      <c r="K27" s="865"/>
      <c r="L27" s="2136"/>
      <c r="M27" s="2137"/>
      <c r="N27" s="2137"/>
      <c r="O27" s="2138"/>
      <c r="P27" s="3429"/>
      <c r="Q27" s="1151" t="str">
        <f t="shared" si="11"/>
        <v>道路级别</v>
      </c>
      <c r="R27" s="1568" t="s">
        <v>11</v>
      </c>
      <c r="S27" s="1569">
        <f>F27</f>
        <v>102</v>
      </c>
      <c r="T27" s="1568" t="s">
        <v>11</v>
      </c>
      <c r="U27" s="1569">
        <f>H27</f>
        <v>102</v>
      </c>
      <c r="V27" s="1568" t="s">
        <v>11</v>
      </c>
      <c r="W27" s="1569">
        <f>J27</f>
        <v>102</v>
      </c>
      <c r="X27" s="1570"/>
      <c r="Y27" s="3429"/>
      <c r="Z27" s="1150" t="str">
        <f>Q27</f>
        <v>道路级别</v>
      </c>
      <c r="AA27" s="1576">
        <f>D27/F27</f>
        <v>0.98039215686274506</v>
      </c>
      <c r="AB27" s="1576">
        <f>D27/H27</f>
        <v>0.98039215686274506</v>
      </c>
      <c r="AC27" s="1576">
        <f>D27/J27</f>
        <v>0.98039215686274506</v>
      </c>
    </row>
    <row r="28" spans="1:29" ht="15">
      <c r="A28" s="532"/>
      <c r="B28" s="3218" t="s">
        <v>3137</v>
      </c>
      <c r="C28" s="539" t="s">
        <v>3135</v>
      </c>
      <c r="D28" s="540">
        <v>100</v>
      </c>
      <c r="E28" s="539" t="s">
        <v>3136</v>
      </c>
      <c r="F28" s="575">
        <f>SUMIF(92:92,E28,93:93)-SUMIF(92:92,C28,93:93)+100</f>
        <v>102</v>
      </c>
      <c r="G28" s="3220" t="s">
        <v>3142</v>
      </c>
      <c r="H28" s="540">
        <f>SUMIF(92:92,G28,93:93)-SUMIF(92:92,C28,93:93)+100</f>
        <v>98</v>
      </c>
      <c r="I28" s="3220" t="s">
        <v>3145</v>
      </c>
      <c r="J28" s="540">
        <f>SUMIF(92:92,I28,93:93)-SUMIF(92:92,C28,93:93)+100</f>
        <v>98</v>
      </c>
      <c r="K28" s="865"/>
      <c r="L28" s="2143"/>
      <c r="M28" s="2135"/>
      <c r="N28" s="2135"/>
      <c r="O28" s="2142"/>
      <c r="P28" s="3429"/>
      <c r="Q28" s="1572" t="str">
        <f t="shared" si="11"/>
        <v>楼层</v>
      </c>
      <c r="R28" s="1573" t="s">
        <v>11</v>
      </c>
      <c r="S28" s="1574">
        <f t="shared" ref="S28:S46" si="12">F28</f>
        <v>102</v>
      </c>
      <c r="T28" s="1573" t="s">
        <v>11</v>
      </c>
      <c r="U28" s="1574">
        <f t="shared" ref="U28:U46" si="13">H28</f>
        <v>98</v>
      </c>
      <c r="V28" s="1573" t="s">
        <v>11</v>
      </c>
      <c r="W28" s="1574">
        <f t="shared" ref="W28:W46" si="14">J28</f>
        <v>98</v>
      </c>
      <c r="X28" s="1567"/>
      <c r="Y28" s="3429"/>
      <c r="Z28" s="1575" t="str">
        <f t="shared" ref="Z28:Z46" si="15">Q28</f>
        <v>楼层</v>
      </c>
      <c r="AA28" s="1576">
        <f t="shared" si="3"/>
        <v>0.98039215686274506</v>
      </c>
      <c r="AB28" s="1576">
        <f t="shared" si="4"/>
        <v>1.0204081632653061</v>
      </c>
      <c r="AC28" s="1576">
        <f t="shared" si="5"/>
        <v>1.0204081632653061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9"/>
      <c r="Q29" s="1572">
        <f t="shared" si="11"/>
        <v>111</v>
      </c>
      <c r="R29" s="1573" t="s">
        <v>11</v>
      </c>
      <c r="S29" s="1574">
        <f t="shared" si="12"/>
        <v>100</v>
      </c>
      <c r="T29" s="1573" t="s">
        <v>11</v>
      </c>
      <c r="U29" s="1574">
        <f t="shared" si="13"/>
        <v>100</v>
      </c>
      <c r="V29" s="1573" t="s">
        <v>11</v>
      </c>
      <c r="W29" s="1574">
        <f t="shared" si="14"/>
        <v>100</v>
      </c>
      <c r="X29" s="1567"/>
      <c r="Y29" s="342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9"/>
      <c r="Q30" s="1572">
        <f t="shared" si="11"/>
        <v>111</v>
      </c>
      <c r="R30" s="1573" t="s">
        <v>11</v>
      </c>
      <c r="S30" s="1574">
        <f t="shared" si="12"/>
        <v>100</v>
      </c>
      <c r="T30" s="1573" t="s">
        <v>11</v>
      </c>
      <c r="U30" s="1574">
        <f t="shared" si="13"/>
        <v>100</v>
      </c>
      <c r="V30" s="1573" t="s">
        <v>11</v>
      </c>
      <c r="W30" s="1574">
        <f t="shared" si="14"/>
        <v>100</v>
      </c>
      <c r="X30" s="1567"/>
      <c r="Y30" s="3429"/>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9"/>
      <c r="Q31" s="1572">
        <f t="shared" si="11"/>
        <v>111</v>
      </c>
      <c r="R31" s="1573" t="s">
        <v>11</v>
      </c>
      <c r="S31" s="1574">
        <f t="shared" si="12"/>
        <v>100</v>
      </c>
      <c r="T31" s="1573" t="s">
        <v>11</v>
      </c>
      <c r="U31" s="1574">
        <f t="shared" si="13"/>
        <v>100</v>
      </c>
      <c r="V31" s="1573" t="s">
        <v>11</v>
      </c>
      <c r="W31" s="1574">
        <f t="shared" si="14"/>
        <v>100</v>
      </c>
      <c r="X31" s="1567"/>
      <c r="Y31" s="3429"/>
      <c r="Z31" s="1575">
        <f t="shared" si="15"/>
        <v>111</v>
      </c>
      <c r="AA31" s="1576">
        <f t="shared" si="3"/>
        <v>1</v>
      </c>
      <c r="AB31" s="1576">
        <f t="shared" si="4"/>
        <v>1</v>
      </c>
      <c r="AC31" s="1576">
        <f t="shared" si="5"/>
        <v>1</v>
      </c>
    </row>
    <row r="32" spans="1:29" ht="15">
      <c r="A32" s="2908" t="s">
        <v>2758</v>
      </c>
      <c r="B32" s="172" t="s">
        <v>725</v>
      </c>
      <c r="C32" s="878" t="s">
        <v>3109</v>
      </c>
      <c r="D32" s="597">
        <v>100</v>
      </c>
      <c r="E32" s="879" t="s">
        <v>3109</v>
      </c>
      <c r="F32" s="575">
        <f>SUMIF(100:100,E32,101:101)-SUMIF(100:100,C32,101:101)+100</f>
        <v>100</v>
      </c>
      <c r="G32" s="878" t="s">
        <v>3109</v>
      </c>
      <c r="H32" s="597">
        <f>SUMIF(100:100,G32,101:101)-SUMIF(100:100,C32,101:101)+100</f>
        <v>100</v>
      </c>
      <c r="I32" s="879" t="s">
        <v>3109</v>
      </c>
      <c r="J32" s="540">
        <f>SUMIF(100:100,I32,101:101)-SUMIF(100:100,C32,101:101)+100</f>
        <v>100</v>
      </c>
      <c r="K32" s="864"/>
      <c r="L32" s="2143"/>
      <c r="M32" s="2135"/>
      <c r="N32" s="2135"/>
      <c r="O32" s="2142"/>
      <c r="P32" s="3430" t="s">
        <v>550</v>
      </c>
      <c r="Q32" s="1572" t="str">
        <f t="shared" si="11"/>
        <v>建筑类型</v>
      </c>
      <c r="R32" s="1573" t="s">
        <v>11</v>
      </c>
      <c r="S32" s="1574">
        <f t="shared" si="12"/>
        <v>100</v>
      </c>
      <c r="T32" s="1573" t="s">
        <v>11</v>
      </c>
      <c r="U32" s="1574">
        <f t="shared" si="13"/>
        <v>100</v>
      </c>
      <c r="V32" s="1573" t="s">
        <v>11</v>
      </c>
      <c r="W32" s="1574">
        <f t="shared" si="14"/>
        <v>100</v>
      </c>
      <c r="X32" s="1567"/>
      <c r="Y32" s="3431"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31"/>
      <c r="Q33" s="1605" t="str">
        <f t="shared" si="11"/>
        <v>项目建筑规模</v>
      </c>
      <c r="R33" s="1577" t="s">
        <v>11</v>
      </c>
      <c r="S33" s="1578">
        <f t="shared" si="12"/>
        <v>100</v>
      </c>
      <c r="T33" s="1577" t="s">
        <v>11</v>
      </c>
      <c r="U33" s="1578">
        <f t="shared" si="13"/>
        <v>100</v>
      </c>
      <c r="V33" s="1577" t="s">
        <v>11</v>
      </c>
      <c r="W33" s="1578">
        <f t="shared" si="14"/>
        <v>100</v>
      </c>
      <c r="X33" s="1579"/>
      <c r="Y33" s="3431"/>
      <c r="Z33" s="1580" t="str">
        <f t="shared" si="15"/>
        <v>项目建筑规模</v>
      </c>
      <c r="AA33" s="1576">
        <f t="shared" si="3"/>
        <v>1</v>
      </c>
      <c r="AB33" s="1576">
        <f t="shared" si="4"/>
        <v>1</v>
      </c>
      <c r="AC33" s="1576">
        <f t="shared" si="5"/>
        <v>1</v>
      </c>
    </row>
    <row r="34" spans="1:29" ht="15">
      <c r="A34" s="594"/>
      <c r="B34" s="527" t="s">
        <v>727</v>
      </c>
      <c r="C34" s="881" t="s">
        <v>3111</v>
      </c>
      <c r="D34" s="540">
        <v>100</v>
      </c>
      <c r="E34" s="882" t="s">
        <v>3111</v>
      </c>
      <c r="F34" s="575">
        <f>SUMIF(105:105,E34,106:106)-SUMIF(105:105,C34,106:106)+100</f>
        <v>100</v>
      </c>
      <c r="G34" s="881" t="s">
        <v>3111</v>
      </c>
      <c r="H34" s="540">
        <f>SUMIF(105:105,G34,106:106)-SUMIF(105:105,C34,106:106)+100</f>
        <v>100</v>
      </c>
      <c r="I34" s="882" t="s">
        <v>3111</v>
      </c>
      <c r="J34" s="540">
        <f>SUMIF(105:105,I34,106:106)-SUMIF(105:105,C34,106:106)+100</f>
        <v>100</v>
      </c>
      <c r="K34" s="864"/>
      <c r="L34" s="2143"/>
      <c r="M34" s="2135"/>
      <c r="N34" s="2135"/>
      <c r="O34" s="2142"/>
      <c r="P34" s="3431"/>
      <c r="Q34" s="1572" t="str">
        <f t="shared" si="11"/>
        <v>建筑结构</v>
      </c>
      <c r="R34" s="1573" t="s">
        <v>11</v>
      </c>
      <c r="S34" s="1574">
        <f t="shared" si="12"/>
        <v>100</v>
      </c>
      <c r="T34" s="1573" t="s">
        <v>11</v>
      </c>
      <c r="U34" s="1574">
        <f t="shared" si="13"/>
        <v>100</v>
      </c>
      <c r="V34" s="1573" t="s">
        <v>11</v>
      </c>
      <c r="W34" s="1574">
        <f t="shared" si="14"/>
        <v>100</v>
      </c>
      <c r="X34" s="1567"/>
      <c r="Y34" s="3431"/>
      <c r="Z34" s="1575" t="str">
        <f t="shared" si="15"/>
        <v>建筑结构</v>
      </c>
      <c r="AA34" s="1576">
        <f t="shared" si="3"/>
        <v>1</v>
      </c>
      <c r="AB34" s="1576">
        <f t="shared" si="4"/>
        <v>1</v>
      </c>
      <c r="AC34" s="1576">
        <f t="shared" si="5"/>
        <v>1</v>
      </c>
    </row>
    <row r="35" spans="1:29" ht="15">
      <c r="A35" s="594"/>
      <c r="B35" s="527" t="s">
        <v>728</v>
      </c>
      <c r="C35" s="599" t="s">
        <v>3116</v>
      </c>
      <c r="D35" s="540">
        <v>100</v>
      </c>
      <c r="E35" s="874" t="s">
        <v>3114</v>
      </c>
      <c r="F35" s="575">
        <f>SUMIF(107:107,E35,108:108)-SUMIF(107:107,C35,108:108)+100</f>
        <v>100</v>
      </c>
      <c r="G35" s="599" t="s">
        <v>3114</v>
      </c>
      <c r="H35" s="540">
        <f>SUMIF(107:107,G35,108:108)-SUMIF(107:107,C35,108:108)+100</f>
        <v>100</v>
      </c>
      <c r="I35" s="874" t="s">
        <v>3114</v>
      </c>
      <c r="J35" s="540">
        <f>SUMIF(107:107,I35,108:108)-SUMIF(107:107,C35,108:108)+100</f>
        <v>100</v>
      </c>
      <c r="K35" s="864">
        <v>0</v>
      </c>
      <c r="L35" s="2143"/>
      <c r="M35" s="2135"/>
      <c r="N35" s="2135"/>
      <c r="O35" s="2142"/>
      <c r="P35" s="3431"/>
      <c r="Q35" s="1572" t="str">
        <f t="shared" si="11"/>
        <v>建筑品质</v>
      </c>
      <c r="R35" s="1573" t="s">
        <v>11</v>
      </c>
      <c r="S35" s="1574">
        <f t="shared" si="12"/>
        <v>100</v>
      </c>
      <c r="T35" s="1573" t="s">
        <v>11</v>
      </c>
      <c r="U35" s="1574">
        <f t="shared" si="13"/>
        <v>100</v>
      </c>
      <c r="V35" s="1573" t="s">
        <v>11</v>
      </c>
      <c r="W35" s="1574">
        <f t="shared" si="14"/>
        <v>100</v>
      </c>
      <c r="X35" s="1567"/>
      <c r="Y35" s="3431"/>
      <c r="Z35" s="1575" t="str">
        <f t="shared" si="15"/>
        <v>建筑品质</v>
      </c>
      <c r="AA35" s="1576">
        <f t="shared" si="3"/>
        <v>1</v>
      </c>
      <c r="AB35" s="1576">
        <f t="shared" si="4"/>
        <v>1</v>
      </c>
      <c r="AC35" s="1576">
        <f t="shared" si="5"/>
        <v>1</v>
      </c>
    </row>
    <row r="36" spans="1:29" ht="15">
      <c r="A36" s="594"/>
      <c r="B36" s="527" t="s">
        <v>729</v>
      </c>
      <c r="C36" s="599" t="s">
        <v>3082</v>
      </c>
      <c r="D36" s="540">
        <v>100</v>
      </c>
      <c r="E36" s="874" t="s">
        <v>3118</v>
      </c>
      <c r="F36" s="575">
        <f>SUMIF(109:109,E36,110:110)-SUMIF(109:109,C36,110:110)+100</f>
        <v>108</v>
      </c>
      <c r="G36" s="599" t="s">
        <v>3118</v>
      </c>
      <c r="H36" s="540">
        <f>SUMIF(109:109,G36,110:110)-SUMIF(109:109,C36,110:110)+100</f>
        <v>108</v>
      </c>
      <c r="I36" s="874" t="s">
        <v>3118</v>
      </c>
      <c r="J36" s="540">
        <f>SUMIF(109:109,I36,110:110)-SUMIF(109:109,C36,110:110)+100</f>
        <v>108</v>
      </c>
      <c r="K36" s="864">
        <v>8</v>
      </c>
      <c r="L36" s="2143"/>
      <c r="M36" s="2135"/>
      <c r="N36" s="2135"/>
      <c r="O36" s="2142"/>
      <c r="P36" s="3431"/>
      <c r="Q36" s="1572" t="str">
        <f t="shared" si="11"/>
        <v>公共部分装修</v>
      </c>
      <c r="R36" s="1573" t="s">
        <v>11</v>
      </c>
      <c r="S36" s="1574">
        <f t="shared" si="12"/>
        <v>108</v>
      </c>
      <c r="T36" s="1573" t="s">
        <v>11</v>
      </c>
      <c r="U36" s="1574">
        <f t="shared" si="13"/>
        <v>108</v>
      </c>
      <c r="V36" s="1573" t="s">
        <v>11</v>
      </c>
      <c r="W36" s="1574">
        <f t="shared" si="14"/>
        <v>108</v>
      </c>
      <c r="X36" s="1567"/>
      <c r="Y36" s="3431"/>
      <c r="Z36" s="1575" t="str">
        <f t="shared" si="15"/>
        <v>公共部分装修</v>
      </c>
      <c r="AA36" s="1576">
        <f t="shared" si="3"/>
        <v>0.92592592592592593</v>
      </c>
      <c r="AB36" s="1576">
        <f t="shared" si="4"/>
        <v>0.92592592592592593</v>
      </c>
      <c r="AC36" s="1576">
        <f t="shared" si="5"/>
        <v>0.92592592592592593</v>
      </c>
    </row>
    <row r="37" spans="1:29" s="1220" customFormat="1" ht="15">
      <c r="A37" s="600"/>
      <c r="B37" s="527" t="s">
        <v>730</v>
      </c>
      <c r="C37" s="883">
        <v>0.95</v>
      </c>
      <c r="D37" s="255">
        <v>100</v>
      </c>
      <c r="E37" s="884">
        <v>0.98</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31"/>
      <c r="Q37" s="1151" t="str">
        <f t="shared" si="11"/>
        <v>成新度</v>
      </c>
      <c r="R37" s="1568" t="s">
        <v>11</v>
      </c>
      <c r="S37" s="1569">
        <f t="shared" si="12"/>
        <v>100</v>
      </c>
      <c r="T37" s="1568" t="s">
        <v>11</v>
      </c>
      <c r="U37" s="1569">
        <f t="shared" si="13"/>
        <v>100</v>
      </c>
      <c r="V37" s="1568" t="s">
        <v>11</v>
      </c>
      <c r="W37" s="1569">
        <f t="shared" si="14"/>
        <v>100</v>
      </c>
      <c r="X37" s="1570"/>
      <c r="Y37" s="3431"/>
      <c r="Z37" s="1150" t="str">
        <f t="shared" si="15"/>
        <v>成新度</v>
      </c>
      <c r="AA37" s="1571">
        <f t="shared" si="3"/>
        <v>1</v>
      </c>
      <c r="AB37" s="1571">
        <f t="shared" si="4"/>
        <v>1</v>
      </c>
      <c r="AC37" s="1571">
        <f t="shared" si="5"/>
        <v>1</v>
      </c>
    </row>
    <row r="38" spans="1:29" ht="15">
      <c r="A38" s="594"/>
      <c r="B38" s="527" t="s">
        <v>731</v>
      </c>
      <c r="C38" s="599" t="s">
        <v>3123</v>
      </c>
      <c r="D38" s="540">
        <v>100</v>
      </c>
      <c r="E38" s="874" t="s">
        <v>3121</v>
      </c>
      <c r="F38" s="575">
        <f>SUMIF(114:114,E38,115:115)-SUMIF(114:114,C38,115:115)+100</f>
        <v>110</v>
      </c>
      <c r="G38" s="599" t="s">
        <v>3121</v>
      </c>
      <c r="H38" s="540">
        <f>SUMIF(114:114,G38,115:115)-SUMIF(114:114,C38,115:115)+100</f>
        <v>110</v>
      </c>
      <c r="I38" s="874" t="s">
        <v>3121</v>
      </c>
      <c r="J38" s="540">
        <f>SUMIF(114:114,I38,115:115)-SUMIF(114:114,C38,115:115)+100</f>
        <v>110</v>
      </c>
      <c r="K38" s="864">
        <v>10</v>
      </c>
      <c r="L38" s="2143"/>
      <c r="M38" s="2135"/>
      <c r="N38" s="2135"/>
      <c r="O38" s="2142"/>
      <c r="P38" s="3431" t="s">
        <v>550</v>
      </c>
      <c r="Q38" s="1572" t="str">
        <f t="shared" si="11"/>
        <v>物业管理</v>
      </c>
      <c r="R38" s="1573" t="s">
        <v>11</v>
      </c>
      <c r="S38" s="1574">
        <f t="shared" si="12"/>
        <v>110</v>
      </c>
      <c r="T38" s="1573" t="s">
        <v>11</v>
      </c>
      <c r="U38" s="1574">
        <f t="shared" si="13"/>
        <v>110</v>
      </c>
      <c r="V38" s="1573" t="s">
        <v>11</v>
      </c>
      <c r="W38" s="1574">
        <f t="shared" si="14"/>
        <v>110</v>
      </c>
      <c r="X38" s="1567"/>
      <c r="Y38" s="3431" t="s">
        <v>550</v>
      </c>
      <c r="Z38" s="1575" t="str">
        <f t="shared" si="15"/>
        <v>物业管理</v>
      </c>
      <c r="AA38" s="1576">
        <f t="shared" si="3"/>
        <v>0.90909090909090906</v>
      </c>
      <c r="AB38" s="1576">
        <f t="shared" si="4"/>
        <v>0.90909090909090906</v>
      </c>
      <c r="AC38" s="1576">
        <f t="shared" si="5"/>
        <v>0.90909090909090906</v>
      </c>
    </row>
    <row r="39" spans="1:29" ht="15">
      <c r="A39" s="594"/>
      <c r="B39" s="1896" t="s">
        <v>2567</v>
      </c>
      <c r="C39" s="599" t="s">
        <v>3075</v>
      </c>
      <c r="D39" s="540">
        <v>100</v>
      </c>
      <c r="E39" s="874" t="s">
        <v>3075</v>
      </c>
      <c r="F39" s="575">
        <f>SUMIF(116:116,E39,117:117)-SUMIF(116:116,C39,117:117)+100</f>
        <v>100</v>
      </c>
      <c r="G39" s="599" t="s">
        <v>3075</v>
      </c>
      <c r="H39" s="540">
        <f>SUMIF(116:116,G39,117:117)-SUMIF(116:116,C39,117:117)+100</f>
        <v>100</v>
      </c>
      <c r="I39" s="874" t="s">
        <v>3075</v>
      </c>
      <c r="J39" s="540">
        <f>SUMIF(116:116,I39,117:117)-SUMIF(116:116,C39,117:117)+100</f>
        <v>100</v>
      </c>
      <c r="K39" s="864"/>
      <c r="L39" s="2143"/>
      <c r="M39" s="2135"/>
      <c r="N39" s="2135"/>
      <c r="O39" s="2142"/>
      <c r="P39" s="3431"/>
      <c r="Q39" s="1572" t="str">
        <f t="shared" si="11"/>
        <v>市政基础设施</v>
      </c>
      <c r="R39" s="1573" t="s">
        <v>11</v>
      </c>
      <c r="S39" s="1574">
        <f t="shared" si="12"/>
        <v>100</v>
      </c>
      <c r="T39" s="1573" t="s">
        <v>11</v>
      </c>
      <c r="U39" s="1574">
        <f t="shared" si="13"/>
        <v>100</v>
      </c>
      <c r="V39" s="1573" t="s">
        <v>11</v>
      </c>
      <c r="W39" s="1574">
        <f t="shared" si="14"/>
        <v>100</v>
      </c>
      <c r="X39" s="1567"/>
      <c r="Y39" s="3431"/>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1"/>
      <c r="Q40" s="1572" t="str">
        <f t="shared" si="11"/>
        <v>房型</v>
      </c>
      <c r="R40" s="1573" t="s">
        <v>11</v>
      </c>
      <c r="S40" s="1574">
        <f t="shared" si="12"/>
        <v>100</v>
      </c>
      <c r="T40" s="1573" t="s">
        <v>11</v>
      </c>
      <c r="U40" s="1574">
        <f t="shared" si="13"/>
        <v>100</v>
      </c>
      <c r="V40" s="1573" t="s">
        <v>11</v>
      </c>
      <c r="W40" s="1574">
        <f t="shared" si="14"/>
        <v>100</v>
      </c>
      <c r="X40" s="1567"/>
      <c r="Y40" s="3431"/>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93</v>
      </c>
      <c r="F41" s="863">
        <f>SUMIF(120:120,E41,121:121)-SUMIF(120:120,C41,121:121)+100</f>
        <v>100</v>
      </c>
      <c r="G41" s="533">
        <v>125</v>
      </c>
      <c r="H41" s="255">
        <f>SUMIF(120:120,G41,121:121)-SUMIF(120:120,C41,121:121)+100</f>
        <v>98</v>
      </c>
      <c r="I41" s="586">
        <v>114</v>
      </c>
      <c r="J41" s="540">
        <f>SUMIF(120:120,I41,121:121)-SUMIF(120:120,C41,121:121)+100</f>
        <v>99</v>
      </c>
      <c r="K41" s="865"/>
      <c r="L41" s="2141"/>
      <c r="M41" s="2172"/>
      <c r="N41" s="2172"/>
      <c r="O41" s="2144"/>
      <c r="P41" s="3431"/>
      <c r="Q41" s="1605" t="str">
        <f t="shared" si="11"/>
        <v>单套/主力户型建筑面积</v>
      </c>
      <c r="R41" s="1577" t="s">
        <v>11</v>
      </c>
      <c r="S41" s="1578">
        <f t="shared" si="12"/>
        <v>100</v>
      </c>
      <c r="T41" s="1577" t="s">
        <v>11</v>
      </c>
      <c r="U41" s="1578">
        <f t="shared" si="13"/>
        <v>98</v>
      </c>
      <c r="V41" s="1577" t="s">
        <v>11</v>
      </c>
      <c r="W41" s="1578">
        <f t="shared" si="14"/>
        <v>99</v>
      </c>
      <c r="X41" s="1579"/>
      <c r="Y41" s="3431"/>
      <c r="Z41" s="1580" t="str">
        <f t="shared" si="15"/>
        <v>单套/主力户型建筑面积</v>
      </c>
      <c r="AA41" s="1576">
        <f t="shared" si="3"/>
        <v>1</v>
      </c>
      <c r="AB41" s="1576">
        <f t="shared" si="4"/>
        <v>1.0204081632653061</v>
      </c>
      <c r="AC41" s="1576">
        <f t="shared" si="5"/>
        <v>1.0101010101010102</v>
      </c>
    </row>
    <row r="42" spans="1:29" ht="15">
      <c r="A42" s="594"/>
      <c r="B42" s="527" t="s">
        <v>734</v>
      </c>
      <c r="C42" s="599" t="s">
        <v>3131</v>
      </c>
      <c r="D42" s="540">
        <v>100</v>
      </c>
      <c r="E42" s="874" t="s">
        <v>3118</v>
      </c>
      <c r="F42" s="575">
        <f>SUMIF(122:122,E42,123:123)-SUMIF(122:122,C42,123:123)+100</f>
        <v>101.5</v>
      </c>
      <c r="G42" s="599" t="s">
        <v>3131</v>
      </c>
      <c r="H42" s="540">
        <f>SUMIF(122:122,G42,123:123)-SUMIF(122:122,C42,123:123)+100</f>
        <v>100</v>
      </c>
      <c r="I42" s="874" t="s">
        <v>3131</v>
      </c>
      <c r="J42" s="540">
        <f>SUMIF(122:122,I42,123:123)-SUMIF(122:122,C42,123:123)+100</f>
        <v>100</v>
      </c>
      <c r="K42" s="864">
        <v>0.5</v>
      </c>
      <c r="L42" s="2143"/>
      <c r="M42" s="2135"/>
      <c r="N42" s="2135"/>
      <c r="O42" s="2142"/>
      <c r="P42" s="3431"/>
      <c r="Q42" s="1572" t="str">
        <f t="shared" si="11"/>
        <v>内部装修</v>
      </c>
      <c r="R42" s="1573" t="s">
        <v>11</v>
      </c>
      <c r="S42" s="1574">
        <f t="shared" si="12"/>
        <v>101.5</v>
      </c>
      <c r="T42" s="1573" t="s">
        <v>11</v>
      </c>
      <c r="U42" s="1574">
        <f t="shared" si="13"/>
        <v>100</v>
      </c>
      <c r="V42" s="1573" t="s">
        <v>11</v>
      </c>
      <c r="W42" s="1574">
        <f t="shared" si="14"/>
        <v>100</v>
      </c>
      <c r="X42" s="1567"/>
      <c r="Y42" s="3431"/>
      <c r="Z42" s="1575" t="str">
        <f t="shared" si="15"/>
        <v>内部装修</v>
      </c>
      <c r="AA42" s="1576">
        <f t="shared" si="3"/>
        <v>0.98522167487684731</v>
      </c>
      <c r="AB42" s="1576">
        <f t="shared" si="4"/>
        <v>1</v>
      </c>
      <c r="AC42" s="1576">
        <f t="shared" si="5"/>
        <v>1</v>
      </c>
    </row>
    <row r="43" spans="1:29" ht="27">
      <c r="A43" s="594"/>
      <c r="B43" s="527" t="s">
        <v>735</v>
      </c>
      <c r="C43" s="599" t="s">
        <v>3093</v>
      </c>
      <c r="D43" s="540">
        <v>100</v>
      </c>
      <c r="E43" s="874" t="s">
        <v>3093</v>
      </c>
      <c r="F43" s="575">
        <f>SUMIF(124:124,E43,125:125)-SUMIF(124:124,C43,125:125)+100</f>
        <v>100</v>
      </c>
      <c r="G43" s="599" t="s">
        <v>3093</v>
      </c>
      <c r="H43" s="540">
        <f>SUMIF(124:124,G43,125:125)-SUMIF(124:124,C43,125:125)+100</f>
        <v>100</v>
      </c>
      <c r="I43" s="874" t="s">
        <v>3093</v>
      </c>
      <c r="J43" s="540">
        <f>SUMIF(124:124,I43,125:125)-SUMIF(124:124,C43,125:125)+100</f>
        <v>100</v>
      </c>
      <c r="K43" s="864">
        <v>0</v>
      </c>
      <c r="L43" s="2143"/>
      <c r="M43" s="2135"/>
      <c r="N43" s="2135"/>
      <c r="O43" s="2142"/>
      <c r="P43" s="3431"/>
      <c r="Q43" s="1572" t="str">
        <f t="shared" si="11"/>
        <v>内部装修维护情况</v>
      </c>
      <c r="R43" s="1573" t="s">
        <v>11</v>
      </c>
      <c r="S43" s="1574">
        <f t="shared" si="12"/>
        <v>100</v>
      </c>
      <c r="T43" s="1573" t="s">
        <v>11</v>
      </c>
      <c r="U43" s="1574">
        <f t="shared" si="13"/>
        <v>100</v>
      </c>
      <c r="V43" s="1573" t="s">
        <v>11</v>
      </c>
      <c r="W43" s="1574">
        <f t="shared" si="14"/>
        <v>100</v>
      </c>
      <c r="X43" s="1567"/>
      <c r="Y43" s="343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1"/>
      <c r="Q44" s="1151">
        <f t="shared" si="11"/>
        <v>111</v>
      </c>
      <c r="R44" s="1568" t="s">
        <v>11</v>
      </c>
      <c r="S44" s="1569">
        <f t="shared" si="12"/>
        <v>100</v>
      </c>
      <c r="T44" s="1568" t="s">
        <v>11</v>
      </c>
      <c r="U44" s="1569">
        <f t="shared" si="13"/>
        <v>100</v>
      </c>
      <c r="V44" s="1568" t="s">
        <v>11</v>
      </c>
      <c r="W44" s="1569">
        <f t="shared" si="14"/>
        <v>100</v>
      </c>
      <c r="X44" s="1570"/>
      <c r="Y44" s="343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1"/>
      <c r="Q45" s="1572">
        <f t="shared" si="11"/>
        <v>111</v>
      </c>
      <c r="R45" s="1573" t="s">
        <v>11</v>
      </c>
      <c r="S45" s="1574">
        <f t="shared" si="12"/>
        <v>100</v>
      </c>
      <c r="T45" s="1573" t="s">
        <v>11</v>
      </c>
      <c r="U45" s="1574">
        <f t="shared" si="13"/>
        <v>100</v>
      </c>
      <c r="V45" s="1573" t="s">
        <v>11</v>
      </c>
      <c r="W45" s="1574">
        <f t="shared" si="14"/>
        <v>100</v>
      </c>
      <c r="X45" s="1567"/>
      <c r="Y45" s="3431"/>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3"/>
      <c r="Q46" s="1572">
        <f t="shared" si="11"/>
        <v>111</v>
      </c>
      <c r="R46" s="1573" t="s">
        <v>10</v>
      </c>
      <c r="S46" s="1574">
        <f t="shared" si="12"/>
        <v>100</v>
      </c>
      <c r="T46" s="1573" t="s">
        <v>10</v>
      </c>
      <c r="U46" s="1574">
        <f t="shared" si="13"/>
        <v>100</v>
      </c>
      <c r="V46" s="1573" t="s">
        <v>10</v>
      </c>
      <c r="W46" s="1574">
        <f t="shared" si="14"/>
        <v>100</v>
      </c>
      <c r="X46" s="1567"/>
      <c r="Y46" s="3513"/>
      <c r="Z46" s="1575">
        <f t="shared" si="15"/>
        <v>111</v>
      </c>
      <c r="AA46" s="1576">
        <f t="shared" si="3"/>
        <v>1</v>
      </c>
      <c r="AB46" s="1576">
        <f t="shared" si="4"/>
        <v>1</v>
      </c>
      <c r="AC46" s="1576">
        <f t="shared" si="5"/>
        <v>1</v>
      </c>
    </row>
    <row r="47" spans="1:29" ht="15">
      <c r="A47" s="607" t="s">
        <v>736</v>
      </c>
      <c r="B47" s="887"/>
      <c r="C47" s="2628" t="s">
        <v>9</v>
      </c>
      <c r="D47" s="2629"/>
      <c r="E47" s="2630">
        <v>71197</v>
      </c>
      <c r="F47" s="2631"/>
      <c r="G47" s="2632">
        <v>78954</v>
      </c>
      <c r="H47" s="2633"/>
      <c r="I47" s="2630">
        <v>77050</v>
      </c>
      <c r="J47" s="2633"/>
      <c r="K47" s="1606"/>
      <c r="L47" s="2145"/>
      <c r="M47" s="2146"/>
      <c r="N47" s="2135"/>
      <c r="O47" s="2146"/>
      <c r="P47" s="3426" t="str">
        <f>A47</f>
        <v>成交单价（元/平方米）</v>
      </c>
      <c r="Q47" s="3426"/>
      <c r="R47" s="3512">
        <f>E47</f>
        <v>71197</v>
      </c>
      <c r="S47" s="3512"/>
      <c r="T47" s="3512">
        <f>G47</f>
        <v>78954</v>
      </c>
      <c r="U47" s="3512"/>
      <c r="V47" s="3512">
        <f>I47</f>
        <v>77050</v>
      </c>
      <c r="W47" s="3512"/>
      <c r="X47" s="1559"/>
      <c r="Y47" s="1581"/>
      <c r="Z47" s="1559"/>
      <c r="AA47" s="1559"/>
      <c r="AB47" s="1559"/>
      <c r="AC47" s="1559"/>
    </row>
    <row r="48" spans="1:29" ht="15.75" thickBot="1">
      <c r="A48" s="615" t="s">
        <v>2763</v>
      </c>
      <c r="B48" s="888"/>
      <c r="C48" s="2634">
        <f>R49</f>
        <v>63377.7</v>
      </c>
      <c r="D48" s="2635"/>
      <c r="E48" s="2636">
        <f>R48</f>
        <v>56751.7</v>
      </c>
      <c r="F48" s="2636"/>
      <c r="G48" s="2634">
        <f>T48</f>
        <v>67843.100000000006</v>
      </c>
      <c r="H48" s="2635"/>
      <c r="I48" s="2636">
        <f>V48</f>
        <v>65538.2</v>
      </c>
      <c r="J48" s="2635"/>
      <c r="K48" s="1607"/>
      <c r="L48" s="2145"/>
      <c r="M48" s="2146"/>
      <c r="N48" s="2146"/>
      <c r="O48" s="2146"/>
      <c r="P48" s="3426" t="str">
        <f>A48</f>
        <v>比较价格（元/平方米）</v>
      </c>
      <c r="Q48" s="3426"/>
      <c r="R48" s="3512">
        <f>IF(F1="售价",ROUND(PRODUCT(R47,AA7:AA46),0),ROUND(PRODUCT(R47,AA7:AA46),1))</f>
        <v>56751.7</v>
      </c>
      <c r="S48" s="3512"/>
      <c r="T48" s="3512">
        <f>IF(F1="售价",ROUND(PRODUCT(T47,AB7:AB46),0),ROUND(PRODUCT(T47,AB7:AB46),1))</f>
        <v>67843.100000000006</v>
      </c>
      <c r="U48" s="3512"/>
      <c r="V48" s="3512">
        <f>IF(F1="售价",ROUND(PRODUCT(V47,AC7:AC46),0),ROUND(PRODUCT(V47,AC7:AC46),1))</f>
        <v>65538.2</v>
      </c>
      <c r="W48" s="3512"/>
      <c r="X48" s="1559"/>
      <c r="Y48" s="1559"/>
      <c r="Z48" s="1559"/>
      <c r="AA48" s="1559"/>
      <c r="AB48" s="1559"/>
      <c r="AC48" s="1559"/>
    </row>
    <row r="49" spans="1:29" ht="15.75" thickBot="1">
      <c r="A49" s="621" t="s">
        <v>2939</v>
      </c>
      <c r="B49" s="622"/>
      <c r="C49" s="2637">
        <f>R49</f>
        <v>63377.7</v>
      </c>
      <c r="D49" s="2637"/>
      <c r="E49" s="2637"/>
      <c r="F49" s="2637"/>
      <c r="G49" s="2637"/>
      <c r="H49" s="2637"/>
      <c r="I49" s="2637"/>
      <c r="J49" s="2637"/>
      <c r="K49" s="1608"/>
      <c r="L49" s="2145"/>
      <c r="M49" s="2146"/>
      <c r="N49" s="2146"/>
      <c r="O49" s="2146"/>
      <c r="P49" s="3447" t="str">
        <f>A49</f>
        <v>估价对象XX用房的比较价格（楼面单价，元/平方米）</v>
      </c>
      <c r="Q49" s="3448"/>
      <c r="R49" s="3511">
        <f>IF(F1="售价",ROUND(AVERAGE(R48:V48),0),ROUND(AVERAGE(R48:V48),1))</f>
        <v>63377.7</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0.25453510643734023</v>
      </c>
      <c r="F52" s="627" t="str">
        <f>IF(OR(E52&gt;=0.3,E52&lt;=-0.3),"超过30%","")</f>
        <v/>
      </c>
      <c r="G52" s="626">
        <f>IF(G47&lt;G48,G48/G47-1,G47/G48-1)</f>
        <v>0.16377347143629928</v>
      </c>
      <c r="H52" s="627" t="str">
        <f>IF(OR(G52&gt;=0.3,G52&lt;=-0.3),"超过30%","")</f>
        <v/>
      </c>
      <c r="I52" s="626">
        <f>IF(I47&lt;I48,I48/I47-1,I47/I48-1)</f>
        <v>0.17565023146805991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0.19543731729622205</v>
      </c>
      <c r="F53" s="627" t="str">
        <f>IF(OR(E53&gt;=0.2,E53&lt;=-0.2),"超过20%","")</f>
        <v/>
      </c>
      <c r="G53" s="626">
        <f>IF(G48&lt;I48,I48/G48-1,G48/I48-1)</f>
        <v>3.516880231681685E-2</v>
      </c>
      <c r="H53" s="627" t="str">
        <f>IF(OR(G53&gt;=0.2,G53&lt;=-0.2),"超过20%","")</f>
        <v/>
      </c>
      <c r="I53" s="626">
        <f>IF(I48&lt;E48,E48/I48-1,I48/E48-1)</f>
        <v>0.15482355594634178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0.10895121985476908</v>
      </c>
      <c r="F54" s="627" t="str">
        <f>IF(OR(E54&gt;=0.3,E54&lt;=-0.3),"超过30%","")</f>
        <v/>
      </c>
      <c r="G54" s="626">
        <f>IF(G47&lt;I47,I47/G47-1,G47/I47-1)</f>
        <v>2.4711226476314074E-2</v>
      </c>
      <c r="H54" s="627" t="str">
        <f>IF(OR(G54&gt;=0.3,G54&lt;=-0.3),"超过30%","")</f>
        <v/>
      </c>
      <c r="I54" s="626">
        <f>IF(I47&lt;E47,E47/I47-1,I47/E47-1)</f>
        <v>8.2208520021910925E-2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16" t="s">
        <v>3103</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15" t="s">
        <v>3105</v>
      </c>
      <c r="D88" s="3215"/>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15" t="s">
        <v>3106</v>
      </c>
      <c r="D90" s="3215" t="s">
        <v>3107</v>
      </c>
      <c r="E90" s="3215" t="s">
        <v>3108</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3138</v>
      </c>
      <c r="D92" s="688" t="s">
        <v>3139</v>
      </c>
      <c r="E92" s="3219" t="s">
        <v>3142</v>
      </c>
      <c r="F92" s="3219" t="s">
        <v>3146</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16" t="s">
        <v>3110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15" t="s">
        <v>3112</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17" t="s">
        <v>3113</v>
      </c>
      <c r="D107" s="3217" t="s">
        <v>3115</v>
      </c>
      <c r="E107" s="3217" t="s">
        <v>3117</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15" t="s">
        <v>3119</v>
      </c>
      <c r="D109" s="3215" t="s">
        <v>3120</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92</v>
      </c>
      <c r="E110" s="679">
        <f t="shared" si="26"/>
        <v>84</v>
      </c>
      <c r="F110" s="679">
        <f t="shared" si="26"/>
        <v>76</v>
      </c>
      <c r="G110" s="679">
        <f t="shared" si="26"/>
        <v>68</v>
      </c>
      <c r="H110" s="679">
        <f t="shared" si="26"/>
        <v>60</v>
      </c>
      <c r="I110" s="679">
        <f t="shared" si="26"/>
        <v>52</v>
      </c>
      <c r="J110" s="679">
        <f t="shared" si="26"/>
        <v>44</v>
      </c>
      <c r="K110" s="679">
        <f t="shared" si="26"/>
        <v>36</v>
      </c>
      <c r="L110" s="679">
        <f t="shared" si="26"/>
        <v>28</v>
      </c>
      <c r="M110" s="679">
        <f t="shared" si="26"/>
        <v>20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15" t="s">
        <v>3122</v>
      </c>
      <c r="D114" s="3215" t="s">
        <v>3124</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90</v>
      </c>
      <c r="E115" s="679">
        <f t="shared" si="27"/>
        <v>80</v>
      </c>
      <c r="F115" s="679">
        <f t="shared" si="27"/>
        <v>70</v>
      </c>
      <c r="G115" s="679">
        <f t="shared" si="27"/>
        <v>60</v>
      </c>
      <c r="H115" s="679">
        <f t="shared" si="27"/>
        <v>50</v>
      </c>
      <c r="I115" s="679">
        <f t="shared" si="27"/>
        <v>40</v>
      </c>
      <c r="J115" s="679">
        <f t="shared" si="27"/>
        <v>30</v>
      </c>
      <c r="K115" s="679">
        <f t="shared" si="27"/>
        <v>20</v>
      </c>
      <c r="L115" s="679">
        <f t="shared" si="27"/>
        <v>10</v>
      </c>
      <c r="M115" s="679">
        <f t="shared" si="27"/>
        <v>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15" t="s">
        <v>3125</v>
      </c>
      <c r="D116" s="3215" t="s">
        <v>3126</v>
      </c>
      <c r="E116" s="3215" t="s">
        <v>3127</v>
      </c>
      <c r="F116" s="3215" t="s">
        <v>3128</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93</v>
      </c>
      <c r="E120" s="688">
        <v>125</v>
      </c>
      <c r="F120" s="688">
        <v>114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100</v>
      </c>
      <c r="E121" s="671">
        <v>98</v>
      </c>
      <c r="F121" s="671">
        <v>99</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15" t="s">
        <v>3129</v>
      </c>
      <c r="D122" s="3215" t="s">
        <v>3120</v>
      </c>
      <c r="E122" s="3215" t="s">
        <v>3130</v>
      </c>
      <c r="F122" s="3217" t="s">
        <v>3132</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99.5</v>
      </c>
      <c r="E123" s="679">
        <f t="shared" si="29"/>
        <v>99</v>
      </c>
      <c r="F123" s="679">
        <f t="shared" si="29"/>
        <v>98.5</v>
      </c>
      <c r="G123" s="679">
        <f t="shared" si="29"/>
        <v>98</v>
      </c>
      <c r="H123" s="679">
        <f t="shared" si="29"/>
        <v>97.5</v>
      </c>
      <c r="I123" s="679">
        <f t="shared" si="29"/>
        <v>97</v>
      </c>
      <c r="J123" s="679">
        <f t="shared" si="29"/>
        <v>96.5</v>
      </c>
      <c r="K123" s="679">
        <f t="shared" si="29"/>
        <v>96</v>
      </c>
      <c r="L123" s="679">
        <f t="shared" si="29"/>
        <v>95.5</v>
      </c>
      <c r="M123" s="679">
        <f t="shared" si="29"/>
        <v>95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32" t="s">
        <v>522</v>
      </c>
      <c r="D4" s="3433"/>
      <c r="E4" s="3456" t="s">
        <v>523</v>
      </c>
      <c r="F4" s="3457"/>
      <c r="G4" s="3432" t="s">
        <v>524</v>
      </c>
      <c r="H4" s="3433"/>
      <c r="I4" s="3432" t="s">
        <v>525</v>
      </c>
      <c r="J4" s="3433"/>
      <c r="K4" s="514"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40" t="s">
        <v>524</v>
      </c>
      <c r="AC4" s="3415" t="s">
        <v>525</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40"/>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40"/>
      <c r="AC6" s="3417"/>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8" t="s">
        <v>530</v>
      </c>
      <c r="Q7" s="3427"/>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6"/>
      <c r="Q11" s="1151" t="str">
        <f t="shared" si="6"/>
        <v>容积率</v>
      </c>
      <c r="R11" s="1568" t="s">
        <v>8</v>
      </c>
      <c r="S11" s="1569" t="e">
        <f t="shared" si="0"/>
        <v>#N/A</v>
      </c>
      <c r="T11" s="1568" t="s">
        <v>8</v>
      </c>
      <c r="U11" s="1569" t="e">
        <f t="shared" si="1"/>
        <v>#N/A</v>
      </c>
      <c r="V11" s="1568" t="s">
        <v>8</v>
      </c>
      <c r="W11" s="1569" t="e">
        <f t="shared" si="2"/>
        <v>#N/A</v>
      </c>
      <c r="X11" s="1570"/>
      <c r="Y11" s="336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8" t="s">
        <v>540</v>
      </c>
      <c r="Q15" s="1572" t="str">
        <f t="shared" si="6"/>
        <v>商业繁华度</v>
      </c>
      <c r="R15" s="1573" t="s">
        <v>8</v>
      </c>
      <c r="S15" s="1574">
        <f t="shared" si="0"/>
        <v>100</v>
      </c>
      <c r="T15" s="1573" t="s">
        <v>8</v>
      </c>
      <c r="U15" s="1574">
        <f t="shared" si="1"/>
        <v>100</v>
      </c>
      <c r="V15" s="1573" t="s">
        <v>8</v>
      </c>
      <c r="W15" s="1574">
        <f t="shared" si="2"/>
        <v>100</v>
      </c>
      <c r="X15" s="1567"/>
      <c r="Y15" s="3428"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9"/>
      <c r="Q17" s="1572" t="str">
        <f>B17</f>
        <v>交通便捷度</v>
      </c>
      <c r="R17" s="1573" t="s">
        <v>8</v>
      </c>
      <c r="S17" s="1574">
        <f>F17</f>
        <v>100</v>
      </c>
      <c r="T17" s="1573" t="s">
        <v>8</v>
      </c>
      <c r="U17" s="1574">
        <f>H17</f>
        <v>100</v>
      </c>
      <c r="V17" s="1573" t="s">
        <v>8</v>
      </c>
      <c r="W17" s="1574">
        <f>J17</f>
        <v>100</v>
      </c>
      <c r="X17" s="1567"/>
      <c r="Y17" s="34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29"/>
      <c r="Q22" s="2580"/>
      <c r="R22" s="1573"/>
      <c r="S22" s="1574"/>
      <c r="T22" s="1573"/>
      <c r="U22" s="1574"/>
      <c r="V22" s="1573"/>
      <c r="W22" s="1574"/>
      <c r="X22" s="2582"/>
      <c r="Y22" s="3429"/>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9"/>
      <c r="Q23" s="1572" t="str">
        <f>B23</f>
        <v>自然及人文环境</v>
      </c>
      <c r="R23" s="1573" t="s">
        <v>8</v>
      </c>
      <c r="S23" s="1574">
        <f>F23</f>
        <v>100</v>
      </c>
      <c r="T23" s="1573" t="s">
        <v>8</v>
      </c>
      <c r="U23" s="1574">
        <f>H23</f>
        <v>100</v>
      </c>
      <c r="V23" s="1573" t="s">
        <v>8</v>
      </c>
      <c r="W23" s="1574">
        <f>J23</f>
        <v>100</v>
      </c>
      <c r="X23" s="1567"/>
      <c r="Y23" s="342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9"/>
      <c r="Q25" s="1572" t="str">
        <f t="shared" ref="Q25:Q46" si="11">B25</f>
        <v>临街状况</v>
      </c>
      <c r="R25" s="1573" t="s">
        <v>8</v>
      </c>
      <c r="S25" s="1574">
        <f>F25</f>
        <v>100</v>
      </c>
      <c r="T25" s="1573" t="s">
        <v>8</v>
      </c>
      <c r="U25" s="1574">
        <f>H25</f>
        <v>100</v>
      </c>
      <c r="V25" s="1573" t="s">
        <v>8</v>
      </c>
      <c r="W25" s="1574">
        <f>J25</f>
        <v>100</v>
      </c>
      <c r="X25" s="1567"/>
      <c r="Y25" s="3429"/>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9"/>
      <c r="Q26" s="1572" t="str">
        <f t="shared" si="11"/>
        <v>平面位置/可视性</v>
      </c>
      <c r="R26" s="1573" t="s">
        <v>8</v>
      </c>
      <c r="S26" s="1574">
        <f>F26</f>
        <v>100</v>
      </c>
      <c r="T26" s="1573" t="s">
        <v>8</v>
      </c>
      <c r="U26" s="1574">
        <f>H26</f>
        <v>100</v>
      </c>
      <c r="V26" s="1573" t="s">
        <v>8</v>
      </c>
      <c r="W26" s="1574">
        <f>J26</f>
        <v>100</v>
      </c>
      <c r="X26" s="1567"/>
      <c r="Y26" s="3429"/>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9"/>
      <c r="Q27" s="1151" t="str">
        <f t="shared" si="11"/>
        <v>人流量</v>
      </c>
      <c r="R27" s="1568" t="s">
        <v>8</v>
      </c>
      <c r="S27" s="1569">
        <f>F27</f>
        <v>100</v>
      </c>
      <c r="T27" s="1568" t="s">
        <v>8</v>
      </c>
      <c r="U27" s="1569">
        <f>H27</f>
        <v>100</v>
      </c>
      <c r="V27" s="1568" t="s">
        <v>8</v>
      </c>
      <c r="W27" s="1569">
        <f>J27</f>
        <v>100</v>
      </c>
      <c r="X27" s="1570"/>
      <c r="Y27" s="3429"/>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9"/>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9"/>
      <c r="Q29" s="1572">
        <f t="shared" si="11"/>
        <v>111</v>
      </c>
      <c r="R29" s="1573" t="s">
        <v>8</v>
      </c>
      <c r="S29" s="1574">
        <f t="shared" si="12"/>
        <v>100</v>
      </c>
      <c r="T29" s="1573" t="s">
        <v>8</v>
      </c>
      <c r="U29" s="1574">
        <f t="shared" si="13"/>
        <v>100</v>
      </c>
      <c r="V29" s="1573" t="s">
        <v>8</v>
      </c>
      <c r="W29" s="1574">
        <f t="shared" si="14"/>
        <v>100</v>
      </c>
      <c r="X29" s="1567"/>
      <c r="Y29" s="3429"/>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9"/>
      <c r="Q30" s="1572">
        <f t="shared" si="11"/>
        <v>111</v>
      </c>
      <c r="R30" s="1573" t="s">
        <v>8</v>
      </c>
      <c r="S30" s="1574">
        <f t="shared" si="12"/>
        <v>100</v>
      </c>
      <c r="T30" s="1573" t="s">
        <v>8</v>
      </c>
      <c r="U30" s="1574">
        <f t="shared" si="13"/>
        <v>100</v>
      </c>
      <c r="V30" s="1573" t="s">
        <v>8</v>
      </c>
      <c r="W30" s="1574">
        <f t="shared" si="14"/>
        <v>100</v>
      </c>
      <c r="X30" s="1567"/>
      <c r="Y30" s="3429"/>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9"/>
      <c r="Q31" s="1572">
        <f t="shared" si="11"/>
        <v>111</v>
      </c>
      <c r="R31" s="1573" t="s">
        <v>8</v>
      </c>
      <c r="S31" s="1574">
        <f t="shared" si="12"/>
        <v>100</v>
      </c>
      <c r="T31" s="1573" t="s">
        <v>8</v>
      </c>
      <c r="U31" s="1574">
        <f t="shared" si="13"/>
        <v>100</v>
      </c>
      <c r="V31" s="1573" t="s">
        <v>8</v>
      </c>
      <c r="W31" s="1574">
        <f t="shared" si="14"/>
        <v>100</v>
      </c>
      <c r="X31" s="1567"/>
      <c r="Y31" s="3429"/>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0" t="s">
        <v>550</v>
      </c>
      <c r="Q32" s="1572" t="str">
        <f t="shared" si="11"/>
        <v>商业类型</v>
      </c>
      <c r="R32" s="1573" t="s">
        <v>8</v>
      </c>
      <c r="S32" s="1574">
        <f t="shared" si="12"/>
        <v>100</v>
      </c>
      <c r="T32" s="1573" t="s">
        <v>8</v>
      </c>
      <c r="U32" s="1574">
        <f t="shared" si="13"/>
        <v>100</v>
      </c>
      <c r="V32" s="1573" t="s">
        <v>8</v>
      </c>
      <c r="W32" s="1574">
        <f t="shared" si="14"/>
        <v>100</v>
      </c>
      <c r="X32" s="1567"/>
      <c r="Y32" s="3431"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1"/>
      <c r="Q33" s="1605" t="str">
        <f t="shared" si="11"/>
        <v>项目建筑规模</v>
      </c>
      <c r="R33" s="1577" t="s">
        <v>8</v>
      </c>
      <c r="S33" s="1578" t="e">
        <f t="shared" si="12"/>
        <v>#N/A</v>
      </c>
      <c r="T33" s="1577" t="s">
        <v>8</v>
      </c>
      <c r="U33" s="1578" t="e">
        <f t="shared" si="13"/>
        <v>#N/A</v>
      </c>
      <c r="V33" s="1577" t="s">
        <v>8</v>
      </c>
      <c r="W33" s="1578" t="e">
        <f t="shared" si="14"/>
        <v>#N/A</v>
      </c>
      <c r="X33" s="1579"/>
      <c r="Y33" s="3431"/>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1"/>
      <c r="Q34" s="1572" t="str">
        <f t="shared" si="11"/>
        <v>建筑结构</v>
      </c>
      <c r="R34" s="1573" t="s">
        <v>8</v>
      </c>
      <c r="S34" s="1574">
        <f t="shared" si="12"/>
        <v>100</v>
      </c>
      <c r="T34" s="1573" t="s">
        <v>8</v>
      </c>
      <c r="U34" s="1574">
        <f t="shared" si="13"/>
        <v>100</v>
      </c>
      <c r="V34" s="1573" t="s">
        <v>8</v>
      </c>
      <c r="W34" s="1574">
        <f t="shared" si="14"/>
        <v>100</v>
      </c>
      <c r="X34" s="1567"/>
      <c r="Y34" s="3431"/>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1"/>
      <c r="Q35" s="1572" t="str">
        <f t="shared" si="11"/>
        <v>公共部分装修</v>
      </c>
      <c r="R35" s="1573" t="s">
        <v>8</v>
      </c>
      <c r="S35" s="1574">
        <f t="shared" si="12"/>
        <v>100</v>
      </c>
      <c r="T35" s="1573" t="s">
        <v>8</v>
      </c>
      <c r="U35" s="1574">
        <f t="shared" si="13"/>
        <v>100</v>
      </c>
      <c r="V35" s="1573" t="s">
        <v>8</v>
      </c>
      <c r="W35" s="1574">
        <f t="shared" si="14"/>
        <v>100</v>
      </c>
      <c r="X35" s="1567"/>
      <c r="Y35" s="3431"/>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1"/>
      <c r="Q36" s="1572" t="str">
        <f t="shared" si="11"/>
        <v>成新度</v>
      </c>
      <c r="R36" s="1573" t="s">
        <v>8</v>
      </c>
      <c r="S36" s="1574" t="e">
        <f t="shared" si="12"/>
        <v>#N/A</v>
      </c>
      <c r="T36" s="1573" t="s">
        <v>8</v>
      </c>
      <c r="U36" s="1574" t="e">
        <f t="shared" si="13"/>
        <v>#N/A</v>
      </c>
      <c r="V36" s="1573" t="s">
        <v>8</v>
      </c>
      <c r="W36" s="1574" t="e">
        <f t="shared" si="14"/>
        <v>#N/A</v>
      </c>
      <c r="X36" s="1567"/>
      <c r="Y36" s="3431"/>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1"/>
      <c r="Q37" s="1151" t="str">
        <f t="shared" si="11"/>
        <v>市政基础设施</v>
      </c>
      <c r="R37" s="1568" t="s">
        <v>8</v>
      </c>
      <c r="S37" s="1569">
        <f t="shared" si="12"/>
        <v>100</v>
      </c>
      <c r="T37" s="1568" t="s">
        <v>8</v>
      </c>
      <c r="U37" s="1569">
        <f t="shared" si="13"/>
        <v>100</v>
      </c>
      <c r="V37" s="1568" t="s">
        <v>8</v>
      </c>
      <c r="W37" s="1569">
        <f t="shared" si="14"/>
        <v>100</v>
      </c>
      <c r="X37" s="1570"/>
      <c r="Y37" s="3431"/>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1" t="s">
        <v>766</v>
      </c>
      <c r="Q38" s="1572" t="str">
        <f t="shared" si="11"/>
        <v>业态</v>
      </c>
      <c r="R38" s="1573" t="s">
        <v>8</v>
      </c>
      <c r="S38" s="1574">
        <f t="shared" si="12"/>
        <v>100</v>
      </c>
      <c r="T38" s="1573" t="s">
        <v>8</v>
      </c>
      <c r="U38" s="1574">
        <f t="shared" si="13"/>
        <v>100</v>
      </c>
      <c r="V38" s="1573" t="s">
        <v>8</v>
      </c>
      <c r="W38" s="1574">
        <f t="shared" si="14"/>
        <v>100</v>
      </c>
      <c r="X38" s="1567"/>
      <c r="Y38" s="3431"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1"/>
      <c r="Q39" s="1572" t="str">
        <f t="shared" si="11"/>
        <v>层高</v>
      </c>
      <c r="R39" s="1573" t="s">
        <v>8</v>
      </c>
      <c r="S39" s="1574">
        <f t="shared" si="12"/>
        <v>100</v>
      </c>
      <c r="T39" s="1573" t="s">
        <v>8</v>
      </c>
      <c r="U39" s="1574">
        <f t="shared" si="13"/>
        <v>100</v>
      </c>
      <c r="V39" s="1573" t="s">
        <v>8</v>
      </c>
      <c r="W39" s="1574">
        <f t="shared" si="14"/>
        <v>100</v>
      </c>
      <c r="X39" s="1567"/>
      <c r="Y39" s="3431"/>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1"/>
      <c r="Q40" s="1572" t="str">
        <f t="shared" si="11"/>
        <v>单套建筑面积</v>
      </c>
      <c r="R40" s="1573" t="s">
        <v>8</v>
      </c>
      <c r="S40" s="1574">
        <f t="shared" si="12"/>
        <v>100</v>
      </c>
      <c r="T40" s="1573" t="s">
        <v>8</v>
      </c>
      <c r="U40" s="1574">
        <f t="shared" si="13"/>
        <v>100</v>
      </c>
      <c r="V40" s="1573" t="s">
        <v>8</v>
      </c>
      <c r="W40" s="1574">
        <f t="shared" si="14"/>
        <v>100</v>
      </c>
      <c r="X40" s="1567"/>
      <c r="Y40" s="3431"/>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1"/>
      <c r="Q41" s="1605" t="str">
        <f t="shared" si="11"/>
        <v>进深比</v>
      </c>
      <c r="R41" s="1577" t="s">
        <v>8</v>
      </c>
      <c r="S41" s="1578">
        <f t="shared" si="12"/>
        <v>100</v>
      </c>
      <c r="T41" s="1577" t="s">
        <v>8</v>
      </c>
      <c r="U41" s="1578">
        <f t="shared" si="13"/>
        <v>100</v>
      </c>
      <c r="V41" s="1577" t="s">
        <v>8</v>
      </c>
      <c r="W41" s="1578">
        <f t="shared" si="14"/>
        <v>100</v>
      </c>
      <c r="X41" s="1579"/>
      <c r="Y41" s="3431"/>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1"/>
      <c r="Q42" s="1572" t="str">
        <f t="shared" si="11"/>
        <v>内部装修</v>
      </c>
      <c r="R42" s="1573" t="s">
        <v>8</v>
      </c>
      <c r="S42" s="1574">
        <f t="shared" si="12"/>
        <v>100</v>
      </c>
      <c r="T42" s="1573" t="s">
        <v>8</v>
      </c>
      <c r="U42" s="1574">
        <f t="shared" si="13"/>
        <v>100</v>
      </c>
      <c r="V42" s="1573" t="s">
        <v>8</v>
      </c>
      <c r="W42" s="1574">
        <f t="shared" si="14"/>
        <v>100</v>
      </c>
      <c r="X42" s="1567"/>
      <c r="Y42" s="3431"/>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1"/>
      <c r="Q43" s="1572" t="str">
        <f t="shared" si="11"/>
        <v>内部装修维护情况</v>
      </c>
      <c r="R43" s="1573" t="s">
        <v>8</v>
      </c>
      <c r="S43" s="1574">
        <f t="shared" si="12"/>
        <v>100</v>
      </c>
      <c r="T43" s="1573" t="s">
        <v>8</v>
      </c>
      <c r="U43" s="1574">
        <f t="shared" si="13"/>
        <v>100</v>
      </c>
      <c r="V43" s="1573" t="s">
        <v>8</v>
      </c>
      <c r="W43" s="1574">
        <f t="shared" si="14"/>
        <v>100</v>
      </c>
      <c r="X43" s="1567"/>
      <c r="Y43" s="3431"/>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1"/>
      <c r="Q44" s="1151">
        <f t="shared" si="11"/>
        <v>111</v>
      </c>
      <c r="R44" s="1568" t="s">
        <v>8</v>
      </c>
      <c r="S44" s="1569">
        <f t="shared" si="12"/>
        <v>100</v>
      </c>
      <c r="T44" s="1568" t="s">
        <v>8</v>
      </c>
      <c r="U44" s="1569">
        <f t="shared" si="13"/>
        <v>100</v>
      </c>
      <c r="V44" s="1568" t="s">
        <v>8</v>
      </c>
      <c r="W44" s="1569">
        <f t="shared" si="14"/>
        <v>100</v>
      </c>
      <c r="X44" s="1570"/>
      <c r="Y44" s="3431"/>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1"/>
      <c r="Q45" s="1572">
        <f t="shared" si="11"/>
        <v>111</v>
      </c>
      <c r="R45" s="1573" t="s">
        <v>8</v>
      </c>
      <c r="S45" s="1574">
        <f t="shared" si="12"/>
        <v>100</v>
      </c>
      <c r="T45" s="1573" t="s">
        <v>8</v>
      </c>
      <c r="U45" s="1574">
        <f t="shared" si="13"/>
        <v>100</v>
      </c>
      <c r="V45" s="1573" t="s">
        <v>8</v>
      </c>
      <c r="W45" s="1574">
        <f t="shared" si="14"/>
        <v>100</v>
      </c>
      <c r="X45" s="1567"/>
      <c r="Y45" s="3431"/>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3"/>
      <c r="Q46" s="1572">
        <f t="shared" si="11"/>
        <v>111</v>
      </c>
      <c r="R46" s="1573" t="s">
        <v>8</v>
      </c>
      <c r="S46" s="1574">
        <f t="shared" si="12"/>
        <v>100</v>
      </c>
      <c r="T46" s="1573" t="s">
        <v>8</v>
      </c>
      <c r="U46" s="1574">
        <f t="shared" si="13"/>
        <v>100</v>
      </c>
      <c r="V46" s="1573" t="s">
        <v>8</v>
      </c>
      <c r="W46" s="1574">
        <f t="shared" si="14"/>
        <v>100</v>
      </c>
      <c r="X46" s="1567"/>
      <c r="Y46" s="3513"/>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26" t="str">
        <f>A47</f>
        <v>成交单价（元/平方米）</v>
      </c>
      <c r="Q47" s="3426"/>
      <c r="R47" s="3512">
        <f>E47</f>
        <v>0</v>
      </c>
      <c r="S47" s="3512"/>
      <c r="T47" s="3512">
        <f>G47</f>
        <v>0</v>
      </c>
      <c r="U47" s="3512"/>
      <c r="V47" s="3512">
        <f>I47</f>
        <v>0</v>
      </c>
      <c r="W47" s="3512"/>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26" t="str">
        <f>A48</f>
        <v>比较价格（元/平方米）</v>
      </c>
      <c r="Q48" s="3426"/>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47" t="str">
        <f>A49</f>
        <v>估价对象XX用房的比较价格（楼面单价，元/平方米）</v>
      </c>
      <c r="Q49" s="3448"/>
      <c r="R49" s="3511" t="e">
        <f>IF(F1="售价",ROUND(AVERAGE(R48:V48),0),ROUND(AVERAGE(R48:V48),1))</f>
        <v>#DIV/0!</v>
      </c>
      <c r="S49" s="3511"/>
      <c r="T49" s="3511"/>
      <c r="U49" s="3511"/>
      <c r="V49" s="3511"/>
      <c r="W49" s="351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5" sqref="G1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32" t="s">
        <v>522</v>
      </c>
      <c r="D4" s="3433"/>
      <c r="E4" s="3456" t="s">
        <v>523</v>
      </c>
      <c r="F4" s="3457"/>
      <c r="G4" s="3432" t="s">
        <v>524</v>
      </c>
      <c r="H4" s="3433"/>
      <c r="I4" s="3432" t="s">
        <v>525</v>
      </c>
      <c r="J4" s="3433"/>
      <c r="K4" s="514" t="s">
        <v>526</v>
      </c>
      <c r="L4" s="2134"/>
      <c r="M4" s="2135"/>
      <c r="N4" s="2135"/>
      <c r="O4" s="2135"/>
      <c r="P4" s="3514" t="s">
        <v>527</v>
      </c>
      <c r="Q4" s="3435"/>
      <c r="R4" s="3420" t="s">
        <v>523</v>
      </c>
      <c r="S4" s="3421"/>
      <c r="T4" s="3420" t="s">
        <v>524</v>
      </c>
      <c r="U4" s="3421"/>
      <c r="V4" s="3440" t="s">
        <v>525</v>
      </c>
      <c r="W4" s="3440"/>
      <c r="X4" s="1567"/>
      <c r="Y4" s="3420" t="s">
        <v>527</v>
      </c>
      <c r="Z4" s="3421"/>
      <c r="AA4" s="3415" t="s">
        <v>523</v>
      </c>
      <c r="AB4" s="3415" t="s">
        <v>524</v>
      </c>
      <c r="AC4" s="3415" t="s">
        <v>525</v>
      </c>
    </row>
    <row r="5" spans="1:29" ht="15">
      <c r="A5" s="515"/>
      <c r="B5" s="516"/>
      <c r="C5" s="3443" t="s">
        <v>2933</v>
      </c>
      <c r="D5" s="3444"/>
      <c r="E5" s="3458" t="s">
        <v>2934</v>
      </c>
      <c r="F5" s="3459"/>
      <c r="G5" s="3443" t="s">
        <v>2935</v>
      </c>
      <c r="H5" s="3444"/>
      <c r="I5" s="3443" t="s">
        <v>2936</v>
      </c>
      <c r="J5" s="3444"/>
      <c r="K5" s="514"/>
      <c r="L5" s="2134"/>
      <c r="M5" s="2135"/>
      <c r="N5" s="2135"/>
      <c r="O5" s="2135"/>
      <c r="P5" s="3515"/>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516"/>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7" t="s">
        <v>530</v>
      </c>
      <c r="Q7" s="3427"/>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7" t="s">
        <v>533</v>
      </c>
      <c r="Q8" s="3419"/>
      <c r="R8" s="1568" t="s">
        <v>8</v>
      </c>
      <c r="S8" s="1569">
        <f t="shared" si="0"/>
        <v>0</v>
      </c>
      <c r="T8" s="1568" t="s">
        <v>8</v>
      </c>
      <c r="U8" s="1569">
        <f t="shared" si="1"/>
        <v>0</v>
      </c>
      <c r="V8" s="1568" t="s">
        <v>8</v>
      </c>
      <c r="W8" s="1569">
        <f t="shared" si="2"/>
        <v>0</v>
      </c>
      <c r="X8" s="1570"/>
      <c r="Y8" s="3418" t="s">
        <v>533</v>
      </c>
      <c r="Z8" s="3419"/>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26"/>
      <c r="Q11" s="1151" t="str">
        <f t="shared" si="6"/>
        <v>容积率</v>
      </c>
      <c r="R11" s="1568" t="s">
        <v>8</v>
      </c>
      <c r="S11" s="1569" t="e">
        <f t="shared" si="0"/>
        <v>#N/A</v>
      </c>
      <c r="T11" s="1568" t="s">
        <v>8</v>
      </c>
      <c r="U11" s="1569" t="e">
        <f t="shared" si="1"/>
        <v>#N/A</v>
      </c>
      <c r="V11" s="1568" t="s">
        <v>8</v>
      </c>
      <c r="W11" s="1569" t="e">
        <f t="shared" si="2"/>
        <v>#N/A</v>
      </c>
      <c r="X11" s="1570"/>
      <c r="Y11" s="336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8" t="s">
        <v>540</v>
      </c>
      <c r="Q15" s="1572" t="str">
        <f t="shared" si="6"/>
        <v>办公集聚程度</v>
      </c>
      <c r="R15" s="1573" t="s">
        <v>8</v>
      </c>
      <c r="S15" s="1574">
        <f t="shared" si="0"/>
        <v>100</v>
      </c>
      <c r="T15" s="1573" t="s">
        <v>8</v>
      </c>
      <c r="U15" s="1574">
        <f t="shared" si="1"/>
        <v>100</v>
      </c>
      <c r="V15" s="1573" t="s">
        <v>8</v>
      </c>
      <c r="W15" s="1574">
        <f t="shared" si="2"/>
        <v>100</v>
      </c>
      <c r="X15" s="1567"/>
      <c r="Y15" s="3428"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9"/>
      <c r="Q16" s="1572"/>
      <c r="R16" s="1573"/>
      <c r="S16" s="1574"/>
      <c r="T16" s="1573"/>
      <c r="U16" s="1574"/>
      <c r="V16" s="1573"/>
      <c r="W16" s="1574"/>
      <c r="X16" s="1567"/>
      <c r="Y16" s="3429"/>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9"/>
      <c r="Q17" s="1572" t="str">
        <f>B17</f>
        <v>交通便捷度</v>
      </c>
      <c r="R17" s="1573" t="s">
        <v>8</v>
      </c>
      <c r="S17" s="1574">
        <f>F17</f>
        <v>100</v>
      </c>
      <c r="T17" s="1573" t="s">
        <v>8</v>
      </c>
      <c r="U17" s="1574">
        <f>H17</f>
        <v>100</v>
      </c>
      <c r="V17" s="1573" t="s">
        <v>8</v>
      </c>
      <c r="W17" s="1574">
        <f>J17</f>
        <v>100</v>
      </c>
      <c r="X17" s="1567"/>
      <c r="Y17" s="342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9"/>
      <c r="Q18" s="1572"/>
      <c r="R18" s="1573"/>
      <c r="S18" s="1574"/>
      <c r="T18" s="1573"/>
      <c r="U18" s="1574"/>
      <c r="V18" s="1573"/>
      <c r="W18" s="1574"/>
      <c r="X18" s="1567"/>
      <c r="Y18" s="3429"/>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9"/>
      <c r="Q20" s="1572"/>
      <c r="R20" s="1573"/>
      <c r="S20" s="1574"/>
      <c r="T20" s="1573"/>
      <c r="U20" s="1574"/>
      <c r="V20" s="1573"/>
      <c r="W20" s="1574"/>
      <c r="X20" s="1567"/>
      <c r="Y20" s="3429"/>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29"/>
      <c r="Q22" s="2580"/>
      <c r="R22" s="1573"/>
      <c r="S22" s="1574"/>
      <c r="T22" s="1573"/>
      <c r="U22" s="1574"/>
      <c r="V22" s="1573"/>
      <c r="W22" s="1574"/>
      <c r="X22" s="2582"/>
      <c r="Y22" s="3429"/>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9"/>
      <c r="Q23" s="1572" t="str">
        <f>B23</f>
        <v>环境质量</v>
      </c>
      <c r="R23" s="1573" t="s">
        <v>8</v>
      </c>
      <c r="S23" s="1574">
        <f>F23</f>
        <v>100</v>
      </c>
      <c r="T23" s="1573" t="s">
        <v>8</v>
      </c>
      <c r="U23" s="1574">
        <f>H23</f>
        <v>100</v>
      </c>
      <c r="V23" s="1573" t="s">
        <v>8</v>
      </c>
      <c r="W23" s="1574">
        <f>J23</f>
        <v>100</v>
      </c>
      <c r="X23" s="1567"/>
      <c r="Y23" s="342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9"/>
      <c r="Q24" s="1572"/>
      <c r="R24" s="1573"/>
      <c r="S24" s="1574"/>
      <c r="T24" s="1573"/>
      <c r="U24" s="1574"/>
      <c r="V24" s="1573"/>
      <c r="W24" s="1574"/>
      <c r="X24" s="1567"/>
      <c r="Y24" s="3429"/>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9"/>
      <c r="Q25" s="1572" t="str">
        <f>B25</f>
        <v>毗邻道路的类型与等级</v>
      </c>
      <c r="R25" s="1573" t="s">
        <v>8</v>
      </c>
      <c r="S25" s="1574">
        <f>F25</f>
        <v>100</v>
      </c>
      <c r="T25" s="1573" t="s">
        <v>8</v>
      </c>
      <c r="U25" s="1574">
        <f>H25</f>
        <v>100</v>
      </c>
      <c r="V25" s="1573" t="s">
        <v>8</v>
      </c>
      <c r="W25" s="1574">
        <f>J25</f>
        <v>100</v>
      </c>
      <c r="X25" s="1567"/>
      <c r="Y25" s="342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9"/>
      <c r="Q26" s="1572"/>
      <c r="R26" s="1573"/>
      <c r="S26" s="1574"/>
      <c r="T26" s="1573"/>
      <c r="U26" s="1574"/>
      <c r="V26" s="1573"/>
      <c r="W26" s="1574"/>
      <c r="X26" s="1567"/>
      <c r="Y26" s="3429"/>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9"/>
      <c r="Q27" s="1572" t="str">
        <f t="shared" ref="Q27:Q47" si="11">B27</f>
        <v>楼层</v>
      </c>
      <c r="R27" s="1573" t="s">
        <v>8</v>
      </c>
      <c r="S27" s="1574">
        <f>F27</f>
        <v>100</v>
      </c>
      <c r="T27" s="1573" t="s">
        <v>8</v>
      </c>
      <c r="U27" s="1574">
        <f>H27</f>
        <v>100</v>
      </c>
      <c r="V27" s="1573" t="s">
        <v>8</v>
      </c>
      <c r="W27" s="1574">
        <f>J27</f>
        <v>100</v>
      </c>
      <c r="X27" s="1567"/>
      <c r="Y27" s="3429"/>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9"/>
      <c r="Q28" s="1151" t="str">
        <f t="shared" si="11"/>
        <v>朝向</v>
      </c>
      <c r="R28" s="1568" t="s">
        <v>8</v>
      </c>
      <c r="S28" s="1569">
        <f>F28</f>
        <v>100</v>
      </c>
      <c r="T28" s="1568" t="s">
        <v>8</v>
      </c>
      <c r="U28" s="1569">
        <f>H28</f>
        <v>100</v>
      </c>
      <c r="V28" s="1568" t="s">
        <v>8</v>
      </c>
      <c r="W28" s="1569">
        <f>J28</f>
        <v>100</v>
      </c>
      <c r="X28" s="1570"/>
      <c r="Y28" s="342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9"/>
      <c r="Q29" s="1572">
        <f t="shared" si="11"/>
        <v>111</v>
      </c>
      <c r="R29" s="1573" t="s">
        <v>8</v>
      </c>
      <c r="S29" s="1574">
        <f t="shared" ref="S29:S47" si="12">F29</f>
        <v>100</v>
      </c>
      <c r="T29" s="1573" t="s">
        <v>8</v>
      </c>
      <c r="U29" s="1574">
        <f t="shared" ref="U29:U47" si="13">H29</f>
        <v>100</v>
      </c>
      <c r="V29" s="1573" t="s">
        <v>8</v>
      </c>
      <c r="W29" s="1574">
        <f t="shared" ref="W29:W47" si="14">J29</f>
        <v>100</v>
      </c>
      <c r="X29" s="1567"/>
      <c r="Y29" s="3429"/>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9"/>
      <c r="Q30" s="1572">
        <f t="shared" si="11"/>
        <v>111</v>
      </c>
      <c r="R30" s="1573" t="s">
        <v>8</v>
      </c>
      <c r="S30" s="1574">
        <f t="shared" si="12"/>
        <v>100</v>
      </c>
      <c r="T30" s="1573" t="s">
        <v>8</v>
      </c>
      <c r="U30" s="1574">
        <f t="shared" si="13"/>
        <v>100</v>
      </c>
      <c r="V30" s="1573" t="s">
        <v>8</v>
      </c>
      <c r="W30" s="1574">
        <f t="shared" si="14"/>
        <v>100</v>
      </c>
      <c r="X30" s="1567"/>
      <c r="Y30" s="3429"/>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9"/>
      <c r="Q31" s="1572">
        <f t="shared" si="11"/>
        <v>111</v>
      </c>
      <c r="R31" s="1573" t="s">
        <v>8</v>
      </c>
      <c r="S31" s="1574">
        <f t="shared" si="12"/>
        <v>100</v>
      </c>
      <c r="T31" s="1573" t="s">
        <v>8</v>
      </c>
      <c r="U31" s="1574">
        <f t="shared" si="13"/>
        <v>100</v>
      </c>
      <c r="V31" s="1573" t="s">
        <v>8</v>
      </c>
      <c r="W31" s="1574">
        <f t="shared" si="14"/>
        <v>100</v>
      </c>
      <c r="X31" s="1567"/>
      <c r="Y31" s="3429"/>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9"/>
      <c r="Q32" s="1572">
        <f t="shared" si="11"/>
        <v>111</v>
      </c>
      <c r="R32" s="1573" t="s">
        <v>8</v>
      </c>
      <c r="S32" s="1574">
        <f t="shared" si="12"/>
        <v>100</v>
      </c>
      <c r="T32" s="1573" t="s">
        <v>8</v>
      </c>
      <c r="U32" s="1574">
        <f t="shared" si="13"/>
        <v>100</v>
      </c>
      <c r="V32" s="1573" t="s">
        <v>8</v>
      </c>
      <c r="W32" s="1574">
        <f t="shared" si="14"/>
        <v>100</v>
      </c>
      <c r="X32" s="1567"/>
      <c r="Y32" s="3429"/>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0" t="s">
        <v>550</v>
      </c>
      <c r="Q33" s="1572" t="str">
        <f t="shared" si="11"/>
        <v>建筑类型</v>
      </c>
      <c r="R33" s="1573" t="s">
        <v>8</v>
      </c>
      <c r="S33" s="1574">
        <f t="shared" si="12"/>
        <v>100</v>
      </c>
      <c r="T33" s="1573" t="s">
        <v>8</v>
      </c>
      <c r="U33" s="1574">
        <f t="shared" si="13"/>
        <v>100</v>
      </c>
      <c r="V33" s="1573" t="s">
        <v>8</v>
      </c>
      <c r="W33" s="1574">
        <f t="shared" si="14"/>
        <v>100</v>
      </c>
      <c r="X33" s="1567"/>
      <c r="Y33" s="3431"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1"/>
      <c r="Q34" s="1605" t="str">
        <f t="shared" si="11"/>
        <v>项目建筑规模</v>
      </c>
      <c r="R34" s="1577" t="s">
        <v>8</v>
      </c>
      <c r="S34" s="1578" t="e">
        <f t="shared" si="12"/>
        <v>#N/A</v>
      </c>
      <c r="T34" s="1577" t="s">
        <v>8</v>
      </c>
      <c r="U34" s="1578" t="e">
        <f t="shared" si="13"/>
        <v>#N/A</v>
      </c>
      <c r="V34" s="1577" t="s">
        <v>8</v>
      </c>
      <c r="W34" s="1578" t="e">
        <f t="shared" si="14"/>
        <v>#N/A</v>
      </c>
      <c r="X34" s="1579"/>
      <c r="Y34" s="3431"/>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1"/>
      <c r="Q35" s="1572" t="str">
        <f t="shared" si="11"/>
        <v>建筑结构</v>
      </c>
      <c r="R35" s="1573" t="s">
        <v>8</v>
      </c>
      <c r="S35" s="1574">
        <f t="shared" si="12"/>
        <v>100</v>
      </c>
      <c r="T35" s="1573" t="s">
        <v>8</v>
      </c>
      <c r="U35" s="1574">
        <f t="shared" si="13"/>
        <v>100</v>
      </c>
      <c r="V35" s="1573" t="s">
        <v>8</v>
      </c>
      <c r="W35" s="1574">
        <f t="shared" si="14"/>
        <v>100</v>
      </c>
      <c r="X35" s="1567"/>
      <c r="Y35" s="3431"/>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1"/>
      <c r="Q36" s="1572" t="str">
        <f t="shared" si="11"/>
        <v>公共部分装修</v>
      </c>
      <c r="R36" s="1573" t="s">
        <v>8</v>
      </c>
      <c r="S36" s="1574">
        <f t="shared" si="12"/>
        <v>100</v>
      </c>
      <c r="T36" s="1573" t="s">
        <v>8</v>
      </c>
      <c r="U36" s="1574">
        <f t="shared" si="13"/>
        <v>100</v>
      </c>
      <c r="V36" s="1573" t="s">
        <v>8</v>
      </c>
      <c r="W36" s="1574">
        <f t="shared" si="14"/>
        <v>100</v>
      </c>
      <c r="X36" s="1567"/>
      <c r="Y36" s="3431"/>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1"/>
      <c r="Q37" s="1572" t="str">
        <f t="shared" si="11"/>
        <v>成新度</v>
      </c>
      <c r="R37" s="1573" t="s">
        <v>8</v>
      </c>
      <c r="S37" s="1574" t="e">
        <f t="shared" si="12"/>
        <v>#N/A</v>
      </c>
      <c r="T37" s="1573" t="s">
        <v>8</v>
      </c>
      <c r="U37" s="1574" t="e">
        <f t="shared" si="13"/>
        <v>#N/A</v>
      </c>
      <c r="V37" s="1573" t="s">
        <v>8</v>
      </c>
      <c r="W37" s="1574" t="e">
        <f t="shared" si="14"/>
        <v>#N/A</v>
      </c>
      <c r="X37" s="1567"/>
      <c r="Y37" s="3431"/>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1"/>
      <c r="Q38" s="1151" t="str">
        <f t="shared" si="11"/>
        <v>写字楼等级</v>
      </c>
      <c r="R38" s="1568" t="s">
        <v>8</v>
      </c>
      <c r="S38" s="1569">
        <f t="shared" si="12"/>
        <v>100</v>
      </c>
      <c r="T38" s="1568" t="s">
        <v>8</v>
      </c>
      <c r="U38" s="1569">
        <f t="shared" si="13"/>
        <v>100</v>
      </c>
      <c r="V38" s="1568" t="s">
        <v>8</v>
      </c>
      <c r="W38" s="1569">
        <f t="shared" si="14"/>
        <v>100</v>
      </c>
      <c r="X38" s="1570"/>
      <c r="Y38" s="3431"/>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1" t="s">
        <v>550</v>
      </c>
      <c r="Q39" s="1572" t="str">
        <f t="shared" si="11"/>
        <v>物业管理</v>
      </c>
      <c r="R39" s="1573" t="s">
        <v>8</v>
      </c>
      <c r="S39" s="1574">
        <f t="shared" si="12"/>
        <v>100</v>
      </c>
      <c r="T39" s="1573" t="s">
        <v>8</v>
      </c>
      <c r="U39" s="1574">
        <f t="shared" si="13"/>
        <v>100</v>
      </c>
      <c r="V39" s="1573" t="s">
        <v>8</v>
      </c>
      <c r="W39" s="1574">
        <f t="shared" si="14"/>
        <v>100</v>
      </c>
      <c r="X39" s="1567"/>
      <c r="Y39" s="3431"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1"/>
      <c r="Q40" s="1572" t="str">
        <f t="shared" si="11"/>
        <v>市政基础设施</v>
      </c>
      <c r="R40" s="1573" t="s">
        <v>8</v>
      </c>
      <c r="S40" s="1574">
        <f t="shared" si="12"/>
        <v>100</v>
      </c>
      <c r="T40" s="1573" t="s">
        <v>8</v>
      </c>
      <c r="U40" s="1574">
        <f t="shared" si="13"/>
        <v>100</v>
      </c>
      <c r="V40" s="1573" t="s">
        <v>8</v>
      </c>
      <c r="W40" s="1574">
        <f t="shared" si="14"/>
        <v>100</v>
      </c>
      <c r="X40" s="1567"/>
      <c r="Y40" s="3431"/>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1"/>
      <c r="Q41" s="1572" t="str">
        <f t="shared" si="11"/>
        <v>层高</v>
      </c>
      <c r="R41" s="1573" t="s">
        <v>8</v>
      </c>
      <c r="S41" s="1574">
        <f t="shared" si="12"/>
        <v>100</v>
      </c>
      <c r="T41" s="1573" t="s">
        <v>8</v>
      </c>
      <c r="U41" s="1574">
        <f t="shared" si="13"/>
        <v>100</v>
      </c>
      <c r="V41" s="1573" t="s">
        <v>8</v>
      </c>
      <c r="W41" s="1574">
        <f t="shared" si="14"/>
        <v>100</v>
      </c>
      <c r="X41" s="1567"/>
      <c r="Y41" s="3431"/>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1"/>
      <c r="Q42" s="1605" t="str">
        <f t="shared" si="11"/>
        <v>单套建筑面积</v>
      </c>
      <c r="R42" s="1577" t="s">
        <v>8</v>
      </c>
      <c r="S42" s="1578">
        <f t="shared" si="12"/>
        <v>100</v>
      </c>
      <c r="T42" s="1577" t="s">
        <v>8</v>
      </c>
      <c r="U42" s="1578">
        <f t="shared" si="13"/>
        <v>100</v>
      </c>
      <c r="V42" s="1577" t="s">
        <v>8</v>
      </c>
      <c r="W42" s="1578">
        <f t="shared" si="14"/>
        <v>100</v>
      </c>
      <c r="X42" s="1579"/>
      <c r="Y42" s="3431"/>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1"/>
      <c r="Q43" s="1572" t="str">
        <f t="shared" si="11"/>
        <v>内部装修</v>
      </c>
      <c r="R43" s="1573" t="s">
        <v>8</v>
      </c>
      <c r="S43" s="1574">
        <f t="shared" si="12"/>
        <v>100</v>
      </c>
      <c r="T43" s="1573" t="s">
        <v>8</v>
      </c>
      <c r="U43" s="1574">
        <f t="shared" si="13"/>
        <v>100</v>
      </c>
      <c r="V43" s="1573" t="s">
        <v>8</v>
      </c>
      <c r="W43" s="1574">
        <f t="shared" si="14"/>
        <v>100</v>
      </c>
      <c r="X43" s="1567"/>
      <c r="Y43" s="3431"/>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1"/>
      <c r="Q44" s="1572" t="str">
        <f t="shared" si="11"/>
        <v>内部装修维护情况</v>
      </c>
      <c r="R44" s="1573" t="s">
        <v>8</v>
      </c>
      <c r="S44" s="1574">
        <f t="shared" si="12"/>
        <v>100</v>
      </c>
      <c r="T44" s="1573" t="s">
        <v>8</v>
      </c>
      <c r="U44" s="1574">
        <f t="shared" si="13"/>
        <v>100</v>
      </c>
      <c r="V44" s="1573" t="s">
        <v>8</v>
      </c>
      <c r="W44" s="1574">
        <f t="shared" si="14"/>
        <v>100</v>
      </c>
      <c r="X44" s="1567"/>
      <c r="Y44" s="3431"/>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1"/>
      <c r="Q45" s="1151">
        <f t="shared" si="11"/>
        <v>111</v>
      </c>
      <c r="R45" s="1568" t="s">
        <v>8</v>
      </c>
      <c r="S45" s="1569">
        <f t="shared" si="12"/>
        <v>100</v>
      </c>
      <c r="T45" s="1568" t="s">
        <v>8</v>
      </c>
      <c r="U45" s="1569">
        <f t="shared" si="13"/>
        <v>100</v>
      </c>
      <c r="V45" s="1568" t="s">
        <v>8</v>
      </c>
      <c r="W45" s="1569">
        <f t="shared" si="14"/>
        <v>100</v>
      </c>
      <c r="X45" s="1570"/>
      <c r="Y45" s="3431"/>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1"/>
      <c r="Q46" s="1572">
        <f t="shared" si="11"/>
        <v>111</v>
      </c>
      <c r="R46" s="1573" t="s">
        <v>8</v>
      </c>
      <c r="S46" s="1574">
        <f t="shared" si="12"/>
        <v>100</v>
      </c>
      <c r="T46" s="1573" t="s">
        <v>8</v>
      </c>
      <c r="U46" s="1574">
        <f t="shared" si="13"/>
        <v>100</v>
      </c>
      <c r="V46" s="1573" t="s">
        <v>8</v>
      </c>
      <c r="W46" s="1574">
        <f t="shared" si="14"/>
        <v>100</v>
      </c>
      <c r="X46" s="1567"/>
      <c r="Y46" s="3431"/>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3"/>
      <c r="Q47" s="1572">
        <f t="shared" si="11"/>
        <v>111</v>
      </c>
      <c r="R47" s="1573" t="s">
        <v>8</v>
      </c>
      <c r="S47" s="1574">
        <f t="shared" si="12"/>
        <v>100</v>
      </c>
      <c r="T47" s="1573" t="s">
        <v>8</v>
      </c>
      <c r="U47" s="1574">
        <f t="shared" si="13"/>
        <v>100</v>
      </c>
      <c r="V47" s="1573" t="s">
        <v>8</v>
      </c>
      <c r="W47" s="1574">
        <f t="shared" si="14"/>
        <v>100</v>
      </c>
      <c r="X47" s="1567"/>
      <c r="Y47" s="3513"/>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48" t="str">
        <f>A48</f>
        <v>成交单价（元/平方米）</v>
      </c>
      <c r="Q48" s="3426"/>
      <c r="R48" s="3512">
        <f>E48</f>
        <v>0</v>
      </c>
      <c r="S48" s="3512"/>
      <c r="T48" s="3512">
        <f>G48</f>
        <v>0</v>
      </c>
      <c r="U48" s="3512"/>
      <c r="V48" s="3512">
        <f>I48</f>
        <v>0</v>
      </c>
      <c r="W48" s="3512"/>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48" t="str">
        <f>A49</f>
        <v>比较价格（元/平方米）</v>
      </c>
      <c r="Q49" s="3426"/>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517" t="str">
        <f>A50</f>
        <v>估价对象XX用房的比较价格（楼面单价，元/平方米）</v>
      </c>
      <c r="Q50" s="3448"/>
      <c r="R50" s="3511" t="e">
        <f>IF(F1="售价",ROUND(AVERAGE(R49:V49),0),ROUND(AVERAGE(R49:V49),1))</f>
        <v>#DIV/0!</v>
      </c>
      <c r="S50" s="3511"/>
      <c r="T50" s="3511"/>
      <c r="U50" s="3511"/>
      <c r="V50" s="3511"/>
      <c r="W50" s="351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32" t="s">
        <v>522</v>
      </c>
      <c r="D4" s="3433"/>
      <c r="E4" s="3456" t="s">
        <v>523</v>
      </c>
      <c r="F4" s="3457"/>
      <c r="G4" s="3432" t="s">
        <v>524</v>
      </c>
      <c r="H4" s="3433"/>
      <c r="I4" s="3432" t="s">
        <v>525</v>
      </c>
      <c r="J4" s="3433"/>
      <c r="K4" s="514" t="s">
        <v>526</v>
      </c>
      <c r="L4" s="2134"/>
      <c r="M4" s="2135"/>
      <c r="N4" s="2135"/>
      <c r="O4" s="2135"/>
      <c r="P4" s="3434" t="s">
        <v>527</v>
      </c>
      <c r="Q4" s="3435"/>
      <c r="R4" s="3420" t="s">
        <v>523</v>
      </c>
      <c r="S4" s="3421"/>
      <c r="T4" s="3420" t="s">
        <v>524</v>
      </c>
      <c r="U4" s="3421"/>
      <c r="V4" s="3440" t="s">
        <v>525</v>
      </c>
      <c r="W4" s="3440"/>
      <c r="X4" s="1567"/>
      <c r="Y4" s="3420" t="s">
        <v>527</v>
      </c>
      <c r="Z4" s="3421"/>
      <c r="AA4" s="3415" t="s">
        <v>523</v>
      </c>
      <c r="AB4" s="3416" t="s">
        <v>524</v>
      </c>
      <c r="AC4" s="3415" t="s">
        <v>525</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8" t="s">
        <v>530</v>
      </c>
      <c r="Q7" s="3427"/>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6" t="s">
        <v>535</v>
      </c>
      <c r="Q9" s="1151" t="str">
        <f t="shared" ref="Q9:Q15" si="6">B9</f>
        <v>用途</v>
      </c>
      <c r="R9" s="1568" t="s">
        <v>8</v>
      </c>
      <c r="S9" s="1569">
        <f t="shared" si="0"/>
        <v>100</v>
      </c>
      <c r="T9" s="1568" t="s">
        <v>8</v>
      </c>
      <c r="U9" s="1569">
        <f t="shared" si="1"/>
        <v>100</v>
      </c>
      <c r="V9" s="1568" t="s">
        <v>8</v>
      </c>
      <c r="W9" s="1569">
        <f t="shared" si="2"/>
        <v>100</v>
      </c>
      <c r="X9" s="1570"/>
      <c r="Y9" s="336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6"/>
      <c r="Q11" s="1151" t="str">
        <f t="shared" si="6"/>
        <v>容积率</v>
      </c>
      <c r="R11" s="1568" t="s">
        <v>8</v>
      </c>
      <c r="S11" s="1569" t="e">
        <f t="shared" si="0"/>
        <v>#N/A</v>
      </c>
      <c r="T11" s="1568" t="s">
        <v>8</v>
      </c>
      <c r="U11" s="1569" t="e">
        <f t="shared" si="1"/>
        <v>#N/A</v>
      </c>
      <c r="V11" s="1568" t="s">
        <v>8</v>
      </c>
      <c r="W11" s="1569" t="e">
        <f t="shared" si="2"/>
        <v>#N/A</v>
      </c>
      <c r="X11" s="1570"/>
      <c r="Y11" s="336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26"/>
      <c r="Q14" s="1151">
        <f t="shared" si="6"/>
        <v>111</v>
      </c>
      <c r="R14" s="1568" t="s">
        <v>8</v>
      </c>
      <c r="S14" s="1569">
        <f t="shared" si="0"/>
        <v>100</v>
      </c>
      <c r="T14" s="1568" t="s">
        <v>8</v>
      </c>
      <c r="U14" s="1569">
        <f t="shared" si="1"/>
        <v>100</v>
      </c>
      <c r="V14" s="1568" t="s">
        <v>8</v>
      </c>
      <c r="W14" s="1569">
        <f t="shared" si="2"/>
        <v>100</v>
      </c>
      <c r="X14" s="1570"/>
      <c r="Y14" s="3365"/>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8" t="s">
        <v>540</v>
      </c>
      <c r="Q15" s="1572" t="str">
        <f t="shared" si="6"/>
        <v>产业集聚程度</v>
      </c>
      <c r="R15" s="1573" t="s">
        <v>8</v>
      </c>
      <c r="S15" s="1574">
        <f t="shared" si="0"/>
        <v>100</v>
      </c>
      <c r="T15" s="1573" t="s">
        <v>8</v>
      </c>
      <c r="U15" s="1574">
        <f t="shared" si="1"/>
        <v>100</v>
      </c>
      <c r="V15" s="1573" t="s">
        <v>8</v>
      </c>
      <c r="W15" s="1574">
        <f t="shared" si="2"/>
        <v>100</v>
      </c>
      <c r="X15" s="1567"/>
      <c r="Y15" s="3428"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9"/>
      <c r="Q16" s="1572"/>
      <c r="R16" s="1573"/>
      <c r="S16" s="1574"/>
      <c r="T16" s="1573"/>
      <c r="U16" s="1574"/>
      <c r="V16" s="1573"/>
      <c r="W16" s="1574"/>
      <c r="X16" s="1567"/>
      <c r="Y16" s="342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9"/>
      <c r="Q17" s="1572" t="str">
        <f>B17</f>
        <v>交通便捷度</v>
      </c>
      <c r="R17" s="1573" t="s">
        <v>8</v>
      </c>
      <c r="S17" s="1574">
        <f>F17</f>
        <v>100</v>
      </c>
      <c r="T17" s="1573" t="s">
        <v>8</v>
      </c>
      <c r="U17" s="1574">
        <f>H17</f>
        <v>100</v>
      </c>
      <c r="V17" s="1573" t="s">
        <v>8</v>
      </c>
      <c r="W17" s="1574">
        <f>J17</f>
        <v>100</v>
      </c>
      <c r="X17" s="1567"/>
      <c r="Y17" s="34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9"/>
      <c r="Q18" s="1572"/>
      <c r="R18" s="1573"/>
      <c r="S18" s="1574"/>
      <c r="T18" s="1573"/>
      <c r="U18" s="1574"/>
      <c r="V18" s="1573"/>
      <c r="W18" s="1574"/>
      <c r="X18" s="1567"/>
      <c r="Y18" s="3429"/>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9"/>
      <c r="Q19" s="1572" t="str">
        <f>B19</f>
        <v>公共配套设施</v>
      </c>
      <c r="R19" s="1573" t="s">
        <v>8</v>
      </c>
      <c r="S19" s="1574">
        <f>F19</f>
        <v>100</v>
      </c>
      <c r="T19" s="1573" t="s">
        <v>8</v>
      </c>
      <c r="U19" s="1574">
        <f>H19</f>
        <v>100</v>
      </c>
      <c r="V19" s="1573" t="s">
        <v>8</v>
      </c>
      <c r="W19" s="1574">
        <f>J19</f>
        <v>100</v>
      </c>
      <c r="X19" s="1567"/>
      <c r="Y19" s="342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9"/>
      <c r="Q20" s="1572"/>
      <c r="R20" s="1573"/>
      <c r="S20" s="1574"/>
      <c r="T20" s="1573"/>
      <c r="U20" s="1574"/>
      <c r="V20" s="1573"/>
      <c r="W20" s="1574"/>
      <c r="X20" s="1567"/>
      <c r="Y20" s="3429"/>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9"/>
      <c r="Q21" s="2580" t="str">
        <f>B21</f>
        <v>基础设施水平</v>
      </c>
      <c r="R21" s="1573" t="s">
        <v>8</v>
      </c>
      <c r="S21" s="1574">
        <f>F21</f>
        <v>100</v>
      </c>
      <c r="T21" s="1573" t="s">
        <v>8</v>
      </c>
      <c r="U21" s="1574">
        <f>H21</f>
        <v>100</v>
      </c>
      <c r="V21" s="1573" t="s">
        <v>8</v>
      </c>
      <c r="W21" s="1574">
        <f>J21</f>
        <v>100</v>
      </c>
      <c r="X21" s="2582"/>
      <c r="Y21" s="3429"/>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9"/>
      <c r="Q22" s="2580"/>
      <c r="R22" s="1573"/>
      <c r="S22" s="1574"/>
      <c r="T22" s="1573"/>
      <c r="U22" s="1574"/>
      <c r="V22" s="1573"/>
      <c r="W22" s="1574"/>
      <c r="X22" s="2582"/>
      <c r="Y22" s="3429"/>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9"/>
      <c r="Q23" s="1572" t="str">
        <f>B23</f>
        <v>环境质量</v>
      </c>
      <c r="R23" s="1573" t="s">
        <v>8</v>
      </c>
      <c r="S23" s="1574">
        <f>F23</f>
        <v>100</v>
      </c>
      <c r="T23" s="1573" t="s">
        <v>8</v>
      </c>
      <c r="U23" s="1574">
        <f>H23</f>
        <v>100</v>
      </c>
      <c r="V23" s="1573" t="s">
        <v>8</v>
      </c>
      <c r="W23" s="1574">
        <f>J23</f>
        <v>100</v>
      </c>
      <c r="X23" s="1567"/>
      <c r="Y23" s="342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9"/>
      <c r="Q24" s="1572"/>
      <c r="R24" s="1573"/>
      <c r="S24" s="1574"/>
      <c r="T24" s="1573"/>
      <c r="U24" s="1574"/>
      <c r="V24" s="1573"/>
      <c r="W24" s="1574"/>
      <c r="X24" s="1567"/>
      <c r="Y24" s="342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9"/>
      <c r="Q25" s="1572">
        <f>B25</f>
        <v>111</v>
      </c>
      <c r="R25" s="1573" t="s">
        <v>8</v>
      </c>
      <c r="S25" s="1574">
        <f>F25</f>
        <v>100</v>
      </c>
      <c r="T25" s="1573" t="s">
        <v>8</v>
      </c>
      <c r="U25" s="1574">
        <f>H25</f>
        <v>100</v>
      </c>
      <c r="V25" s="1573" t="s">
        <v>8</v>
      </c>
      <c r="W25" s="1574">
        <f>J25</f>
        <v>100</v>
      </c>
      <c r="X25" s="1567"/>
      <c r="Y25" s="342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9"/>
      <c r="Q26" s="1572">
        <f t="shared" ref="Q26:Q40" si="11">B26</f>
        <v>111</v>
      </c>
      <c r="R26" s="1573" t="s">
        <v>8</v>
      </c>
      <c r="S26" s="1574">
        <f>F26</f>
        <v>100</v>
      </c>
      <c r="T26" s="1573" t="s">
        <v>8</v>
      </c>
      <c r="U26" s="1574">
        <f>H26</f>
        <v>100</v>
      </c>
      <c r="V26" s="1573" t="s">
        <v>8</v>
      </c>
      <c r="W26" s="1574">
        <f>J26</f>
        <v>100</v>
      </c>
      <c r="X26" s="1567"/>
      <c r="Y26" s="342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9"/>
      <c r="Q27" s="1151">
        <f t="shared" si="11"/>
        <v>111</v>
      </c>
      <c r="R27" s="1568" t="s">
        <v>8</v>
      </c>
      <c r="S27" s="1569">
        <f>F27</f>
        <v>100</v>
      </c>
      <c r="T27" s="1568" t="s">
        <v>8</v>
      </c>
      <c r="U27" s="1569">
        <f>H27</f>
        <v>100</v>
      </c>
      <c r="V27" s="1568" t="s">
        <v>8</v>
      </c>
      <c r="W27" s="1569">
        <f>J27</f>
        <v>100</v>
      </c>
      <c r="X27" s="1570"/>
      <c r="Y27" s="342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9"/>
      <c r="Q28" s="1572">
        <f t="shared" si="11"/>
        <v>111</v>
      </c>
      <c r="R28" s="1573" t="s">
        <v>8</v>
      </c>
      <c r="S28" s="1574">
        <f t="shared" ref="S28:S40" si="12">F28</f>
        <v>100</v>
      </c>
      <c r="T28" s="1573" t="s">
        <v>8</v>
      </c>
      <c r="U28" s="1574">
        <f t="shared" ref="U28:U40" si="13">H28</f>
        <v>100</v>
      </c>
      <c r="V28" s="1573" t="s">
        <v>8</v>
      </c>
      <c r="W28" s="1574">
        <f t="shared" ref="W28:W40" si="14">J28</f>
        <v>100</v>
      </c>
      <c r="X28" s="1567"/>
      <c r="Y28" s="3429"/>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0" t="s">
        <v>550</v>
      </c>
      <c r="Q29" s="1572" t="str">
        <f t="shared" si="11"/>
        <v>建筑类型</v>
      </c>
      <c r="R29" s="1573" t="s">
        <v>8</v>
      </c>
      <c r="S29" s="1574">
        <f t="shared" si="12"/>
        <v>100</v>
      </c>
      <c r="T29" s="1573" t="s">
        <v>8</v>
      </c>
      <c r="U29" s="1574">
        <f t="shared" si="13"/>
        <v>100</v>
      </c>
      <c r="V29" s="1573" t="s">
        <v>8</v>
      </c>
      <c r="W29" s="1574">
        <f t="shared" si="14"/>
        <v>100</v>
      </c>
      <c r="X29" s="1567"/>
      <c r="Y29" s="3431"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1"/>
      <c r="Q30" s="1605" t="str">
        <f t="shared" si="11"/>
        <v>项目建筑规模</v>
      </c>
      <c r="R30" s="1577" t="s">
        <v>8</v>
      </c>
      <c r="S30" s="1578" t="e">
        <f t="shared" si="12"/>
        <v>#N/A</v>
      </c>
      <c r="T30" s="1577" t="s">
        <v>8</v>
      </c>
      <c r="U30" s="1578" t="e">
        <f t="shared" si="13"/>
        <v>#N/A</v>
      </c>
      <c r="V30" s="1577" t="s">
        <v>8</v>
      </c>
      <c r="W30" s="1578" t="e">
        <f t="shared" si="14"/>
        <v>#N/A</v>
      </c>
      <c r="X30" s="1579"/>
      <c r="Y30" s="3431"/>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1"/>
      <c r="Q31" s="1572" t="str">
        <f t="shared" si="11"/>
        <v>建筑结构</v>
      </c>
      <c r="R31" s="1573" t="s">
        <v>8</v>
      </c>
      <c r="S31" s="1574">
        <f t="shared" si="12"/>
        <v>100</v>
      </c>
      <c r="T31" s="1573" t="s">
        <v>8</v>
      </c>
      <c r="U31" s="1574">
        <f t="shared" si="13"/>
        <v>100</v>
      </c>
      <c r="V31" s="1573" t="s">
        <v>8</v>
      </c>
      <c r="W31" s="1574">
        <f t="shared" si="14"/>
        <v>100</v>
      </c>
      <c r="X31" s="1567"/>
      <c r="Y31" s="3431"/>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1"/>
      <c r="Q32" s="1572" t="str">
        <f t="shared" si="11"/>
        <v>公共部分装修</v>
      </c>
      <c r="R32" s="1573" t="s">
        <v>8</v>
      </c>
      <c r="S32" s="1574">
        <f t="shared" si="12"/>
        <v>100</v>
      </c>
      <c r="T32" s="1573" t="s">
        <v>8</v>
      </c>
      <c r="U32" s="1574">
        <f t="shared" si="13"/>
        <v>100</v>
      </c>
      <c r="V32" s="1573" t="s">
        <v>8</v>
      </c>
      <c r="W32" s="1574">
        <f t="shared" si="14"/>
        <v>100</v>
      </c>
      <c r="X32" s="1567"/>
      <c r="Y32" s="3431"/>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1"/>
      <c r="Q33" s="1572" t="str">
        <f t="shared" si="11"/>
        <v>成新度</v>
      </c>
      <c r="R33" s="1573" t="s">
        <v>8</v>
      </c>
      <c r="S33" s="1574" t="e">
        <f t="shared" si="12"/>
        <v>#N/A</v>
      </c>
      <c r="T33" s="1573" t="s">
        <v>8</v>
      </c>
      <c r="U33" s="1574" t="e">
        <f t="shared" si="13"/>
        <v>#N/A</v>
      </c>
      <c r="V33" s="1573" t="s">
        <v>8</v>
      </c>
      <c r="W33" s="1574" t="e">
        <f t="shared" si="14"/>
        <v>#N/A</v>
      </c>
      <c r="X33" s="1567"/>
      <c r="Y33" s="3431"/>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1"/>
      <c r="Q34" s="1151" t="str">
        <f t="shared" si="11"/>
        <v>物业管理</v>
      </c>
      <c r="R34" s="1568" t="s">
        <v>8</v>
      </c>
      <c r="S34" s="1569">
        <f t="shared" si="12"/>
        <v>100</v>
      </c>
      <c r="T34" s="1568" t="s">
        <v>8</v>
      </c>
      <c r="U34" s="1569">
        <f t="shared" si="13"/>
        <v>100</v>
      </c>
      <c r="V34" s="1568" t="s">
        <v>8</v>
      </c>
      <c r="W34" s="1569">
        <f t="shared" si="14"/>
        <v>100</v>
      </c>
      <c r="X34" s="1570"/>
      <c r="Y34" s="3431"/>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1" t="s">
        <v>550</v>
      </c>
      <c r="Q35" s="1572" t="str">
        <f t="shared" si="11"/>
        <v>市政基础设施</v>
      </c>
      <c r="R35" s="1573" t="s">
        <v>8</v>
      </c>
      <c r="S35" s="1574">
        <f t="shared" si="12"/>
        <v>100</v>
      </c>
      <c r="T35" s="1573" t="s">
        <v>8</v>
      </c>
      <c r="U35" s="1574">
        <f t="shared" si="13"/>
        <v>100</v>
      </c>
      <c r="V35" s="1573" t="s">
        <v>8</v>
      </c>
      <c r="W35" s="1574">
        <f t="shared" si="14"/>
        <v>100</v>
      </c>
      <c r="X35" s="1567"/>
      <c r="Y35" s="3431"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1"/>
      <c r="Q36" s="1572" t="str">
        <f t="shared" si="11"/>
        <v>内部装修</v>
      </c>
      <c r="R36" s="1573" t="s">
        <v>8</v>
      </c>
      <c r="S36" s="1574">
        <f t="shared" si="12"/>
        <v>100</v>
      </c>
      <c r="T36" s="1573" t="s">
        <v>8</v>
      </c>
      <c r="U36" s="1574">
        <f t="shared" si="13"/>
        <v>100</v>
      </c>
      <c r="V36" s="1573" t="s">
        <v>8</v>
      </c>
      <c r="W36" s="1574">
        <f t="shared" si="14"/>
        <v>100</v>
      </c>
      <c r="X36" s="1567"/>
      <c r="Y36" s="3431"/>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1"/>
      <c r="Q37" s="1572" t="str">
        <f t="shared" si="11"/>
        <v>内部装修状况</v>
      </c>
      <c r="R37" s="1573" t="s">
        <v>8</v>
      </c>
      <c r="S37" s="1574">
        <f t="shared" si="12"/>
        <v>100</v>
      </c>
      <c r="T37" s="1573" t="s">
        <v>8</v>
      </c>
      <c r="U37" s="1574">
        <f t="shared" si="13"/>
        <v>100</v>
      </c>
      <c r="V37" s="1573" t="s">
        <v>8</v>
      </c>
      <c r="W37" s="1574">
        <f t="shared" si="14"/>
        <v>100</v>
      </c>
      <c r="X37" s="1567"/>
      <c r="Y37" s="3431"/>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1"/>
      <c r="Q38" s="1605">
        <f t="shared" si="11"/>
        <v>111</v>
      </c>
      <c r="R38" s="1577" t="s">
        <v>8</v>
      </c>
      <c r="S38" s="1578">
        <f t="shared" si="12"/>
        <v>100</v>
      </c>
      <c r="T38" s="1577" t="s">
        <v>8</v>
      </c>
      <c r="U38" s="1578">
        <f t="shared" si="13"/>
        <v>100</v>
      </c>
      <c r="V38" s="1577" t="s">
        <v>8</v>
      </c>
      <c r="W38" s="1578">
        <f t="shared" si="14"/>
        <v>100</v>
      </c>
      <c r="X38" s="1579"/>
      <c r="Y38" s="3431"/>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1"/>
      <c r="Q39" s="1572">
        <f t="shared" si="11"/>
        <v>111</v>
      </c>
      <c r="R39" s="1573" t="s">
        <v>8</v>
      </c>
      <c r="S39" s="1574">
        <f t="shared" si="12"/>
        <v>100</v>
      </c>
      <c r="T39" s="1573" t="s">
        <v>8</v>
      </c>
      <c r="U39" s="1574">
        <f t="shared" si="13"/>
        <v>100</v>
      </c>
      <c r="V39" s="1573" t="s">
        <v>8</v>
      </c>
      <c r="W39" s="1574">
        <f t="shared" si="14"/>
        <v>100</v>
      </c>
      <c r="X39" s="1567"/>
      <c r="Y39" s="3431"/>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3"/>
      <c r="Q40" s="1572">
        <f t="shared" si="11"/>
        <v>111</v>
      </c>
      <c r="R40" s="1573" t="s">
        <v>8</v>
      </c>
      <c r="S40" s="1574">
        <f t="shared" si="12"/>
        <v>100</v>
      </c>
      <c r="T40" s="1573" t="s">
        <v>8</v>
      </c>
      <c r="U40" s="1574">
        <f t="shared" si="13"/>
        <v>100</v>
      </c>
      <c r="V40" s="1573" t="s">
        <v>8</v>
      </c>
      <c r="W40" s="1574">
        <f t="shared" si="14"/>
        <v>100</v>
      </c>
      <c r="X40" s="1567"/>
      <c r="Y40" s="3513"/>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26" t="str">
        <f>A41</f>
        <v>成交单价（元/平方米）</v>
      </c>
      <c r="Q41" s="3426"/>
      <c r="R41" s="3512">
        <f>E41</f>
        <v>0</v>
      </c>
      <c r="S41" s="3512"/>
      <c r="T41" s="3512">
        <f>G41</f>
        <v>0</v>
      </c>
      <c r="U41" s="3512"/>
      <c r="V41" s="3512">
        <f>I41</f>
        <v>0</v>
      </c>
      <c r="W41" s="3512"/>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26" t="str">
        <f>A42</f>
        <v>比较价格（元/平方米）</v>
      </c>
      <c r="Q42" s="3426"/>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47" t="str">
        <f>A43</f>
        <v>估价对象XX用房的比较价格（楼面单价，元/平方米）</v>
      </c>
      <c r="Q43" s="3448"/>
      <c r="R43" s="3511" t="e">
        <f>IF(F1="售价",ROUND(AVERAGE(R42:V42),0),ROUND(AVERAGE(R42:V42),1))</f>
        <v>#DIV/0!</v>
      </c>
      <c r="S43" s="3511"/>
      <c r="T43" s="3511"/>
      <c r="U43" s="3511"/>
      <c r="V43" s="3511"/>
      <c r="W43" s="351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3024</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2" t="s">
        <v>798</v>
      </c>
      <c r="D4" s="3433"/>
      <c r="E4" s="3432" t="s">
        <v>799</v>
      </c>
      <c r="F4" s="3433"/>
      <c r="G4" s="3432" t="s">
        <v>800</v>
      </c>
      <c r="H4" s="3433"/>
      <c r="I4" s="3432" t="s">
        <v>801</v>
      </c>
      <c r="J4" s="3433"/>
      <c r="K4" s="514" t="s">
        <v>802</v>
      </c>
      <c r="L4" s="2134"/>
      <c r="M4" s="2135"/>
      <c r="N4" s="2135"/>
      <c r="O4" s="2135"/>
      <c r="P4" s="3434" t="s">
        <v>803</v>
      </c>
      <c r="Q4" s="3435"/>
      <c r="R4" s="3420" t="s">
        <v>799</v>
      </c>
      <c r="S4" s="3421"/>
      <c r="T4" s="3420" t="s">
        <v>800</v>
      </c>
      <c r="U4" s="3421"/>
      <c r="V4" s="3440" t="s">
        <v>801</v>
      </c>
      <c r="W4" s="3440"/>
      <c r="X4" s="1567"/>
      <c r="Y4" s="3420" t="s">
        <v>803</v>
      </c>
      <c r="Z4" s="3421"/>
      <c r="AA4" s="3415" t="s">
        <v>799</v>
      </c>
      <c r="AB4" s="3416" t="s">
        <v>800</v>
      </c>
      <c r="AC4" s="3415" t="s">
        <v>801</v>
      </c>
    </row>
    <row r="5" spans="1:29" ht="15">
      <c r="A5" s="515"/>
      <c r="B5" s="516"/>
      <c r="C5" s="3508" t="s">
        <v>3070</v>
      </c>
      <c r="D5" s="3444"/>
      <c r="E5" s="3508" t="s">
        <v>3087</v>
      </c>
      <c r="F5" s="3444"/>
      <c r="G5" s="3508" t="s">
        <v>3097</v>
      </c>
      <c r="H5" s="3444"/>
      <c r="I5" s="3508" t="s">
        <v>3095</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509" t="s">
        <v>3071</v>
      </c>
      <c r="D6" s="3442"/>
      <c r="E6" s="3518" t="s">
        <v>3088</v>
      </c>
      <c r="F6" s="3446"/>
      <c r="G6" s="3509" t="s">
        <v>3098</v>
      </c>
      <c r="H6" s="3442"/>
      <c r="I6" s="3509" t="s">
        <v>3096</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18" t="s">
        <v>530</v>
      </c>
      <c r="Q7" s="3427"/>
      <c r="R7" s="1568" t="s">
        <v>8</v>
      </c>
      <c r="S7" s="1569">
        <f t="shared" ref="S7:S14" si="0">F7</f>
        <v>100</v>
      </c>
      <c r="T7" s="1568" t="s">
        <v>8</v>
      </c>
      <c r="U7" s="1569">
        <f t="shared" ref="U7:U14" si="1">H7</f>
        <v>100</v>
      </c>
      <c r="V7" s="1568" t="s">
        <v>8</v>
      </c>
      <c r="W7" s="1569">
        <f t="shared" ref="W7:W14" si="2">J7</f>
        <v>100</v>
      </c>
      <c r="X7" s="1570"/>
      <c r="Y7" s="3418" t="s">
        <v>530</v>
      </c>
      <c r="Z7" s="3419"/>
      <c r="AA7" s="1571">
        <f>D7/F7</f>
        <v>1</v>
      </c>
      <c r="AB7" s="1571">
        <f>D7/H7</f>
        <v>1</v>
      </c>
      <c r="AC7" s="1571">
        <f>D7/J7</f>
        <v>1</v>
      </c>
    </row>
    <row r="8" spans="1:29" s="1220" customFormat="1" ht="15.75" thickBot="1">
      <c r="A8" s="2914"/>
      <c r="B8" s="2921" t="s">
        <v>531</v>
      </c>
      <c r="C8" s="525" t="s">
        <v>576</v>
      </c>
      <c r="D8" s="520">
        <v>100</v>
      </c>
      <c r="E8" s="525" t="s">
        <v>3089</v>
      </c>
      <c r="F8" s="522">
        <f>SUMIF(51:51,E8,52:52)-SUMIF(51:51,C8,52:52)+100</f>
        <v>100</v>
      </c>
      <c r="G8" s="525" t="s">
        <v>3089</v>
      </c>
      <c r="H8" s="520">
        <f>SUMIF(51:51,G8,52:52)-SUMIF(51:51,C8,52:52)+100</f>
        <v>100</v>
      </c>
      <c r="I8" s="525" t="s">
        <v>3089</v>
      </c>
      <c r="J8" s="520">
        <f>SUMIF(51:51,I8,52:52)-SUMIF(51:51,C8,52:52)+100</f>
        <v>100</v>
      </c>
      <c r="K8" s="524"/>
      <c r="L8" s="2136"/>
      <c r="M8" s="2137"/>
      <c r="N8" s="2137"/>
      <c r="O8" s="2137"/>
      <c r="P8" s="3418" t="s">
        <v>533</v>
      </c>
      <c r="Q8" s="3419"/>
      <c r="R8" s="1568" t="s">
        <v>8</v>
      </c>
      <c r="S8" s="1569">
        <f t="shared" si="0"/>
        <v>100</v>
      </c>
      <c r="T8" s="1568" t="s">
        <v>8</v>
      </c>
      <c r="U8" s="1569">
        <f t="shared" si="1"/>
        <v>100</v>
      </c>
      <c r="V8" s="1568" t="s">
        <v>8</v>
      </c>
      <c r="W8" s="1569">
        <f t="shared" si="2"/>
        <v>100</v>
      </c>
      <c r="X8" s="1570"/>
      <c r="Y8" s="3418" t="s">
        <v>533</v>
      </c>
      <c r="Z8" s="3419"/>
      <c r="AA8" s="1571">
        <f t="shared" ref="AA8:AA36" si="3">D8/F8</f>
        <v>1</v>
      </c>
      <c r="AB8" s="1571">
        <f t="shared" ref="AB8:AB36" si="4">D8/H8</f>
        <v>1</v>
      </c>
      <c r="AC8" s="1571">
        <f t="shared" ref="AC8:AC36" si="5">D8/J8</f>
        <v>1</v>
      </c>
    </row>
    <row r="9" spans="1:29" s="1220" customFormat="1" ht="15">
      <c r="A9" s="2915"/>
      <c r="B9" s="2922" t="s">
        <v>2759</v>
      </c>
      <c r="C9" s="3214" t="s">
        <v>3072</v>
      </c>
      <c r="D9" s="254">
        <v>100</v>
      </c>
      <c r="E9" s="860" t="s">
        <v>3090</v>
      </c>
      <c r="F9" s="254">
        <f>SUMIF(53:53,E9,54:54)-SUMIF(53:53,C9,54:54)+100</f>
        <v>102</v>
      </c>
      <c r="G9" s="858" t="s">
        <v>3090</v>
      </c>
      <c r="H9" s="254">
        <f>SUMIF(53:53,G9,54:54)-SUMIF(53:53,C9,54:54)+100</f>
        <v>102</v>
      </c>
      <c r="I9" s="858" t="s">
        <v>3090</v>
      </c>
      <c r="J9" s="254">
        <f>SUMIF(53:53,I9,54:54)-SUMIF(53:53,C9,54:54)+100</f>
        <v>102</v>
      </c>
      <c r="K9" s="524"/>
      <c r="L9" s="2136"/>
      <c r="M9" s="2137"/>
      <c r="N9" s="2137"/>
      <c r="O9" s="2138"/>
      <c r="P9" s="3426" t="s">
        <v>535</v>
      </c>
      <c r="Q9" s="1151" t="str">
        <f t="shared" ref="Q9:Q14" si="6">B9</f>
        <v>用途</v>
      </c>
      <c r="R9" s="1568" t="s">
        <v>8</v>
      </c>
      <c r="S9" s="1569">
        <f t="shared" si="0"/>
        <v>102</v>
      </c>
      <c r="T9" s="1568" t="s">
        <v>8</v>
      </c>
      <c r="U9" s="1569">
        <f t="shared" si="1"/>
        <v>102</v>
      </c>
      <c r="V9" s="1568" t="s">
        <v>8</v>
      </c>
      <c r="W9" s="1569">
        <f t="shared" si="2"/>
        <v>102</v>
      </c>
      <c r="X9" s="1570"/>
      <c r="Y9" s="3365"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3073</v>
      </c>
      <c r="D10" s="255">
        <v>100</v>
      </c>
      <c r="E10" s="861" t="s">
        <v>3092</v>
      </c>
      <c r="F10" s="255">
        <f>SUMIF(55:55,E10,56:56)-SUMIF(55:55,C10,56:56)+100</f>
        <v>99</v>
      </c>
      <c r="G10" s="862" t="s">
        <v>3073</v>
      </c>
      <c r="H10" s="255">
        <f>SUMIF(55:55,G10,56:56)-SUMIF(55:55,C10,56:56)+100</f>
        <v>100</v>
      </c>
      <c r="I10" s="861" t="s">
        <v>3073</v>
      </c>
      <c r="J10" s="255">
        <f>SUMIF(55:55,I10,56:56)-SUMIF(55:55,C10,56:56)+100</f>
        <v>100</v>
      </c>
      <c r="K10" s="584">
        <v>1</v>
      </c>
      <c r="L10" s="2139"/>
      <c r="M10" s="2179"/>
      <c r="N10" s="2179"/>
      <c r="O10" s="2140"/>
      <c r="P10" s="3426"/>
      <c r="Q10" s="1151" t="str">
        <f t="shared" si="6"/>
        <v>土地使用年限（年）</v>
      </c>
      <c r="R10" s="1568" t="s">
        <v>8</v>
      </c>
      <c r="S10" s="1569">
        <f t="shared" si="0"/>
        <v>99</v>
      </c>
      <c r="T10" s="1568" t="s">
        <v>8</v>
      </c>
      <c r="U10" s="1569">
        <f t="shared" si="1"/>
        <v>100</v>
      </c>
      <c r="V10" s="1568" t="s">
        <v>8</v>
      </c>
      <c r="W10" s="1569">
        <f t="shared" si="2"/>
        <v>100</v>
      </c>
      <c r="X10" s="1570"/>
      <c r="Y10" s="3365"/>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6"/>
      <c r="Q11" s="1151">
        <f t="shared" si="6"/>
        <v>111</v>
      </c>
      <c r="R11" s="1568" t="s">
        <v>8</v>
      </c>
      <c r="S11" s="1569">
        <f t="shared" si="0"/>
        <v>100</v>
      </c>
      <c r="T11" s="1568" t="s">
        <v>8</v>
      </c>
      <c r="U11" s="1569">
        <f t="shared" si="1"/>
        <v>100</v>
      </c>
      <c r="V11" s="1568" t="s">
        <v>8</v>
      </c>
      <c r="W11" s="1569">
        <f t="shared" si="2"/>
        <v>100</v>
      </c>
      <c r="X11" s="1570"/>
      <c r="Y11" s="3365"/>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28" t="s">
        <v>540</v>
      </c>
      <c r="Q14" s="1572" t="str">
        <f t="shared" si="6"/>
        <v>交通便捷度</v>
      </c>
      <c r="R14" s="1573" t="s">
        <v>8</v>
      </c>
      <c r="S14" s="1574">
        <f t="shared" si="0"/>
        <v>102</v>
      </c>
      <c r="T14" s="1573" t="s">
        <v>8</v>
      </c>
      <c r="U14" s="1574">
        <f t="shared" si="1"/>
        <v>100</v>
      </c>
      <c r="V14" s="1573" t="s">
        <v>8</v>
      </c>
      <c r="W14" s="1574">
        <f t="shared" si="2"/>
        <v>102</v>
      </c>
      <c r="X14" s="1567"/>
      <c r="Y14" s="3428" t="s">
        <v>540</v>
      </c>
      <c r="Z14" s="1575" t="str">
        <f t="shared" si="7"/>
        <v>交通便捷度</v>
      </c>
      <c r="AA14" s="1576">
        <f t="shared" si="3"/>
        <v>0.98039215686274506</v>
      </c>
      <c r="AB14" s="1576">
        <f t="shared" si="4"/>
        <v>1</v>
      </c>
      <c r="AC14" s="1576">
        <f t="shared" si="5"/>
        <v>0.98039215686274506</v>
      </c>
    </row>
    <row r="15" spans="1:29" ht="15">
      <c r="A15" s="515"/>
      <c r="B15" s="924"/>
      <c r="C15" s="576" t="s">
        <v>3074</v>
      </c>
      <c r="D15" s="555"/>
      <c r="E15" s="576" t="s">
        <v>3093</v>
      </c>
      <c r="F15" s="557"/>
      <c r="G15" s="576" t="s">
        <v>3074</v>
      </c>
      <c r="H15" s="559"/>
      <c r="I15" s="576" t="s">
        <v>3093</v>
      </c>
      <c r="J15" s="555"/>
      <c r="K15" s="899"/>
      <c r="L15" s="2143"/>
      <c r="M15" s="2135"/>
      <c r="N15" s="2135"/>
      <c r="O15" s="2142"/>
      <c r="P15" s="3429"/>
      <c r="Q15" s="1572"/>
      <c r="R15" s="1573"/>
      <c r="S15" s="1574"/>
      <c r="T15" s="1573"/>
      <c r="U15" s="1574"/>
      <c r="V15" s="1573"/>
      <c r="W15" s="1574"/>
      <c r="X15" s="1567"/>
      <c r="Y15" s="3429"/>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29"/>
      <c r="Q16" s="1572" t="str">
        <f>B16</f>
        <v>公共配套设施</v>
      </c>
      <c r="R16" s="1573" t="s">
        <v>8</v>
      </c>
      <c r="S16" s="1574">
        <f>F16</f>
        <v>102</v>
      </c>
      <c r="T16" s="1573" t="s">
        <v>8</v>
      </c>
      <c r="U16" s="1574">
        <f>H16</f>
        <v>100</v>
      </c>
      <c r="V16" s="1573" t="s">
        <v>8</v>
      </c>
      <c r="W16" s="1574">
        <f>J16</f>
        <v>100</v>
      </c>
      <c r="X16" s="1567"/>
      <c r="Y16" s="3429"/>
      <c r="Z16" s="1575" t="str">
        <f>Q16</f>
        <v>公共配套设施</v>
      </c>
      <c r="AA16" s="1576">
        <f t="shared" si="3"/>
        <v>0.98039215686274506</v>
      </c>
      <c r="AB16" s="1576">
        <f t="shared" si="4"/>
        <v>1</v>
      </c>
      <c r="AC16" s="1576">
        <f t="shared" si="5"/>
        <v>1</v>
      </c>
    </row>
    <row r="17" spans="1:29" ht="15">
      <c r="A17" s="515"/>
      <c r="B17" s="566"/>
      <c r="C17" s="873" t="s">
        <v>3074</v>
      </c>
      <c r="D17" s="555"/>
      <c r="E17" s="576" t="s">
        <v>3093</v>
      </c>
      <c r="F17" s="557"/>
      <c r="G17" s="576" t="s">
        <v>3074</v>
      </c>
      <c r="H17" s="555"/>
      <c r="I17" s="576" t="s">
        <v>3074</v>
      </c>
      <c r="J17" s="555"/>
      <c r="K17" s="899"/>
      <c r="L17" s="2143"/>
      <c r="M17" s="2135"/>
      <c r="N17" s="2135"/>
      <c r="O17" s="2142"/>
      <c r="P17" s="3429"/>
      <c r="Q17" s="1572"/>
      <c r="R17" s="1573"/>
      <c r="S17" s="1574"/>
      <c r="T17" s="1573"/>
      <c r="U17" s="1574"/>
      <c r="V17" s="1573"/>
      <c r="W17" s="1574"/>
      <c r="X17" s="1567"/>
      <c r="Y17" s="3429"/>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9"/>
      <c r="Q18" s="2580" t="str">
        <f>B18</f>
        <v>基础设施水平</v>
      </c>
      <c r="R18" s="1573" t="s">
        <v>8</v>
      </c>
      <c r="S18" s="1574">
        <f>F18</f>
        <v>100</v>
      </c>
      <c r="T18" s="1573" t="s">
        <v>8</v>
      </c>
      <c r="U18" s="1574">
        <f>H18</f>
        <v>100</v>
      </c>
      <c r="V18" s="1573" t="s">
        <v>8</v>
      </c>
      <c r="W18" s="1574">
        <f>J18</f>
        <v>100</v>
      </c>
      <c r="X18" s="2582"/>
      <c r="Y18" s="3429"/>
      <c r="Z18" s="2581" t="str">
        <f>Q18</f>
        <v>基础设施水平</v>
      </c>
      <c r="AA18" s="1576">
        <f t="shared" ref="AA18" si="8">D18/F18</f>
        <v>1</v>
      </c>
      <c r="AB18" s="1576">
        <f t="shared" ref="AB18" si="9">D18/H18</f>
        <v>1</v>
      </c>
      <c r="AC18" s="1576">
        <f t="shared" ref="AC18" si="10">D18/J18</f>
        <v>1</v>
      </c>
    </row>
    <row r="19" spans="1:29" ht="15">
      <c r="A19" s="515"/>
      <c r="B19" s="578"/>
      <c r="C19" s="873" t="s">
        <v>3076</v>
      </c>
      <c r="D19" s="559"/>
      <c r="E19" s="576" t="s">
        <v>3076</v>
      </c>
      <c r="F19" s="557"/>
      <c r="G19" s="576" t="s">
        <v>3076</v>
      </c>
      <c r="H19" s="555"/>
      <c r="I19" s="576" t="s">
        <v>3076</v>
      </c>
      <c r="J19" s="555"/>
      <c r="K19" s="2603"/>
      <c r="L19" s="2143"/>
      <c r="M19" s="2135"/>
      <c r="N19" s="2135"/>
      <c r="O19" s="2142"/>
      <c r="P19" s="3429"/>
      <c r="Q19" s="2580"/>
      <c r="R19" s="1573"/>
      <c r="S19" s="1574"/>
      <c r="T19" s="1573"/>
      <c r="U19" s="1574"/>
      <c r="V19" s="1573"/>
      <c r="W19" s="1574"/>
      <c r="X19" s="2582"/>
      <c r="Y19" s="3429"/>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29"/>
      <c r="Q20" s="1572" t="str">
        <f>B20</f>
        <v>自然及人文环境</v>
      </c>
      <c r="R20" s="1573" t="s">
        <v>8</v>
      </c>
      <c r="S20" s="1574">
        <f>F20</f>
        <v>102</v>
      </c>
      <c r="T20" s="1573" t="s">
        <v>8</v>
      </c>
      <c r="U20" s="1574">
        <f>H20</f>
        <v>100</v>
      </c>
      <c r="V20" s="1573" t="s">
        <v>8</v>
      </c>
      <c r="W20" s="1574">
        <f>J20</f>
        <v>104</v>
      </c>
      <c r="X20" s="1567"/>
      <c r="Y20" s="3429"/>
      <c r="Z20" s="1575" t="str">
        <f>Q20</f>
        <v>自然及人文环境</v>
      </c>
      <c r="AA20" s="1576">
        <f t="shared" si="3"/>
        <v>0.98039215686274506</v>
      </c>
      <c r="AB20" s="1576">
        <f t="shared" si="4"/>
        <v>1</v>
      </c>
      <c r="AC20" s="1576">
        <f t="shared" si="5"/>
        <v>0.96153846153846156</v>
      </c>
    </row>
    <row r="21" spans="1:29" ht="15">
      <c r="A21" s="515"/>
      <c r="B21" s="566"/>
      <c r="C21" s="576" t="s">
        <v>3074</v>
      </c>
      <c r="D21" s="555"/>
      <c r="E21" s="576" t="s">
        <v>3093</v>
      </c>
      <c r="F21" s="557"/>
      <c r="G21" s="3605" t="s">
        <v>3074</v>
      </c>
      <c r="H21" s="555"/>
      <c r="I21" s="576" t="s">
        <v>3094</v>
      </c>
      <c r="J21" s="555"/>
      <c r="K21" s="899"/>
      <c r="L21" s="2143"/>
      <c r="M21" s="2135"/>
      <c r="N21" s="2135"/>
      <c r="O21" s="2142"/>
      <c r="P21" s="3429"/>
      <c r="Q21" s="1572"/>
      <c r="R21" s="1573"/>
      <c r="S21" s="1574"/>
      <c r="T21" s="1573"/>
      <c r="U21" s="1574"/>
      <c r="V21" s="1573"/>
      <c r="W21" s="1574"/>
      <c r="X21" s="1567"/>
      <c r="Y21" s="3429"/>
      <c r="Z21" s="1575"/>
      <c r="AA21" s="1576">
        <v>1</v>
      </c>
      <c r="AB21" s="1576">
        <v>1</v>
      </c>
      <c r="AC21" s="1576">
        <v>1</v>
      </c>
    </row>
    <row r="22" spans="1:29" ht="15.75" thickBot="1">
      <c r="A22" s="515"/>
      <c r="B22" s="560" t="s">
        <v>805</v>
      </c>
      <c r="C22" s="583" t="s">
        <v>3080</v>
      </c>
      <c r="D22" s="559">
        <v>100</v>
      </c>
      <c r="E22" s="583" t="s">
        <v>3081</v>
      </c>
      <c r="F22" s="575">
        <f>SUMIF(71:71,E22,72:72)-SUMIF(71:71,C22,72:72)+100</f>
        <v>90</v>
      </c>
      <c r="G22" s="583" t="s">
        <v>3081</v>
      </c>
      <c r="H22" s="540">
        <f>SUMIF(71:71,G22,72:72)-SUMIF(71:71,C22,72:72)+100</f>
        <v>90</v>
      </c>
      <c r="I22" s="583" t="s">
        <v>3081</v>
      </c>
      <c r="J22" s="540">
        <f>SUMIF(71:71,I22,72:72)-SUMIF(71:71,C22,72:72)+100</f>
        <v>90</v>
      </c>
      <c r="K22" s="584">
        <v>10</v>
      </c>
      <c r="L22" s="2143"/>
      <c r="M22" s="2135"/>
      <c r="N22" s="2135"/>
      <c r="O22" s="2142"/>
      <c r="P22" s="3429"/>
      <c r="Q22" s="1572" t="str">
        <f>B22</f>
        <v>楼层</v>
      </c>
      <c r="R22" s="1573" t="s">
        <v>8</v>
      </c>
      <c r="S22" s="1574">
        <f>F22</f>
        <v>90</v>
      </c>
      <c r="T22" s="1573" t="s">
        <v>8</v>
      </c>
      <c r="U22" s="1574">
        <f>H22</f>
        <v>90</v>
      </c>
      <c r="V22" s="1573" t="s">
        <v>8</v>
      </c>
      <c r="W22" s="1574">
        <f>J22</f>
        <v>90</v>
      </c>
      <c r="X22" s="1567"/>
      <c r="Y22" s="3429"/>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9"/>
      <c r="Q23" s="1572">
        <f>B23</f>
        <v>111</v>
      </c>
      <c r="R23" s="1573" t="s">
        <v>8</v>
      </c>
      <c r="S23" s="1574">
        <f>F23</f>
        <v>100</v>
      </c>
      <c r="T23" s="1573" t="s">
        <v>8</v>
      </c>
      <c r="U23" s="1574">
        <f>H23</f>
        <v>100</v>
      </c>
      <c r="V23" s="1573" t="s">
        <v>8</v>
      </c>
      <c r="W23" s="1574">
        <f>J23</f>
        <v>100</v>
      </c>
      <c r="X23" s="1567"/>
      <c r="Y23" s="3429"/>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9"/>
      <c r="Q24" s="1572">
        <f t="shared" ref="Q24:Q36" si="11">B24</f>
        <v>111</v>
      </c>
      <c r="R24" s="1573" t="s">
        <v>8</v>
      </c>
      <c r="S24" s="1574">
        <f>F24</f>
        <v>100</v>
      </c>
      <c r="T24" s="1573" t="s">
        <v>8</v>
      </c>
      <c r="U24" s="1574">
        <f>H24</f>
        <v>100</v>
      </c>
      <c r="V24" s="1573" t="s">
        <v>8</v>
      </c>
      <c r="W24" s="1574">
        <f>J24</f>
        <v>100</v>
      </c>
      <c r="X24" s="1567"/>
      <c r="Y24" s="3429"/>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9"/>
      <c r="Q25" s="1151">
        <f t="shared" si="11"/>
        <v>111</v>
      </c>
      <c r="R25" s="1568" t="s">
        <v>8</v>
      </c>
      <c r="S25" s="1569">
        <f>F25</f>
        <v>100</v>
      </c>
      <c r="T25" s="1568" t="s">
        <v>8</v>
      </c>
      <c r="U25" s="1569">
        <f>H25</f>
        <v>100</v>
      </c>
      <c r="V25" s="1568" t="s">
        <v>8</v>
      </c>
      <c r="W25" s="1569">
        <f>J25</f>
        <v>100</v>
      </c>
      <c r="X25" s="1570"/>
      <c r="Y25" s="3429"/>
      <c r="Z25" s="1150">
        <f>Q25</f>
        <v>111</v>
      </c>
      <c r="AA25" s="1576">
        <f>D25/F25</f>
        <v>1</v>
      </c>
      <c r="AB25" s="1576">
        <f>D25/H25</f>
        <v>1</v>
      </c>
      <c r="AC25" s="1576">
        <f>D25/J25</f>
        <v>1</v>
      </c>
    </row>
    <row r="26" spans="1:29" ht="15">
      <c r="A26" s="2908" t="s">
        <v>2758</v>
      </c>
      <c r="B26" s="170" t="s">
        <v>806</v>
      </c>
      <c r="C26" s="928" t="str">
        <f>B1</f>
        <v>车库</v>
      </c>
      <c r="D26" s="555">
        <v>100</v>
      </c>
      <c r="E26" s="576" t="s">
        <v>3024</v>
      </c>
      <c r="F26" s="557">
        <f>SUMIF(79:79,E26,80:80)-SUMIF(79:79,C26,80:80)+100</f>
        <v>100</v>
      </c>
      <c r="G26" s="576" t="s">
        <v>3024</v>
      </c>
      <c r="H26" s="555">
        <f>SUMIF(79:79,G26,80:80)-SUMIF(79:79,C26,80:80)+100</f>
        <v>100</v>
      </c>
      <c r="I26" s="576" t="s">
        <v>3024</v>
      </c>
      <c r="J26" s="555">
        <f>SUMIF(79:79,I26,80:80)-SUMIF(79:79,C26,80:80)+100</f>
        <v>100</v>
      </c>
      <c r="K26" s="584"/>
      <c r="L26" s="2143"/>
      <c r="M26" s="2135"/>
      <c r="N26" s="2135"/>
      <c r="O26" s="2142"/>
      <c r="P26" s="343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1"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1"/>
      <c r="Q27" s="1605" t="str">
        <f t="shared" si="11"/>
        <v>项目停车位配比</v>
      </c>
      <c r="R27" s="1577" t="s">
        <v>8</v>
      </c>
      <c r="S27" s="1578">
        <f t="shared" si="12"/>
        <v>100</v>
      </c>
      <c r="T27" s="1577" t="s">
        <v>8</v>
      </c>
      <c r="U27" s="1578">
        <f t="shared" si="13"/>
        <v>100</v>
      </c>
      <c r="V27" s="1577" t="s">
        <v>8</v>
      </c>
      <c r="W27" s="1578">
        <f t="shared" si="14"/>
        <v>100</v>
      </c>
      <c r="X27" s="1579"/>
      <c r="Y27" s="3431"/>
      <c r="Z27" s="1580" t="str">
        <f t="shared" si="15"/>
        <v>项目停车位配比</v>
      </c>
      <c r="AA27" s="1576">
        <f t="shared" si="3"/>
        <v>1</v>
      </c>
      <c r="AB27" s="1576">
        <f t="shared" si="4"/>
        <v>1</v>
      </c>
      <c r="AC27" s="1576">
        <f t="shared" si="5"/>
        <v>1</v>
      </c>
    </row>
    <row r="28" spans="1:29" ht="15">
      <c r="A28" s="931"/>
      <c r="B28" s="582" t="s">
        <v>808</v>
      </c>
      <c r="C28" s="574" t="s">
        <v>3082</v>
      </c>
      <c r="D28" s="540">
        <v>100</v>
      </c>
      <c r="E28" s="574" t="s">
        <v>3082</v>
      </c>
      <c r="F28" s="575">
        <f>SUMIF(83:83,E28,84:84)-SUMIF(83:83,C28,84:84)+100</f>
        <v>100</v>
      </c>
      <c r="G28" s="574" t="s">
        <v>3082</v>
      </c>
      <c r="H28" s="540">
        <f>SUMIF(83:83,G28,84:84)-SUMIF(83:83,C28,84:84)+100</f>
        <v>100</v>
      </c>
      <c r="I28" s="574" t="s">
        <v>3082</v>
      </c>
      <c r="J28" s="540">
        <f>SUMIF(83:83,I28,84:84)-SUMIF(83:83,C28,84:84)+100</f>
        <v>100</v>
      </c>
      <c r="K28" s="584"/>
      <c r="L28" s="2143"/>
      <c r="M28" s="2135"/>
      <c r="N28" s="2135"/>
      <c r="O28" s="2142"/>
      <c r="P28" s="3431"/>
      <c r="Q28" s="1572" t="str">
        <f t="shared" si="11"/>
        <v>公共部分装修</v>
      </c>
      <c r="R28" s="1573" t="s">
        <v>8</v>
      </c>
      <c r="S28" s="1574">
        <f t="shared" si="12"/>
        <v>100</v>
      </c>
      <c r="T28" s="1573" t="s">
        <v>8</v>
      </c>
      <c r="U28" s="1574">
        <f t="shared" si="13"/>
        <v>100</v>
      </c>
      <c r="V28" s="1573" t="s">
        <v>8</v>
      </c>
      <c r="W28" s="1574">
        <f t="shared" si="14"/>
        <v>100</v>
      </c>
      <c r="X28" s="1567"/>
      <c r="Y28" s="3431"/>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31"/>
      <c r="Q29" s="1572" t="str">
        <f t="shared" si="11"/>
        <v>成新率</v>
      </c>
      <c r="R29" s="1573" t="s">
        <v>8</v>
      </c>
      <c r="S29" s="1574">
        <f t="shared" si="12"/>
        <v>99</v>
      </c>
      <c r="T29" s="1573" t="s">
        <v>8</v>
      </c>
      <c r="U29" s="1574">
        <f t="shared" si="13"/>
        <v>100</v>
      </c>
      <c r="V29" s="1573" t="s">
        <v>8</v>
      </c>
      <c r="W29" s="1574">
        <f t="shared" si="14"/>
        <v>100</v>
      </c>
      <c r="X29" s="1567"/>
      <c r="Y29" s="3431"/>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1"/>
      <c r="Q30" s="1572" t="str">
        <f t="shared" si="11"/>
        <v>物业等级</v>
      </c>
      <c r="R30" s="1573" t="s">
        <v>8</v>
      </c>
      <c r="S30" s="1574">
        <f t="shared" si="12"/>
        <v>100</v>
      </c>
      <c r="T30" s="1573" t="s">
        <v>8</v>
      </c>
      <c r="U30" s="1574">
        <f t="shared" si="13"/>
        <v>100</v>
      </c>
      <c r="V30" s="1573" t="s">
        <v>8</v>
      </c>
      <c r="W30" s="1574">
        <f t="shared" si="14"/>
        <v>100</v>
      </c>
      <c r="X30" s="1567"/>
      <c r="Y30" s="3431"/>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31"/>
      <c r="Q31" s="1151" t="str">
        <f t="shared" si="11"/>
        <v>停车位面积</v>
      </c>
      <c r="R31" s="1568" t="s">
        <v>8</v>
      </c>
      <c r="S31" s="1569">
        <f t="shared" si="12"/>
        <v>116</v>
      </c>
      <c r="T31" s="1568" t="s">
        <v>8</v>
      </c>
      <c r="U31" s="1569">
        <f t="shared" si="13"/>
        <v>114</v>
      </c>
      <c r="V31" s="1568" t="s">
        <v>8</v>
      </c>
      <c r="W31" s="1569">
        <f t="shared" si="14"/>
        <v>114</v>
      </c>
      <c r="X31" s="1570"/>
      <c r="Y31" s="3431"/>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3084</v>
      </c>
      <c r="D32" s="540">
        <v>100</v>
      </c>
      <c r="E32" s="574" t="s">
        <v>3084</v>
      </c>
      <c r="F32" s="575">
        <f>SUMIF(93:93,E32,94:94)-SUMIF(93:93,C32,94:94)+100</f>
        <v>100</v>
      </c>
      <c r="G32" s="574" t="s">
        <v>3084</v>
      </c>
      <c r="H32" s="540">
        <f>SUMIF(93:93,G32,94:94)-SUMIF(93:93,C32,94:94)+100</f>
        <v>100</v>
      </c>
      <c r="I32" s="574" t="s">
        <v>3084</v>
      </c>
      <c r="J32" s="540">
        <f>SUMIF(93:93,I32,94:94)-SUMIF(93:93,C32,94:94)+100</f>
        <v>100</v>
      </c>
      <c r="K32" s="584"/>
      <c r="L32" s="2143"/>
      <c r="M32" s="2135"/>
      <c r="N32" s="2135"/>
      <c r="O32" s="2142"/>
      <c r="P32" s="3431" t="s">
        <v>550</v>
      </c>
      <c r="Q32" s="1572" t="str">
        <f t="shared" si="11"/>
        <v>车位类型</v>
      </c>
      <c r="R32" s="1573" t="s">
        <v>8</v>
      </c>
      <c r="S32" s="1574">
        <f t="shared" si="12"/>
        <v>100</v>
      </c>
      <c r="T32" s="1573" t="s">
        <v>8</v>
      </c>
      <c r="U32" s="1574">
        <f t="shared" si="13"/>
        <v>100</v>
      </c>
      <c r="V32" s="1573" t="s">
        <v>8</v>
      </c>
      <c r="W32" s="1574">
        <f t="shared" si="14"/>
        <v>100</v>
      </c>
      <c r="X32" s="1567"/>
      <c r="Y32" s="3431"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31"/>
      <c r="Q33" s="1572" t="str">
        <f t="shared" si="11"/>
        <v>是否直接入户</v>
      </c>
      <c r="R33" s="1573" t="s">
        <v>8</v>
      </c>
      <c r="S33" s="1574">
        <f t="shared" si="12"/>
        <v>100</v>
      </c>
      <c r="T33" s="1573" t="s">
        <v>8</v>
      </c>
      <c r="U33" s="1574">
        <f t="shared" si="13"/>
        <v>100</v>
      </c>
      <c r="V33" s="1573" t="s">
        <v>8</v>
      </c>
      <c r="W33" s="1574">
        <f t="shared" si="14"/>
        <v>100</v>
      </c>
      <c r="X33" s="1567"/>
      <c r="Y33" s="3431"/>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1"/>
      <c r="Q34" s="1572">
        <f t="shared" si="11"/>
        <v>111</v>
      </c>
      <c r="R34" s="1573" t="s">
        <v>8</v>
      </c>
      <c r="S34" s="1574">
        <f t="shared" si="12"/>
        <v>100</v>
      </c>
      <c r="T34" s="1573" t="s">
        <v>8</v>
      </c>
      <c r="U34" s="1574">
        <f t="shared" si="13"/>
        <v>100</v>
      </c>
      <c r="V34" s="1573" t="s">
        <v>8</v>
      </c>
      <c r="W34" s="1574">
        <f t="shared" si="14"/>
        <v>100</v>
      </c>
      <c r="X34" s="1567"/>
      <c r="Y34" s="3431"/>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1"/>
      <c r="Q35" s="1605">
        <f t="shared" si="11"/>
        <v>111</v>
      </c>
      <c r="R35" s="1577" t="s">
        <v>8</v>
      </c>
      <c r="S35" s="1578">
        <f t="shared" si="12"/>
        <v>100</v>
      </c>
      <c r="T35" s="1577" t="s">
        <v>8</v>
      </c>
      <c r="U35" s="1578">
        <f t="shared" si="13"/>
        <v>100</v>
      </c>
      <c r="V35" s="1577" t="s">
        <v>8</v>
      </c>
      <c r="W35" s="1578">
        <f t="shared" si="14"/>
        <v>100</v>
      </c>
      <c r="X35" s="1579"/>
      <c r="Y35" s="3431"/>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1"/>
      <c r="Q36" s="1572">
        <f t="shared" si="11"/>
        <v>111</v>
      </c>
      <c r="R36" s="1573" t="s">
        <v>8</v>
      </c>
      <c r="S36" s="1574">
        <f t="shared" si="12"/>
        <v>100</v>
      </c>
      <c r="T36" s="1573" t="s">
        <v>8</v>
      </c>
      <c r="U36" s="1574">
        <f t="shared" si="13"/>
        <v>100</v>
      </c>
      <c r="V36" s="1573" t="s">
        <v>8</v>
      </c>
      <c r="W36" s="1574">
        <f t="shared" si="14"/>
        <v>100</v>
      </c>
      <c r="X36" s="1567"/>
      <c r="Y36" s="3431"/>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26" t="str">
        <f>A37</f>
        <v>成交单价</v>
      </c>
      <c r="Q37" s="3426"/>
      <c r="R37" s="3512">
        <f>E37</f>
        <v>8991</v>
      </c>
      <c r="S37" s="3512"/>
      <c r="T37" s="3512">
        <f>G37</f>
        <v>7597</v>
      </c>
      <c r="U37" s="3512"/>
      <c r="V37" s="3512">
        <f>I37</f>
        <v>8852</v>
      </c>
      <c r="W37" s="3512"/>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26" t="str">
        <f>A38</f>
        <v>比较价格（元/平方米）</v>
      </c>
      <c r="Q38" s="3426"/>
      <c r="R38" s="3512">
        <f>IF(F1="售价",ROUND(PRODUCT(R37,AA7:AA36),0),ROUND(PRODUCT(R37,AA7:AA36),1))</f>
        <v>8117.8</v>
      </c>
      <c r="S38" s="3512"/>
      <c r="T38" s="3512">
        <f>IF(F1="售价",ROUND(PRODUCT(T37,AB7:AB36),0),ROUND(PRODUCT(T37,AB7:AB36),1))</f>
        <v>7259.3</v>
      </c>
      <c r="U38" s="3512"/>
      <c r="V38" s="3512">
        <f>IF(F1="售价",ROUND(PRODUCT(V37,AC7:AC36),0),ROUND(PRODUCT(V37,AC7:AC36),1))</f>
        <v>7973.7</v>
      </c>
      <c r="W38" s="3512"/>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47" t="str">
        <f>A39</f>
        <v>估价对象XX用房的比较价格（楼面单价，元/平方米）</v>
      </c>
      <c r="Q39" s="3448"/>
      <c r="R39" s="3511">
        <f>IF(F1="售价",ROUND(AVERAGE(R38:V38),0),ROUND(AVERAGE(R38:V38),1))</f>
        <v>7783.6</v>
      </c>
      <c r="S39" s="3511"/>
      <c r="T39" s="3511"/>
      <c r="U39" s="3511"/>
      <c r="V39" s="3511"/>
      <c r="W39" s="351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16" t="s">
        <v>3091</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3077</v>
      </c>
      <c r="D71" s="688" t="s">
        <v>3078</v>
      </c>
      <c r="E71" s="688" t="s">
        <v>3079</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15" t="s">
        <v>3083</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15" t="s">
        <v>3085</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16" t="s">
        <v>3086</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32" t="s">
        <v>798</v>
      </c>
      <c r="D4" s="3433"/>
      <c r="E4" s="3456" t="s">
        <v>799</v>
      </c>
      <c r="F4" s="3457"/>
      <c r="G4" s="3432" t="s">
        <v>800</v>
      </c>
      <c r="H4" s="3433"/>
      <c r="I4" s="3432" t="s">
        <v>801</v>
      </c>
      <c r="J4" s="3433"/>
      <c r="K4" s="514" t="s">
        <v>802</v>
      </c>
      <c r="L4" s="2134"/>
      <c r="M4" s="2135"/>
      <c r="N4" s="2135"/>
      <c r="O4" s="2135"/>
      <c r="P4" s="3434" t="s">
        <v>803</v>
      </c>
      <c r="Q4" s="3435"/>
      <c r="R4" s="3420" t="s">
        <v>799</v>
      </c>
      <c r="S4" s="3421"/>
      <c r="T4" s="3420" t="s">
        <v>800</v>
      </c>
      <c r="U4" s="3421"/>
      <c r="V4" s="3440" t="s">
        <v>801</v>
      </c>
      <c r="W4" s="3440"/>
      <c r="X4" s="1567"/>
      <c r="Y4" s="3420" t="s">
        <v>803</v>
      </c>
      <c r="Z4" s="3421"/>
      <c r="AA4" s="3415" t="s">
        <v>799</v>
      </c>
      <c r="AB4" s="3416" t="s">
        <v>800</v>
      </c>
      <c r="AC4" s="3415" t="s">
        <v>801</v>
      </c>
    </row>
    <row r="5" spans="1:29" ht="15">
      <c r="A5" s="515"/>
      <c r="B5" s="516"/>
      <c r="C5" s="3443" t="s">
        <v>2933</v>
      </c>
      <c r="D5" s="3444"/>
      <c r="E5" s="3458" t="s">
        <v>2934</v>
      </c>
      <c r="F5" s="3459"/>
      <c r="G5" s="3443" t="s">
        <v>2935</v>
      </c>
      <c r="H5" s="3444"/>
      <c r="I5" s="3443" t="s">
        <v>2936</v>
      </c>
      <c r="J5" s="3444"/>
      <c r="K5" s="514"/>
      <c r="L5" s="2134"/>
      <c r="M5" s="2135"/>
      <c r="N5" s="2135"/>
      <c r="O5" s="2135"/>
      <c r="P5" s="3436"/>
      <c r="Q5" s="3437"/>
      <c r="R5" s="3422"/>
      <c r="S5" s="3423"/>
      <c r="T5" s="3422"/>
      <c r="U5" s="3423"/>
      <c r="V5" s="3440"/>
      <c r="W5" s="3440"/>
      <c r="X5" s="1567"/>
      <c r="Y5" s="3422"/>
      <c r="Z5" s="3423"/>
      <c r="AA5" s="3416"/>
      <c r="AB5" s="3416"/>
      <c r="AC5" s="3416"/>
    </row>
    <row r="6" spans="1:29" ht="15.75" thickBot="1">
      <c r="A6" s="517"/>
      <c r="B6" s="518"/>
      <c r="C6" s="3441" t="s">
        <v>2937</v>
      </c>
      <c r="D6" s="3442"/>
      <c r="E6" s="3460" t="s">
        <v>2937</v>
      </c>
      <c r="F6" s="3461"/>
      <c r="G6" s="3441" t="s">
        <v>2937</v>
      </c>
      <c r="H6" s="3442"/>
      <c r="I6" s="3441" t="s">
        <v>2937</v>
      </c>
      <c r="J6" s="3442"/>
      <c r="K6" s="514" t="s">
        <v>528</v>
      </c>
      <c r="L6" s="2134"/>
      <c r="M6" s="2135"/>
      <c r="N6" s="2135"/>
      <c r="O6" s="2135"/>
      <c r="P6" s="3438"/>
      <c r="Q6" s="3439"/>
      <c r="R6" s="3422"/>
      <c r="S6" s="3423"/>
      <c r="T6" s="3424"/>
      <c r="U6" s="3425"/>
      <c r="V6" s="3440"/>
      <c r="W6" s="3440"/>
      <c r="X6" s="1567"/>
      <c r="Y6" s="3424"/>
      <c r="Z6" s="3425"/>
      <c r="AA6" s="3417"/>
      <c r="AB6" s="3417"/>
      <c r="AC6" s="3417"/>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8" t="s">
        <v>530</v>
      </c>
      <c r="Q7" s="3427"/>
      <c r="R7" s="1568" t="s">
        <v>8</v>
      </c>
      <c r="S7" s="1569">
        <f t="shared" ref="S7:S14" si="0">F7</f>
        <v>0</v>
      </c>
      <c r="T7" s="1568" t="s">
        <v>8</v>
      </c>
      <c r="U7" s="1569">
        <f t="shared" ref="U7:U14" si="1">H7</f>
        <v>0</v>
      </c>
      <c r="V7" s="1568" t="s">
        <v>8</v>
      </c>
      <c r="W7" s="1569">
        <f t="shared" ref="W7:W14" si="2">J7</f>
        <v>0</v>
      </c>
      <c r="X7" s="1570"/>
      <c r="Y7" s="3418" t="s">
        <v>530</v>
      </c>
      <c r="Z7" s="3419"/>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8" t="s">
        <v>533</v>
      </c>
      <c r="Q8" s="3419"/>
      <c r="R8" s="1568" t="s">
        <v>8</v>
      </c>
      <c r="S8" s="1569">
        <f t="shared" si="0"/>
        <v>0</v>
      </c>
      <c r="T8" s="1568" t="s">
        <v>8</v>
      </c>
      <c r="U8" s="1569">
        <f t="shared" si="1"/>
        <v>0</v>
      </c>
      <c r="V8" s="1568" t="s">
        <v>8</v>
      </c>
      <c r="W8" s="1569">
        <f t="shared" si="2"/>
        <v>0</v>
      </c>
      <c r="X8" s="1570"/>
      <c r="Y8" s="3418" t="s">
        <v>533</v>
      </c>
      <c r="Z8" s="3419"/>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6" t="s">
        <v>535</v>
      </c>
      <c r="Q9" s="1151" t="str">
        <f t="shared" ref="Q9:Q14" si="6">B9</f>
        <v>用途</v>
      </c>
      <c r="R9" s="1568" t="s">
        <v>8</v>
      </c>
      <c r="S9" s="1569">
        <f t="shared" si="0"/>
        <v>100</v>
      </c>
      <c r="T9" s="1568" t="s">
        <v>8</v>
      </c>
      <c r="U9" s="1569">
        <f t="shared" si="1"/>
        <v>100</v>
      </c>
      <c r="V9" s="1568" t="s">
        <v>8</v>
      </c>
      <c r="W9" s="1569">
        <f t="shared" si="2"/>
        <v>100</v>
      </c>
      <c r="X9" s="1570"/>
      <c r="Y9" s="3365"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6"/>
      <c r="Q10" s="1151" t="str">
        <f t="shared" si="6"/>
        <v>土地使用年限（年）</v>
      </c>
      <c r="R10" s="1568" t="s">
        <v>8</v>
      </c>
      <c r="S10" s="1569">
        <f t="shared" si="0"/>
        <v>100</v>
      </c>
      <c r="T10" s="1568" t="s">
        <v>8</v>
      </c>
      <c r="U10" s="1569">
        <f t="shared" si="1"/>
        <v>100</v>
      </c>
      <c r="V10" s="1568" t="s">
        <v>8</v>
      </c>
      <c r="W10" s="1569">
        <f t="shared" si="2"/>
        <v>100</v>
      </c>
      <c r="X10" s="1570"/>
      <c r="Y10" s="3365"/>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26"/>
      <c r="Q11" s="1151">
        <f t="shared" si="6"/>
        <v>111</v>
      </c>
      <c r="R11" s="1568" t="s">
        <v>8</v>
      </c>
      <c r="S11" s="1569">
        <f t="shared" si="0"/>
        <v>100</v>
      </c>
      <c r="T11" s="1568" t="s">
        <v>8</v>
      </c>
      <c r="U11" s="1569">
        <f t="shared" si="1"/>
        <v>100</v>
      </c>
      <c r="V11" s="1568" t="s">
        <v>8</v>
      </c>
      <c r="W11" s="1569">
        <f t="shared" si="2"/>
        <v>100</v>
      </c>
      <c r="X11" s="1570"/>
      <c r="Y11" s="3365"/>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26"/>
      <c r="Q12" s="1151">
        <f t="shared" si="6"/>
        <v>111</v>
      </c>
      <c r="R12" s="1568" t="s">
        <v>8</v>
      </c>
      <c r="S12" s="1569">
        <f t="shared" si="0"/>
        <v>100</v>
      </c>
      <c r="T12" s="1568" t="s">
        <v>8</v>
      </c>
      <c r="U12" s="1569">
        <f t="shared" si="1"/>
        <v>100</v>
      </c>
      <c r="V12" s="1568" t="s">
        <v>8</v>
      </c>
      <c r="W12" s="1569">
        <f t="shared" si="2"/>
        <v>100</v>
      </c>
      <c r="X12" s="1570"/>
      <c r="Y12" s="3365"/>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26"/>
      <c r="Q13" s="1151">
        <f t="shared" si="6"/>
        <v>111</v>
      </c>
      <c r="R13" s="1568" t="s">
        <v>8</v>
      </c>
      <c r="S13" s="1569">
        <f t="shared" si="0"/>
        <v>100</v>
      </c>
      <c r="T13" s="1568" t="s">
        <v>8</v>
      </c>
      <c r="U13" s="1569">
        <f t="shared" si="1"/>
        <v>100</v>
      </c>
      <c r="V13" s="1568" t="s">
        <v>8</v>
      </c>
      <c r="W13" s="1569">
        <f t="shared" si="2"/>
        <v>100</v>
      </c>
      <c r="X13" s="1570"/>
      <c r="Y13" s="3365"/>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8" t="s">
        <v>540</v>
      </c>
      <c r="Q14" s="1572" t="str">
        <f t="shared" si="6"/>
        <v>交通便捷度</v>
      </c>
      <c r="R14" s="1573" t="s">
        <v>8</v>
      </c>
      <c r="S14" s="1574">
        <f t="shared" si="0"/>
        <v>100</v>
      </c>
      <c r="T14" s="1573" t="s">
        <v>8</v>
      </c>
      <c r="U14" s="1574">
        <f t="shared" si="1"/>
        <v>100</v>
      </c>
      <c r="V14" s="1573" t="s">
        <v>8</v>
      </c>
      <c r="W14" s="1574">
        <f t="shared" si="2"/>
        <v>100</v>
      </c>
      <c r="X14" s="1567"/>
      <c r="Y14" s="3428"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9"/>
      <c r="Q15" s="1572"/>
      <c r="R15" s="1573"/>
      <c r="S15" s="1574"/>
      <c r="T15" s="1573"/>
      <c r="U15" s="1574"/>
      <c r="V15" s="1573"/>
      <c r="W15" s="1574"/>
      <c r="X15" s="1567"/>
      <c r="Y15" s="3429"/>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9"/>
      <c r="Q16" s="1572" t="str">
        <f>B16</f>
        <v>公共配套设施</v>
      </c>
      <c r="R16" s="1573" t="s">
        <v>8</v>
      </c>
      <c r="S16" s="1574">
        <f>F16</f>
        <v>100</v>
      </c>
      <c r="T16" s="1573" t="s">
        <v>8</v>
      </c>
      <c r="U16" s="1574">
        <f>H16</f>
        <v>100</v>
      </c>
      <c r="V16" s="1573" t="s">
        <v>8</v>
      </c>
      <c r="W16" s="1574">
        <f>J16</f>
        <v>100</v>
      </c>
      <c r="X16" s="1567"/>
      <c r="Y16" s="342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9"/>
      <c r="Q17" s="1572"/>
      <c r="R17" s="1573"/>
      <c r="S17" s="1574"/>
      <c r="T17" s="1573"/>
      <c r="U17" s="1574"/>
      <c r="V17" s="1573"/>
      <c r="W17" s="1574"/>
      <c r="X17" s="1567"/>
      <c r="Y17" s="3429"/>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9"/>
      <c r="Q18" s="2580" t="str">
        <f>B18</f>
        <v>基础设施水平</v>
      </c>
      <c r="R18" s="1573" t="s">
        <v>8</v>
      </c>
      <c r="S18" s="1574">
        <f>F18</f>
        <v>100</v>
      </c>
      <c r="T18" s="1573" t="s">
        <v>8</v>
      </c>
      <c r="U18" s="1574">
        <f>H18</f>
        <v>100</v>
      </c>
      <c r="V18" s="1573" t="s">
        <v>8</v>
      </c>
      <c r="W18" s="1574">
        <f>J18</f>
        <v>100</v>
      </c>
      <c r="X18" s="2582"/>
      <c r="Y18" s="3429"/>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9"/>
      <c r="Q19" s="2580"/>
      <c r="R19" s="1573"/>
      <c r="S19" s="1574"/>
      <c r="T19" s="1573"/>
      <c r="U19" s="1574"/>
      <c r="V19" s="1573"/>
      <c r="W19" s="1574"/>
      <c r="X19" s="2582"/>
      <c r="Y19" s="3429"/>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9"/>
      <c r="Q20" s="1572" t="str">
        <f>B20</f>
        <v>自然及人文环境</v>
      </c>
      <c r="R20" s="1573" t="s">
        <v>8</v>
      </c>
      <c r="S20" s="1574">
        <f>F20</f>
        <v>100</v>
      </c>
      <c r="T20" s="1573" t="s">
        <v>8</v>
      </c>
      <c r="U20" s="1574">
        <f>H20</f>
        <v>100</v>
      </c>
      <c r="V20" s="1573" t="s">
        <v>8</v>
      </c>
      <c r="W20" s="1574">
        <f>J20</f>
        <v>100</v>
      </c>
      <c r="X20" s="1567"/>
      <c r="Y20" s="342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9"/>
      <c r="Q21" s="1572"/>
      <c r="R21" s="1573"/>
      <c r="S21" s="1574"/>
      <c r="T21" s="1573"/>
      <c r="U21" s="1574"/>
      <c r="V21" s="1573"/>
      <c r="W21" s="1574"/>
      <c r="X21" s="1567"/>
      <c r="Y21" s="3429"/>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9"/>
      <c r="Q22" s="1572" t="str">
        <f>B22</f>
        <v>楼层</v>
      </c>
      <c r="R22" s="1573" t="s">
        <v>8</v>
      </c>
      <c r="S22" s="1574">
        <f>F22</f>
        <v>100</v>
      </c>
      <c r="T22" s="1573" t="s">
        <v>8</v>
      </c>
      <c r="U22" s="1574">
        <f>H22</f>
        <v>100</v>
      </c>
      <c r="V22" s="1573" t="s">
        <v>8</v>
      </c>
      <c r="W22" s="1574">
        <f>J22</f>
        <v>100</v>
      </c>
      <c r="X22" s="1567"/>
      <c r="Y22" s="342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9"/>
      <c r="Q23" s="1572">
        <f>B23</f>
        <v>111</v>
      </c>
      <c r="R23" s="1573" t="s">
        <v>8</v>
      </c>
      <c r="S23" s="1574">
        <f>F23</f>
        <v>100</v>
      </c>
      <c r="T23" s="1573" t="s">
        <v>8</v>
      </c>
      <c r="U23" s="1574">
        <f>H23</f>
        <v>100</v>
      </c>
      <c r="V23" s="1573" t="s">
        <v>8</v>
      </c>
      <c r="W23" s="1574">
        <f>J23</f>
        <v>100</v>
      </c>
      <c r="X23" s="1567"/>
      <c r="Y23" s="342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9"/>
      <c r="Q24" s="1572">
        <f t="shared" ref="Q24:Q34" si="11">B24</f>
        <v>111</v>
      </c>
      <c r="R24" s="1573" t="s">
        <v>8</v>
      </c>
      <c r="S24" s="1574">
        <f>F24</f>
        <v>100</v>
      </c>
      <c r="T24" s="1573" t="s">
        <v>8</v>
      </c>
      <c r="U24" s="1574">
        <f>H24</f>
        <v>100</v>
      </c>
      <c r="V24" s="1573" t="s">
        <v>8</v>
      </c>
      <c r="W24" s="1574">
        <f>J24</f>
        <v>100</v>
      </c>
      <c r="X24" s="1567"/>
      <c r="Y24" s="342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9"/>
      <c r="Q25" s="1151">
        <f t="shared" si="11"/>
        <v>111</v>
      </c>
      <c r="R25" s="1568" t="s">
        <v>8</v>
      </c>
      <c r="S25" s="1569">
        <f>F25</f>
        <v>100</v>
      </c>
      <c r="T25" s="1568" t="s">
        <v>8</v>
      </c>
      <c r="U25" s="1569">
        <f>H25</f>
        <v>100</v>
      </c>
      <c r="V25" s="1568" t="s">
        <v>8</v>
      </c>
      <c r="W25" s="1569">
        <f>J25</f>
        <v>100</v>
      </c>
      <c r="X25" s="1570"/>
      <c r="Y25" s="3429"/>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1"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1"/>
      <c r="Q27" s="1605" t="str">
        <f t="shared" si="11"/>
        <v>成新率</v>
      </c>
      <c r="R27" s="1577" t="s">
        <v>8</v>
      </c>
      <c r="S27" s="1578" t="e">
        <f t="shared" si="12"/>
        <v>#N/A</v>
      </c>
      <c r="T27" s="1577" t="s">
        <v>8</v>
      </c>
      <c r="U27" s="1578" t="e">
        <f t="shared" si="13"/>
        <v>#N/A</v>
      </c>
      <c r="V27" s="1577" t="s">
        <v>8</v>
      </c>
      <c r="W27" s="1578" t="e">
        <f t="shared" si="14"/>
        <v>#N/A</v>
      </c>
      <c r="X27" s="1579"/>
      <c r="Y27" s="3431"/>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1"/>
      <c r="Q28" s="1572" t="str">
        <f t="shared" si="11"/>
        <v>物业等级</v>
      </c>
      <c r="R28" s="1573" t="s">
        <v>8</v>
      </c>
      <c r="S28" s="1574">
        <f t="shared" si="12"/>
        <v>100</v>
      </c>
      <c r="T28" s="1573" t="s">
        <v>8</v>
      </c>
      <c r="U28" s="1574">
        <f t="shared" si="13"/>
        <v>100</v>
      </c>
      <c r="V28" s="1573" t="s">
        <v>8</v>
      </c>
      <c r="W28" s="1574">
        <f t="shared" si="14"/>
        <v>100</v>
      </c>
      <c r="X28" s="1567"/>
      <c r="Y28" s="3431"/>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1"/>
      <c r="Q29" s="1572" t="str">
        <f t="shared" si="11"/>
        <v>有无电梯</v>
      </c>
      <c r="R29" s="1573" t="s">
        <v>8</v>
      </c>
      <c r="S29" s="1574">
        <f t="shared" si="12"/>
        <v>100</v>
      </c>
      <c r="T29" s="1573" t="s">
        <v>8</v>
      </c>
      <c r="U29" s="1574">
        <f t="shared" si="13"/>
        <v>100</v>
      </c>
      <c r="V29" s="1573" t="s">
        <v>8</v>
      </c>
      <c r="W29" s="1574">
        <f t="shared" si="14"/>
        <v>100</v>
      </c>
      <c r="X29" s="1567"/>
      <c r="Y29" s="3431"/>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1"/>
      <c r="Q30" s="1572" t="str">
        <f t="shared" si="11"/>
        <v>建筑面积</v>
      </c>
      <c r="R30" s="1573" t="s">
        <v>8</v>
      </c>
      <c r="S30" s="1574" t="e">
        <f t="shared" si="12"/>
        <v>#N/A</v>
      </c>
      <c r="T30" s="1573" t="s">
        <v>8</v>
      </c>
      <c r="U30" s="1574" t="e">
        <f t="shared" si="13"/>
        <v>#N/A</v>
      </c>
      <c r="V30" s="1573" t="s">
        <v>8</v>
      </c>
      <c r="W30" s="1574" t="e">
        <f t="shared" si="14"/>
        <v>#N/A</v>
      </c>
      <c r="X30" s="1567"/>
      <c r="Y30" s="3431"/>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1"/>
      <c r="Q31" s="1151" t="str">
        <f t="shared" si="11"/>
        <v>是否封闭</v>
      </c>
      <c r="R31" s="1568" t="s">
        <v>8</v>
      </c>
      <c r="S31" s="1569">
        <f t="shared" si="12"/>
        <v>100</v>
      </c>
      <c r="T31" s="1568" t="s">
        <v>8</v>
      </c>
      <c r="U31" s="1569">
        <f t="shared" si="13"/>
        <v>100</v>
      </c>
      <c r="V31" s="1568" t="s">
        <v>8</v>
      </c>
      <c r="W31" s="1569">
        <f t="shared" si="14"/>
        <v>100</v>
      </c>
      <c r="X31" s="1570"/>
      <c r="Y31" s="3431"/>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1" t="s">
        <v>550</v>
      </c>
      <c r="Q32" s="1572">
        <f t="shared" si="11"/>
        <v>111</v>
      </c>
      <c r="R32" s="1573" t="s">
        <v>8</v>
      </c>
      <c r="S32" s="1574">
        <f t="shared" si="12"/>
        <v>100</v>
      </c>
      <c r="T32" s="1573" t="s">
        <v>8</v>
      </c>
      <c r="U32" s="1574">
        <f t="shared" si="13"/>
        <v>100</v>
      </c>
      <c r="V32" s="1573" t="s">
        <v>8</v>
      </c>
      <c r="W32" s="1574">
        <f t="shared" si="14"/>
        <v>100</v>
      </c>
      <c r="X32" s="1567"/>
      <c r="Y32" s="3431"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1"/>
      <c r="Q33" s="1572">
        <f t="shared" si="11"/>
        <v>111</v>
      </c>
      <c r="R33" s="1573" t="s">
        <v>8</v>
      </c>
      <c r="S33" s="1574">
        <f t="shared" si="12"/>
        <v>100</v>
      </c>
      <c r="T33" s="1573" t="s">
        <v>8</v>
      </c>
      <c r="U33" s="1574">
        <f t="shared" si="13"/>
        <v>100</v>
      </c>
      <c r="V33" s="1573" t="s">
        <v>8</v>
      </c>
      <c r="W33" s="1574">
        <f t="shared" si="14"/>
        <v>100</v>
      </c>
      <c r="X33" s="1567"/>
      <c r="Y33" s="3431"/>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1"/>
      <c r="Q34" s="1572">
        <f t="shared" si="11"/>
        <v>111</v>
      </c>
      <c r="R34" s="1573" t="s">
        <v>8</v>
      </c>
      <c r="S34" s="1574">
        <f t="shared" si="12"/>
        <v>100</v>
      </c>
      <c r="T34" s="1573" t="s">
        <v>8</v>
      </c>
      <c r="U34" s="1574">
        <f t="shared" si="13"/>
        <v>100</v>
      </c>
      <c r="V34" s="1573" t="s">
        <v>8</v>
      </c>
      <c r="W34" s="1574">
        <f t="shared" si="14"/>
        <v>100</v>
      </c>
      <c r="X34" s="1567"/>
      <c r="Y34" s="3431"/>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26" t="str">
        <f>A35</f>
        <v>成交单价（元/平方米）</v>
      </c>
      <c r="Q35" s="3426"/>
      <c r="R35" s="3512">
        <f>E35</f>
        <v>0</v>
      </c>
      <c r="S35" s="3512"/>
      <c r="T35" s="3512">
        <f>G35</f>
        <v>0</v>
      </c>
      <c r="U35" s="3512"/>
      <c r="V35" s="3512">
        <f>I35</f>
        <v>0</v>
      </c>
      <c r="W35" s="3512"/>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26" t="str">
        <f>A36</f>
        <v>比较价格（元/平方米）</v>
      </c>
      <c r="Q36" s="3426"/>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47" t="str">
        <f>A37</f>
        <v>估价对象XX用房的比较价格（楼面单价，元/平方米）</v>
      </c>
      <c r="Q37" s="3448"/>
      <c r="R37" s="3511" t="e">
        <f>IF(F1="售价",ROUND(AVERAGE(R36:V36),0),ROUND(AVERAGE(R36:V36),1))</f>
        <v>#DIV/0!</v>
      </c>
      <c r="S37" s="3511"/>
      <c r="T37" s="3511"/>
      <c r="U37" s="3511"/>
      <c r="V37" s="3511"/>
      <c r="W37" s="351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2" t="s">
        <v>2307</v>
      </c>
      <c r="D1" s="3523"/>
      <c r="E1" s="3523"/>
      <c r="F1" s="3523"/>
      <c r="G1" s="3523"/>
      <c r="H1" s="3523"/>
      <c r="I1" s="3523"/>
      <c r="J1" s="3523"/>
      <c r="K1" s="3523"/>
      <c r="L1" s="3523"/>
      <c r="M1" s="3523"/>
      <c r="N1" s="3523"/>
      <c r="O1" s="3523"/>
      <c r="P1" s="3523"/>
      <c r="Q1" s="3523"/>
      <c r="R1" s="3523"/>
      <c r="S1" s="3524"/>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9" t="s">
        <v>20</v>
      </c>
      <c r="D22" s="3520"/>
      <c r="E22" s="3520"/>
      <c r="F22" s="3520"/>
      <c r="G22" s="3520"/>
      <c r="H22" s="3520"/>
      <c r="I22" s="3520"/>
      <c r="J22" s="3520"/>
      <c r="K22" s="3520"/>
      <c r="L22" s="3520"/>
      <c r="M22" s="3520"/>
      <c r="N22" s="3520"/>
      <c r="O22" s="3520"/>
      <c r="P22" s="3520"/>
      <c r="Q22" s="352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E4" sqref="E4"/>
    </sheetView>
  </sheetViews>
  <sheetFormatPr defaultRowHeight="13.5"/>
  <cols>
    <col min="7" max="7" width="28.375" customWidth="1"/>
    <col min="10" max="10" width="12.375" customWidth="1"/>
  </cols>
  <sheetData>
    <row r="1" spans="1:14">
      <c r="A1" s="3188"/>
      <c r="B1" s="3187" t="s">
        <v>2993</v>
      </c>
      <c r="C1" s="3205" t="s">
        <v>2992</v>
      </c>
      <c r="D1" s="3187" t="s">
        <v>2994</v>
      </c>
      <c r="F1" s="3187" t="s">
        <v>3000</v>
      </c>
      <c r="G1" s="3187" t="s">
        <v>3002</v>
      </c>
      <c r="H1" s="3187" t="s">
        <v>3003</v>
      </c>
      <c r="I1" s="3187" t="s">
        <v>3012</v>
      </c>
      <c r="J1" s="3187" t="s">
        <v>3013</v>
      </c>
    </row>
    <row r="2" spans="1:14">
      <c r="A2" s="3187" t="s">
        <v>2995</v>
      </c>
      <c r="B2" s="3188">
        <v>332.2</v>
      </c>
      <c r="C2" s="3206">
        <v>228.93</v>
      </c>
      <c r="D2" s="3188">
        <f>C2-B2</f>
        <v>-103.26999999999998</v>
      </c>
      <c r="F2" s="3187" t="s">
        <v>2995</v>
      </c>
      <c r="G2" s="3187" t="s">
        <v>3030</v>
      </c>
      <c r="H2" s="3188">
        <v>1</v>
      </c>
      <c r="I2" s="3188">
        <v>228.93</v>
      </c>
      <c r="J2" s="3188">
        <v>67.3</v>
      </c>
    </row>
    <row r="3" spans="1:14">
      <c r="A3" s="3187" t="s">
        <v>2997</v>
      </c>
      <c r="B3" s="3188">
        <v>4025.2</v>
      </c>
      <c r="C3" s="3206">
        <v>3618.52</v>
      </c>
      <c r="D3" s="3188">
        <f t="shared" ref="D3:D4" si="0">C3-B3</f>
        <v>-406.67999999999984</v>
      </c>
      <c r="F3" s="3525" t="s">
        <v>3001</v>
      </c>
      <c r="G3" s="3187" t="s">
        <v>3004</v>
      </c>
      <c r="H3" s="3188">
        <v>1</v>
      </c>
      <c r="I3" s="3188">
        <v>57.13</v>
      </c>
      <c r="J3" s="3188"/>
    </row>
    <row r="4" spans="1:14">
      <c r="A4" s="3187" t="s">
        <v>2998</v>
      </c>
      <c r="B4" s="3188">
        <v>3629.7</v>
      </c>
      <c r="C4" s="3206">
        <v>4101.03</v>
      </c>
      <c r="D4" s="3188">
        <f t="shared" si="0"/>
        <v>471.32999999999993</v>
      </c>
      <c r="F4" s="3525"/>
      <c r="G4" s="3187" t="s">
        <v>3006</v>
      </c>
      <c r="H4" s="3188">
        <v>5</v>
      </c>
      <c r="I4" s="3188">
        <v>1171.67</v>
      </c>
      <c r="J4" s="3188"/>
    </row>
    <row r="5" spans="1:14">
      <c r="A5" s="3187" t="s">
        <v>2999</v>
      </c>
      <c r="B5" s="3188">
        <f>SUM(B2:B4)</f>
        <v>7987.0999999999995</v>
      </c>
      <c r="C5" s="3188">
        <f>SUM(C2:C4)</f>
        <v>7948.48</v>
      </c>
      <c r="D5" s="3188">
        <f>SUM(D2:D4)</f>
        <v>-38.619999999999891</v>
      </c>
      <c r="F5" s="3525"/>
      <c r="G5" s="3187" t="s">
        <v>3007</v>
      </c>
      <c r="H5" s="3188">
        <v>3</v>
      </c>
      <c r="I5" s="3188">
        <f>1071.99+10.61+10.61</f>
        <v>1093.2099999999998</v>
      </c>
      <c r="J5" s="3188"/>
    </row>
    <row r="6" spans="1:14">
      <c r="A6" s="3187"/>
      <c r="B6" s="3188"/>
      <c r="C6" s="3188"/>
      <c r="D6" s="3188"/>
      <c r="F6" s="3525"/>
      <c r="G6" s="3187" t="s">
        <v>3008</v>
      </c>
      <c r="H6" s="3188">
        <v>5</v>
      </c>
      <c r="I6" s="3188">
        <f>1278.35+4.54+4.54+4.54+4.54</f>
        <v>1296.5099999999998</v>
      </c>
      <c r="J6" s="3188"/>
    </row>
    <row r="7" spans="1:14">
      <c r="A7" s="3187" t="s">
        <v>3052</v>
      </c>
      <c r="B7" s="3188">
        <v>2245.0100000000002</v>
      </c>
      <c r="C7" s="3206">
        <v>2245.0100000000002</v>
      </c>
      <c r="D7" s="3188"/>
      <c r="F7" s="3525"/>
      <c r="G7" s="3189" t="s">
        <v>3009</v>
      </c>
      <c r="H7" s="3189">
        <f>SUM(H3:H6)</f>
        <v>14</v>
      </c>
      <c r="I7" s="3189">
        <f>SUM(I3:I6)</f>
        <v>3618.52</v>
      </c>
      <c r="J7" s="3189">
        <v>1063.73</v>
      </c>
    </row>
    <row r="8" spans="1:14">
      <c r="A8" s="3187" t="s">
        <v>3053</v>
      </c>
      <c r="B8" s="3188">
        <f>B5/B7</f>
        <v>3.5577124378065124</v>
      </c>
      <c r="C8" s="3188">
        <f>C5/C7</f>
        <v>3.5405098418269847</v>
      </c>
      <c r="D8" s="3188"/>
      <c r="F8" s="3187" t="s">
        <v>2998</v>
      </c>
      <c r="G8" s="3187" t="s">
        <v>3011</v>
      </c>
      <c r="H8" s="3188">
        <v>83</v>
      </c>
      <c r="I8" s="3188">
        <v>4101.03</v>
      </c>
      <c r="J8" s="3188">
        <v>1205.58</v>
      </c>
      <c r="K8" s="3186" t="s">
        <v>3010</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tabSelected="1" topLeftCell="A34" workbookViewId="0">
      <selection activeCell="M4" sqref="M4"/>
    </sheetView>
  </sheetViews>
  <sheetFormatPr defaultRowHeight="13.5"/>
  <cols>
    <col min="1" max="1" width="13.625" customWidth="1"/>
    <col min="4" max="4" width="13.25" bestFit="1" customWidth="1"/>
    <col min="6" max="6" width="9.625" bestFit="1" customWidth="1"/>
    <col min="7" max="9" width="9.625" customWidth="1"/>
    <col min="11" max="11" width="23.625" customWidth="1"/>
    <col min="12" max="12" width="11.75" customWidth="1"/>
    <col min="14" max="14" width="13.875" customWidth="1"/>
  </cols>
  <sheetData>
    <row r="1" spans="1:20" ht="29.25" customHeight="1">
      <c r="A1" s="3526" t="s">
        <v>3033</v>
      </c>
      <c r="B1" s="3526" t="s">
        <v>3034</v>
      </c>
      <c r="C1" s="3191" t="s">
        <v>3035</v>
      </c>
      <c r="D1" s="3191" t="s">
        <v>3037</v>
      </c>
      <c r="E1" s="3191" t="s">
        <v>3040</v>
      </c>
      <c r="F1" s="3191" t="s">
        <v>3042</v>
      </c>
      <c r="G1" s="3529"/>
      <c r="K1" s="3188"/>
      <c r="L1" s="3540" t="s">
        <v>3060</v>
      </c>
      <c r="M1" s="3540"/>
      <c r="N1" s="3540" t="s">
        <v>3061</v>
      </c>
      <c r="O1" s="3540"/>
      <c r="P1" s="3541" t="s">
        <v>3066</v>
      </c>
      <c r="Q1" s="3541" t="s">
        <v>3065</v>
      </c>
    </row>
    <row r="2" spans="1:20" ht="31.5">
      <c r="A2" s="3527"/>
      <c r="B2" s="3527"/>
      <c r="C2" s="3192" t="s">
        <v>3005</v>
      </c>
      <c r="D2" s="3192" t="s">
        <v>3038</v>
      </c>
      <c r="E2" s="3192" t="s">
        <v>3041</v>
      </c>
      <c r="F2" s="3192" t="s">
        <v>3039</v>
      </c>
      <c r="G2" s="3529"/>
      <c r="J2" s="3529"/>
      <c r="K2" s="3188"/>
      <c r="L2" s="3212" t="s">
        <v>3063</v>
      </c>
      <c r="M2" s="3212" t="s">
        <v>3064</v>
      </c>
      <c r="N2" s="3212" t="s">
        <v>3063</v>
      </c>
      <c r="O2" s="3212" t="s">
        <v>3064</v>
      </c>
      <c r="P2" s="3542"/>
      <c r="Q2" s="3542"/>
    </row>
    <row r="3" spans="1:20" ht="32.25" thickBot="1">
      <c r="A3" s="3528"/>
      <c r="B3" s="3528"/>
      <c r="C3" s="3192" t="s">
        <v>3036</v>
      </c>
      <c r="D3" s="3192" t="s">
        <v>3039</v>
      </c>
      <c r="E3" s="3193"/>
      <c r="F3" s="3193"/>
      <c r="G3" s="3529"/>
      <c r="J3" s="3529"/>
      <c r="K3" s="3212" t="s">
        <v>3062</v>
      </c>
      <c r="L3" s="3188">
        <f ca="1">基准地价!C29</f>
        <v>6294</v>
      </c>
      <c r="M3" s="3188">
        <v>0.6</v>
      </c>
      <c r="N3" s="3188">
        <f ca="1">'剩余法-待开发'!C36</f>
        <v>3384</v>
      </c>
      <c r="O3" s="3188">
        <f>1-M3</f>
        <v>0.4</v>
      </c>
      <c r="P3" s="3188">
        <f ca="1">ROUND(L3*M3+N3*O3,0)</f>
        <v>5130</v>
      </c>
      <c r="Q3" s="3188">
        <f ca="1">ROUND(P3*0.25,0)</f>
        <v>1283</v>
      </c>
      <c r="R3">
        <f ca="1">N3/L3-1</f>
        <v>-0.46234509056244044</v>
      </c>
      <c r="S3">
        <f>-103.27</f>
        <v>-103.27</v>
      </c>
      <c r="T3">
        <f ca="1">P3*S3</f>
        <v>-529775.1</v>
      </c>
    </row>
    <row r="4" spans="1:20" ht="17.25" customHeight="1">
      <c r="A4" s="3530" t="s">
        <v>3017</v>
      </c>
      <c r="B4" s="3530" t="s">
        <v>3158</v>
      </c>
      <c r="C4" s="3546">
        <v>103.27</v>
      </c>
      <c r="D4" s="3533">
        <f ca="1">P3</f>
        <v>5130</v>
      </c>
      <c r="E4" s="3533">
        <f ca="1">ROUND(-D4*C4/10000,0)</f>
        <v>-53</v>
      </c>
      <c r="F4" s="3535" t="s">
        <v>2820</v>
      </c>
      <c r="G4" s="3194"/>
      <c r="J4" s="3529"/>
      <c r="K4" s="3187" t="s">
        <v>3151</v>
      </c>
      <c r="L4" s="3188">
        <f ca="1">基准地价住宅!C38</f>
        <v>3176</v>
      </c>
      <c r="M4" s="3188">
        <v>0.4</v>
      </c>
      <c r="N4" s="3188">
        <f ca="1">剩余法待开发住宅!C36*基准地价住宅!F38</f>
        <v>9547.75</v>
      </c>
      <c r="O4" s="3188">
        <f t="shared" ref="O4:O7" si="0">1-M4</f>
        <v>0.6</v>
      </c>
      <c r="P4" s="3188">
        <f t="shared" ref="P4:P7" ca="1" si="1">ROUND(L4*M4+N4*O4,0)</f>
        <v>6999</v>
      </c>
      <c r="Q4" s="3188">
        <f t="shared" ref="Q4:Q7" ca="1" si="2">ROUND(P4*0.25,0)</f>
        <v>1750</v>
      </c>
    </row>
    <row r="5" spans="1:20" ht="25.5" customHeight="1" thickBot="1">
      <c r="A5" s="3531"/>
      <c r="B5" s="3531"/>
      <c r="C5" s="3547" t="s">
        <v>3159</v>
      </c>
      <c r="D5" s="3534"/>
      <c r="E5" s="3534"/>
      <c r="F5" s="3536"/>
      <c r="G5" s="3194"/>
      <c r="J5" s="3194"/>
      <c r="K5" s="3187" t="s">
        <v>3147</v>
      </c>
      <c r="L5" s="3188">
        <f ca="1">基准地价住宅!C39</f>
        <v>2540</v>
      </c>
      <c r="M5" s="3188">
        <v>0.4</v>
      </c>
      <c r="N5" s="3188">
        <f ca="1">剩余法待开发住宅!C36*基准地价住宅!F39</f>
        <v>7638.2000000000007</v>
      </c>
      <c r="O5" s="3188">
        <f t="shared" si="0"/>
        <v>0.6</v>
      </c>
      <c r="P5" s="3188">
        <f t="shared" ca="1" si="1"/>
        <v>5599</v>
      </c>
      <c r="Q5" s="3188">
        <f t="shared" ca="1" si="2"/>
        <v>1400</v>
      </c>
      <c r="S5">
        <f>471.33-406.68</f>
        <v>64.649999999999977</v>
      </c>
      <c r="T5">
        <f ca="1">Q5*S5</f>
        <v>90509.999999999971</v>
      </c>
    </row>
    <row r="6" spans="1:20" ht="25.5" customHeight="1" thickBot="1">
      <c r="A6" s="3530" t="s">
        <v>3019</v>
      </c>
      <c r="B6" s="3547" t="s">
        <v>2996</v>
      </c>
      <c r="C6" s="3548">
        <v>406.68</v>
      </c>
      <c r="D6" s="3551">
        <f ca="1">P6</f>
        <v>7090</v>
      </c>
      <c r="E6" s="3552" t="s">
        <v>2820</v>
      </c>
      <c r="F6" s="3552" t="s">
        <v>2820</v>
      </c>
      <c r="G6" s="3194"/>
      <c r="J6" s="3194"/>
      <c r="K6" s="3221" t="s">
        <v>3152</v>
      </c>
      <c r="L6">
        <f ca="1">基准地价住宅50!C38</f>
        <v>3217</v>
      </c>
      <c r="M6" s="3188">
        <v>0.4</v>
      </c>
      <c r="N6">
        <f ca="1">剩余法待开发住宅50!C36*基准地价住宅50!F38</f>
        <v>9671.5</v>
      </c>
      <c r="O6" s="3188">
        <f t="shared" si="0"/>
        <v>0.6</v>
      </c>
      <c r="P6" s="3188">
        <f t="shared" ca="1" si="1"/>
        <v>7090</v>
      </c>
      <c r="Q6" s="3188">
        <f t="shared" ca="1" si="2"/>
        <v>1773</v>
      </c>
    </row>
    <row r="7" spans="1:20" ht="41.25" customHeight="1" thickBot="1">
      <c r="A7" s="3532"/>
      <c r="B7" s="3547" t="s">
        <v>35</v>
      </c>
      <c r="C7" s="3549" t="s">
        <v>3160</v>
      </c>
      <c r="D7" s="3551">
        <f ca="1">P7</f>
        <v>5671</v>
      </c>
      <c r="E7" s="3552" t="s">
        <v>2820</v>
      </c>
      <c r="F7" s="3552" t="s">
        <v>2820</v>
      </c>
      <c r="G7" s="3194"/>
      <c r="J7" s="3194"/>
      <c r="K7" s="3221" t="s">
        <v>3153</v>
      </c>
      <c r="L7">
        <f ca="1">基准地价住宅50!C39</f>
        <v>2573</v>
      </c>
      <c r="M7" s="3188">
        <v>0.4</v>
      </c>
      <c r="N7">
        <f ca="1">ROUND(剩余法待开发住宅50!C36*基准地价住宅50!F39,0)</f>
        <v>7737</v>
      </c>
      <c r="O7" s="3188">
        <f t="shared" si="0"/>
        <v>0.6</v>
      </c>
      <c r="P7" s="3188">
        <f t="shared" ca="1" si="1"/>
        <v>5671</v>
      </c>
      <c r="Q7" s="3188">
        <f t="shared" ca="1" si="2"/>
        <v>1418</v>
      </c>
    </row>
    <row r="8" spans="1:20" ht="36" customHeight="1" thickBot="1">
      <c r="A8" s="3532"/>
      <c r="B8" s="3547" t="s">
        <v>3161</v>
      </c>
      <c r="C8" s="3550"/>
      <c r="D8" s="3551">
        <f ca="1">D6-D7</f>
        <v>1419</v>
      </c>
      <c r="E8" s="3551">
        <f ca="1">ROUND(-D8*C6/10000,0)</f>
        <v>-58</v>
      </c>
      <c r="F8" s="3552" t="s">
        <v>2820</v>
      </c>
      <c r="G8" s="3194"/>
      <c r="J8" s="3194"/>
      <c r="K8" s="3221" t="s">
        <v>3148</v>
      </c>
      <c r="M8" s="3188"/>
      <c r="O8" s="3188"/>
      <c r="P8" s="3188">
        <f ca="1">P6-P7</f>
        <v>1419</v>
      </c>
      <c r="Q8" s="3188">
        <f ca="1">Q6-Q7</f>
        <v>355</v>
      </c>
      <c r="S8">
        <v>-406.68</v>
      </c>
      <c r="T8">
        <f ca="1">S8*P8</f>
        <v>-577078.92000000004</v>
      </c>
    </row>
    <row r="9" spans="1:20" ht="15">
      <c r="A9" s="3532"/>
      <c r="B9" s="3530" t="s">
        <v>35</v>
      </c>
      <c r="C9" s="3548">
        <v>64.650000000000006</v>
      </c>
      <c r="D9" s="3555">
        <f ca="1">P5</f>
        <v>5599</v>
      </c>
      <c r="E9" s="3555">
        <f ca="1">ROUND(D9*C9/10000,0)</f>
        <v>36</v>
      </c>
      <c r="F9" s="3556"/>
      <c r="G9" s="3529"/>
    </row>
    <row r="10" spans="1:20" ht="15" thickBot="1">
      <c r="A10" s="3531"/>
      <c r="B10" s="3531"/>
      <c r="C10" s="3553" t="s">
        <v>3162</v>
      </c>
      <c r="D10" s="3534"/>
      <c r="E10" s="3534"/>
      <c r="F10" s="3536"/>
      <c r="G10" s="3529"/>
    </row>
    <row r="11" spans="1:20" ht="57" customHeight="1">
      <c r="A11" s="3530" t="s">
        <v>27</v>
      </c>
      <c r="B11" s="3530" t="s">
        <v>2820</v>
      </c>
      <c r="C11" s="3548">
        <v>38.619999999999997</v>
      </c>
      <c r="D11" s="3555" t="s">
        <v>2820</v>
      </c>
      <c r="E11" s="3555">
        <v>270.35379999999998</v>
      </c>
      <c r="F11" s="3556" t="s">
        <v>2820</v>
      </c>
      <c r="G11" s="3194"/>
    </row>
    <row r="12" spans="1:20" ht="15" thickBot="1">
      <c r="A12" s="3531"/>
      <c r="B12" s="3531"/>
      <c r="C12" s="3554" t="s">
        <v>3159</v>
      </c>
      <c r="D12" s="3534"/>
      <c r="E12" s="3534"/>
      <c r="F12" s="3536"/>
      <c r="G12" s="3194"/>
    </row>
    <row r="13" spans="1:20" ht="63" customHeight="1" thickBot="1">
      <c r="A13" s="3196"/>
      <c r="J13" s="3203" t="s">
        <v>3051</v>
      </c>
      <c r="K13" s="3202"/>
    </row>
    <row r="14" spans="1:20" ht="18.75" customHeight="1" thickBot="1">
      <c r="A14" s="3190" t="s">
        <v>3043</v>
      </c>
      <c r="J14" s="3537" t="s">
        <v>3039</v>
      </c>
      <c r="K14" s="3202"/>
    </row>
    <row r="15" spans="1:20" ht="52.5" customHeight="1" thickBot="1">
      <c r="A15" s="3538" t="s">
        <v>3033</v>
      </c>
      <c r="B15" s="3538" t="s">
        <v>3034</v>
      </c>
      <c r="C15" s="3197" t="s">
        <v>3044</v>
      </c>
      <c r="D15" s="3197" t="s">
        <v>3046</v>
      </c>
      <c r="E15" s="3538" t="s">
        <v>3048</v>
      </c>
      <c r="J15" s="3537"/>
      <c r="K15" s="3202"/>
    </row>
    <row r="16" spans="1:20" ht="18.75" customHeight="1" thickBot="1">
      <c r="A16" s="3539"/>
      <c r="B16" s="3539"/>
      <c r="C16" s="3198" t="s">
        <v>3045</v>
      </c>
      <c r="D16" s="3198" t="s">
        <v>3047</v>
      </c>
      <c r="E16" s="3539"/>
      <c r="J16" s="3204"/>
    </row>
    <row r="17" spans="1:10" ht="24" customHeight="1">
      <c r="A17" s="3562" t="s">
        <v>3017</v>
      </c>
      <c r="B17" s="3530" t="s">
        <v>3158</v>
      </c>
      <c r="C17" s="3546">
        <v>103.27</v>
      </c>
      <c r="D17" s="3564">
        <f ca="1">Q3</f>
        <v>1283</v>
      </c>
      <c r="E17" s="3555" t="s">
        <v>2820</v>
      </c>
      <c r="J17" s="3204"/>
    </row>
    <row r="18" spans="1:10" ht="18.75" thickBot="1">
      <c r="A18" s="3544"/>
      <c r="B18" s="3563"/>
      <c r="C18" s="3545" t="s">
        <v>3159</v>
      </c>
      <c r="D18" s="3565"/>
      <c r="E18" s="3566"/>
      <c r="J18" s="3204"/>
    </row>
    <row r="19" spans="1:10" ht="15.75" thickBot="1">
      <c r="A19" s="3543" t="s">
        <v>3019</v>
      </c>
      <c r="B19" s="3199" t="s">
        <v>2996</v>
      </c>
      <c r="C19" s="3195">
        <v>406.68</v>
      </c>
      <c r="D19" s="3558">
        <f ca="1">Q6</f>
        <v>1773</v>
      </c>
      <c r="E19" s="3200" t="s">
        <v>2820</v>
      </c>
    </row>
    <row r="20" spans="1:10" ht="29.25" thickBot="1">
      <c r="A20" s="3561"/>
      <c r="B20" s="3199" t="s">
        <v>35</v>
      </c>
      <c r="C20" s="3549" t="s">
        <v>3160</v>
      </c>
      <c r="D20" s="3558">
        <f ca="1">Q7</f>
        <v>1418</v>
      </c>
      <c r="E20" s="3200" t="s">
        <v>2820</v>
      </c>
    </row>
    <row r="21" spans="1:10" ht="43.5" thickBot="1">
      <c r="A21" s="3561"/>
      <c r="B21" s="3199" t="s">
        <v>3161</v>
      </c>
      <c r="C21" s="3557"/>
      <c r="D21" s="3558">
        <f ca="1">D19-D20</f>
        <v>355</v>
      </c>
      <c r="E21" s="3200" t="s">
        <v>2820</v>
      </c>
    </row>
    <row r="22" spans="1:10" ht="15">
      <c r="A22" s="3561"/>
      <c r="B22" s="3567" t="s">
        <v>35</v>
      </c>
      <c r="C22" s="3548">
        <v>64.650000000000006</v>
      </c>
      <c r="D22" s="3564">
        <f ca="1">Q5</f>
        <v>1400</v>
      </c>
      <c r="E22" s="3601">
        <f ca="1">D22*C22/10000</f>
        <v>9.0510000000000019</v>
      </c>
    </row>
    <row r="23" spans="1:10" ht="15" thickBot="1">
      <c r="A23" s="3544"/>
      <c r="B23" s="3563"/>
      <c r="C23" s="3559" t="s">
        <v>3162</v>
      </c>
      <c r="D23" s="3568"/>
      <c r="E23" s="3602"/>
    </row>
    <row r="24" spans="1:10" ht="15">
      <c r="A24" s="3543" t="s">
        <v>27</v>
      </c>
      <c r="B24" s="3535" t="s">
        <v>2820</v>
      </c>
      <c r="C24" s="3548">
        <v>38.619999999999997</v>
      </c>
      <c r="D24" s="3533" t="s">
        <v>2820</v>
      </c>
      <c r="E24" s="3601">
        <f ca="1">E22</f>
        <v>9.0510000000000019</v>
      </c>
    </row>
    <row r="25" spans="1:10" ht="15" thickBot="1">
      <c r="A25" s="3544"/>
      <c r="B25" s="3569"/>
      <c r="C25" s="3560" t="s">
        <v>3159</v>
      </c>
      <c r="D25" s="3566"/>
      <c r="E25" s="3602"/>
    </row>
    <row r="26" spans="1:10">
      <c r="A26" s="3201"/>
    </row>
    <row r="27" spans="1:10" ht="18.75">
      <c r="A27" s="3196"/>
    </row>
    <row r="28" spans="1:10" ht="18.75">
      <c r="A28" s="3196"/>
    </row>
    <row r="29" spans="1:10" ht="75.75" thickBot="1">
      <c r="A29" s="3570" t="s">
        <v>3166</v>
      </c>
    </row>
    <row r="30" spans="1:10" ht="57">
      <c r="A30" s="3577" t="s">
        <v>3033</v>
      </c>
      <c r="B30" s="3581" t="s">
        <v>3034</v>
      </c>
      <c r="C30" s="3580"/>
      <c r="D30" s="3582"/>
      <c r="E30" s="3191" t="s">
        <v>3044</v>
      </c>
      <c r="F30" s="3191" t="s">
        <v>3167</v>
      </c>
      <c r="G30" s="3191" t="s">
        <v>3050</v>
      </c>
      <c r="H30" s="3191" t="s">
        <v>3042</v>
      </c>
      <c r="I30" s="3529"/>
    </row>
    <row r="31" spans="1:10" ht="31.5">
      <c r="A31" s="3578"/>
      <c r="B31" s="3583"/>
      <c r="C31" s="3584"/>
      <c r="D31" s="3585"/>
      <c r="E31" s="3192" t="s">
        <v>3036</v>
      </c>
      <c r="F31" s="3192" t="s">
        <v>3039</v>
      </c>
      <c r="G31" s="3192" t="s">
        <v>3040</v>
      </c>
      <c r="H31" s="3192" t="s">
        <v>3039</v>
      </c>
      <c r="I31" s="3529"/>
    </row>
    <row r="32" spans="1:10" ht="15" thickBot="1">
      <c r="A32" s="3579"/>
      <c r="B32" s="3586"/>
      <c r="C32" s="3587"/>
      <c r="D32" s="3588"/>
      <c r="E32" s="3193"/>
      <c r="F32" s="3193"/>
      <c r="G32" s="3192" t="s">
        <v>3041</v>
      </c>
      <c r="H32" s="3193"/>
      <c r="I32" s="3529"/>
    </row>
    <row r="33" spans="1:9" ht="14.25">
      <c r="A33" s="3567" t="s">
        <v>3017</v>
      </c>
      <c r="B33" s="3571" t="s">
        <v>3163</v>
      </c>
      <c r="C33" s="3589" t="s">
        <v>3158</v>
      </c>
      <c r="D33" s="3590"/>
      <c r="E33" s="3533">
        <v>103.27</v>
      </c>
      <c r="F33" s="3535">
        <f ca="1">D4</f>
        <v>5130</v>
      </c>
      <c r="G33" s="3535">
        <f ca="1">E4</f>
        <v>-53</v>
      </c>
      <c r="H33" s="3535" t="s">
        <v>2820</v>
      </c>
      <c r="I33" s="3194"/>
    </row>
    <row r="34" spans="1:9" ht="15" thickBot="1">
      <c r="A34" s="3563"/>
      <c r="B34" s="3547" t="s">
        <v>3005</v>
      </c>
      <c r="C34" s="3591"/>
      <c r="D34" s="3592"/>
      <c r="E34" s="3566"/>
      <c r="F34" s="3569"/>
      <c r="G34" s="3569"/>
      <c r="H34" s="3569"/>
      <c r="I34" s="3194"/>
    </row>
    <row r="35" spans="1:9" ht="14.25">
      <c r="A35" s="3567" t="s">
        <v>3019</v>
      </c>
      <c r="B35" s="3545" t="s">
        <v>3164</v>
      </c>
      <c r="C35" s="3589" t="s">
        <v>35</v>
      </c>
      <c r="D35" s="3590"/>
      <c r="E35" s="3535">
        <v>406.68</v>
      </c>
      <c r="F35" s="3535">
        <f ca="1">D8</f>
        <v>1419</v>
      </c>
      <c r="G35" s="3535">
        <f ca="1">E8</f>
        <v>-58</v>
      </c>
      <c r="H35" s="3535" t="s">
        <v>2820</v>
      </c>
      <c r="I35" s="3529"/>
    </row>
    <row r="36" spans="1:9" ht="15" thickBot="1">
      <c r="A36" s="3563"/>
      <c r="B36" s="3199" t="s">
        <v>3034</v>
      </c>
      <c r="C36" s="3591"/>
      <c r="D36" s="3592"/>
      <c r="E36" s="3569"/>
      <c r="F36" s="3569"/>
      <c r="G36" s="3569"/>
      <c r="H36" s="3569"/>
      <c r="I36" s="3529"/>
    </row>
    <row r="37" spans="1:9" ht="18" thickBot="1">
      <c r="A37" s="3593" t="s">
        <v>27</v>
      </c>
      <c r="B37" s="3594"/>
      <c r="C37" s="3594"/>
      <c r="D37" s="3595"/>
      <c r="E37" s="3572" t="s">
        <v>2820</v>
      </c>
      <c r="F37" s="3572" t="s">
        <v>2820</v>
      </c>
      <c r="G37" s="3573">
        <f ca="1">G33+G35</f>
        <v>-111</v>
      </c>
      <c r="H37" s="3572" t="s">
        <v>2820</v>
      </c>
      <c r="I37" s="3194"/>
    </row>
    <row r="38" spans="1:9" ht="43.5" thickBot="1">
      <c r="A38" s="3577" t="s">
        <v>3033</v>
      </c>
      <c r="B38" s="3581" t="s">
        <v>3034</v>
      </c>
      <c r="C38" s="3580"/>
      <c r="D38" s="3582"/>
      <c r="E38" s="3574" t="s">
        <v>3044</v>
      </c>
      <c r="F38" s="3574" t="s">
        <v>3049</v>
      </c>
      <c r="G38" s="3574" t="s">
        <v>3050</v>
      </c>
      <c r="H38" s="3574" t="s">
        <v>3051</v>
      </c>
      <c r="I38" s="3194"/>
    </row>
    <row r="39" spans="1:9" ht="57.75" thickBot="1">
      <c r="A39" s="3579"/>
      <c r="B39" s="3586"/>
      <c r="C39" s="3587"/>
      <c r="D39" s="3588"/>
      <c r="E39" s="3192" t="s">
        <v>3036</v>
      </c>
      <c r="F39" s="3192" t="s">
        <v>3039</v>
      </c>
      <c r="G39" s="3192" t="s">
        <v>3048</v>
      </c>
      <c r="H39" s="3192" t="s">
        <v>3039</v>
      </c>
      <c r="I39" s="3194"/>
    </row>
    <row r="40" spans="1:9" ht="14.25" customHeight="1">
      <c r="A40" s="3567" t="s">
        <v>3019</v>
      </c>
      <c r="B40" s="3589" t="s">
        <v>3165</v>
      </c>
      <c r="C40" s="3590"/>
      <c r="D40" s="3567" t="s">
        <v>35</v>
      </c>
      <c r="E40" s="3535">
        <v>64.650000000000006</v>
      </c>
      <c r="F40" s="3535">
        <f ca="1">D22</f>
        <v>1400</v>
      </c>
      <c r="G40" s="3603">
        <f ca="1">E22</f>
        <v>9.0510000000000019</v>
      </c>
      <c r="H40" s="3535" t="s">
        <v>2820</v>
      </c>
      <c r="I40" s="3194"/>
    </row>
    <row r="41" spans="1:9" ht="15" thickBot="1">
      <c r="A41" s="3531"/>
      <c r="B41" s="3596" t="s">
        <v>3005</v>
      </c>
      <c r="C41" s="3597"/>
      <c r="D41" s="3531"/>
      <c r="E41" s="3536"/>
      <c r="F41" s="3536"/>
      <c r="G41" s="3536"/>
      <c r="H41" s="3536"/>
      <c r="I41" s="3194"/>
    </row>
    <row r="42" spans="1:9" ht="16.5" thickBot="1">
      <c r="A42" s="3598" t="s">
        <v>27</v>
      </c>
      <c r="B42" s="3599"/>
      <c r="C42" s="3599"/>
      <c r="D42" s="3600"/>
      <c r="E42" s="3572">
        <v>64.650000000000006</v>
      </c>
      <c r="F42" s="3575" t="s">
        <v>2820</v>
      </c>
      <c r="G42" s="3604">
        <f ca="1">G40</f>
        <v>9.0510000000000019</v>
      </c>
      <c r="H42" s="3572" t="s">
        <v>2820</v>
      </c>
      <c r="I42" s="3194"/>
    </row>
    <row r="43" spans="1:9" ht="16.5" thickBot="1">
      <c r="A43" s="3593" t="s">
        <v>24</v>
      </c>
      <c r="B43" s="3594"/>
      <c r="C43" s="3594"/>
      <c r="D43" s="3595"/>
      <c r="E43" s="3572" t="s">
        <v>2820</v>
      </c>
      <c r="F43" s="3200" t="s">
        <v>2820</v>
      </c>
      <c r="G43" s="3576">
        <v>0</v>
      </c>
      <c r="H43" s="3572" t="s">
        <v>2820</v>
      </c>
      <c r="I43" s="3194"/>
    </row>
  </sheetData>
  <mergeCells count="69">
    <mergeCell ref="F40:F41"/>
    <mergeCell ref="G40:G41"/>
    <mergeCell ref="H40:H41"/>
    <mergeCell ref="A42:D42"/>
    <mergeCell ref="A43:D43"/>
    <mergeCell ref="A40:A41"/>
    <mergeCell ref="B40:C40"/>
    <mergeCell ref="B41:C41"/>
    <mergeCell ref="D40:D41"/>
    <mergeCell ref="E40:E41"/>
    <mergeCell ref="H35:H36"/>
    <mergeCell ref="I35:I36"/>
    <mergeCell ref="A37:D37"/>
    <mergeCell ref="A38:A39"/>
    <mergeCell ref="B38:D39"/>
    <mergeCell ref="A35:A36"/>
    <mergeCell ref="C35:D36"/>
    <mergeCell ref="E35:E36"/>
    <mergeCell ref="F35:F36"/>
    <mergeCell ref="G35:G36"/>
    <mergeCell ref="I30:I32"/>
    <mergeCell ref="A33:A34"/>
    <mergeCell ref="C33:D34"/>
    <mergeCell ref="E33:E34"/>
    <mergeCell ref="F33:F34"/>
    <mergeCell ref="G33:G34"/>
    <mergeCell ref="H33:H34"/>
    <mergeCell ref="A24:A25"/>
    <mergeCell ref="B24:B25"/>
    <mergeCell ref="D24:D25"/>
    <mergeCell ref="E24:E25"/>
    <mergeCell ref="A30:A32"/>
    <mergeCell ref="B30:D32"/>
    <mergeCell ref="A17:A18"/>
    <mergeCell ref="B17:B18"/>
    <mergeCell ref="D17:D18"/>
    <mergeCell ref="E17:E18"/>
    <mergeCell ref="A19:A23"/>
    <mergeCell ref="B22:B23"/>
    <mergeCell ref="D22:D23"/>
    <mergeCell ref="E22:E23"/>
    <mergeCell ref="G9:G10"/>
    <mergeCell ref="D11:D12"/>
    <mergeCell ref="F11:F12"/>
    <mergeCell ref="A15:A16"/>
    <mergeCell ref="B15:B16"/>
    <mergeCell ref="E15:E16"/>
    <mergeCell ref="F4:F5"/>
    <mergeCell ref="A6:A10"/>
    <mergeCell ref="B9:B10"/>
    <mergeCell ref="D9:D10"/>
    <mergeCell ref="E9:E10"/>
    <mergeCell ref="F9:F10"/>
    <mergeCell ref="L1:M1"/>
    <mergeCell ref="N1:O1"/>
    <mergeCell ref="P1:P2"/>
    <mergeCell ref="Q1:Q2"/>
    <mergeCell ref="J14:J15"/>
    <mergeCell ref="A11:A12"/>
    <mergeCell ref="B11:B12"/>
    <mergeCell ref="E11:E12"/>
    <mergeCell ref="J2:J4"/>
    <mergeCell ref="A1:A3"/>
    <mergeCell ref="B1:B3"/>
    <mergeCell ref="G1:G3"/>
    <mergeCell ref="A4:A5"/>
    <mergeCell ref="B4:B5"/>
    <mergeCell ref="D4:D5"/>
    <mergeCell ref="E4:E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2041</v>
      </c>
      <c r="B1" s="3232"/>
      <c r="C1" s="3232"/>
      <c r="D1" s="3232"/>
      <c r="E1" s="3232"/>
      <c r="F1" s="3232"/>
      <c r="G1" s="3232"/>
      <c r="H1" s="3232"/>
      <c r="I1" s="3232"/>
      <c r="J1" s="3232"/>
      <c r="K1" s="3232"/>
      <c r="L1" s="3232"/>
      <c r="M1" s="3232"/>
      <c r="N1" s="3232"/>
      <c r="O1" s="3232"/>
      <c r="P1" s="3232"/>
      <c r="Q1" s="3232"/>
      <c r="R1" s="3232"/>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3" t="s">
        <v>2032</v>
      </c>
      <c r="B3" s="3233" t="s">
        <v>2734</v>
      </c>
      <c r="C3" s="3234" t="s">
        <v>2033</v>
      </c>
      <c r="D3" s="3233" t="s">
        <v>2738</v>
      </c>
      <c r="E3" s="3228" t="s">
        <v>2034</v>
      </c>
      <c r="F3" s="3228"/>
      <c r="G3" s="3228"/>
      <c r="H3" s="3228" t="s">
        <v>2035</v>
      </c>
      <c r="I3" s="3228"/>
      <c r="J3" s="3228"/>
      <c r="K3" s="3234" t="s">
        <v>2036</v>
      </c>
      <c r="L3" s="3234" t="s">
        <v>2037</v>
      </c>
      <c r="M3" s="3233" t="s">
        <v>2735</v>
      </c>
      <c r="N3" s="3235" t="str">
        <f>"（分摊）"&amp;项目基本情况!B16&amp;"国有建设用地使用权面积/㎡"</f>
        <v>（分摊）出让国有建设用地使用权面积/㎡</v>
      </c>
      <c r="O3" s="3233" t="s">
        <v>2066</v>
      </c>
      <c r="P3" s="3234" t="s">
        <v>2046</v>
      </c>
      <c r="Q3" s="3234" t="s">
        <v>2067</v>
      </c>
      <c r="R3" s="3234" t="s">
        <v>2038</v>
      </c>
    </row>
    <row r="4" spans="1:18" ht="36.75" customHeight="1">
      <c r="A4" s="3233"/>
      <c r="B4" s="3233"/>
      <c r="C4" s="3234"/>
      <c r="D4" s="3233"/>
      <c r="E4" s="2650" t="s">
        <v>2045</v>
      </c>
      <c r="F4" s="2650" t="s">
        <v>2747</v>
      </c>
      <c r="G4" s="2650" t="s">
        <v>2039</v>
      </c>
      <c r="H4" s="2650" t="s">
        <v>2040</v>
      </c>
      <c r="I4" s="2650" t="s">
        <v>2748</v>
      </c>
      <c r="J4" s="2650" t="s">
        <v>2039</v>
      </c>
      <c r="K4" s="3234"/>
      <c r="L4" s="3234"/>
      <c r="M4" s="3233"/>
      <c r="N4" s="3235"/>
      <c r="O4" s="3233"/>
      <c r="P4" s="3234"/>
      <c r="Q4" s="3234"/>
      <c r="R4" s="3234"/>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3" t="str">
        <f>结果表!O39</f>
        <v>——</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3"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6" t="s">
        <v>2068</v>
      </c>
      <c r="B1" s="3236"/>
      <c r="C1" s="3236"/>
      <c r="D1" s="3236"/>
    </row>
    <row r="2" spans="1:4" ht="47.25" customHeight="1">
      <c r="A2" s="3240" t="str">
        <f>"1.权利限制："&amp;项目基本情况!L24&amp;"未设定租赁等其他他项权利。"</f>
        <v>1.权利限制：根据估价对象《不动产权证书》原件、《国有土地使用权》复印件，截至估价期日，估价对象抵押权未见登记。未设定租赁等其他他项权利。</v>
      </c>
      <c r="B2" s="3240"/>
      <c r="C2" s="3240"/>
      <c r="D2" s="3240"/>
    </row>
    <row r="3" spans="1:4" ht="48" customHeight="1">
      <c r="A3" s="32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6"/>
      <c r="C3" s="3236"/>
      <c r="D3" s="3236"/>
    </row>
    <row r="4" spans="1:4" ht="36.75" customHeight="1">
      <c r="A4" s="3236" t="str">
        <f>"3.估价规划限制条件：详见"&amp;项目基本情况!E21&amp;"。"</f>
        <v>3.估价规划限制条件：详见《建设工程规划许可证》[]、《出让合同》[]。</v>
      </c>
      <c r="B4" s="3236"/>
      <c r="C4" s="3236"/>
      <c r="D4" s="3236"/>
    </row>
    <row r="5" spans="1:4">
      <c r="A5" s="3239" t="s">
        <v>2069</v>
      </c>
      <c r="B5" s="3239"/>
      <c r="C5" s="3239"/>
      <c r="D5" s="3239"/>
    </row>
    <row r="6" spans="1:4">
      <c r="A6" s="3236" t="s">
        <v>2047</v>
      </c>
      <c r="B6" s="3236"/>
      <c r="C6" s="3236"/>
      <c r="D6" s="3236"/>
    </row>
    <row r="7" spans="1:4" ht="33" customHeight="1">
      <c r="A7" s="3236" t="s">
        <v>2578</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6"/>
      <c r="C8" s="3236"/>
      <c r="D8" s="3236"/>
    </row>
    <row r="9" spans="1:4" ht="33.75" customHeight="1">
      <c r="A9" s="3236" t="str">
        <f>IF(项目基本情况!B8="抵押","3.抵押双方在办理抵押登记手续时，应使用本公司出具的正式《土地估价报告》，特提请报告使用者注意。","——")</f>
        <v>——</v>
      </c>
      <c r="B9" s="3236"/>
      <c r="C9" s="3236"/>
      <c r="D9" s="3236"/>
    </row>
    <row r="10" spans="1:4">
      <c r="A10" s="3236" t="str">
        <f>IF(项目基本情况!B8="抵押","4.估价师所知悉的法定优先受偿款情况为：","——")</f>
        <v>——</v>
      </c>
      <c r="B10" s="3236"/>
      <c r="C10" s="3236"/>
      <c r="D10" s="3236"/>
    </row>
    <row r="11" spans="1:4" ht="37.5" customHeight="1">
      <c r="A11" s="3238" t="str">
        <f>IF(项目基本情况!B8="抵押","（1）"&amp;CONCATENATE(项目基本情况!L24,项目基本情况!L25,项目基本情况!L26),"——")</f>
        <v>——</v>
      </c>
      <c r="B11" s="3238"/>
      <c r="C11" s="3238"/>
      <c r="D11" s="3238"/>
    </row>
    <row r="12" spans="1:4" ht="168" customHeight="1">
      <c r="A12" s="3239" t="s">
        <v>2071</v>
      </c>
      <c r="B12" s="3239"/>
      <c r="C12" s="3239"/>
      <c r="D12" s="3239"/>
    </row>
    <row r="13" spans="1:4">
      <c r="A13" s="3237" t="s">
        <v>2749</v>
      </c>
      <c r="B13" s="3237"/>
      <c r="C13" s="3237"/>
      <c r="D13" s="3237"/>
    </row>
    <row r="14" spans="1:4">
      <c r="A14" s="3238" t="str">
        <f>IF(项目基本情况!B8="抵押","综上，"&amp;结果表!K47,"——")</f>
        <v>——</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2705</v>
      </c>
      <c r="B17" s="3236"/>
      <c r="C17" s="3236"/>
      <c r="D17" s="3236"/>
    </row>
    <row r="18" spans="1:4">
      <c r="A18" s="3236" t="s">
        <v>2697</v>
      </c>
      <c r="B18" s="3236"/>
      <c r="C18" s="3236"/>
      <c r="D18" s="3236"/>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6" t="s">
        <v>2702</v>
      </c>
      <c r="B23" s="3236"/>
      <c r="C23" s="3236"/>
      <c r="D23" s="323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8" t="s">
        <v>53</v>
      </c>
      <c r="B15" s="3249" t="s">
        <v>846</v>
      </c>
      <c r="C15" s="3245"/>
    </row>
    <row r="16" spans="1:7" ht="14.25">
      <c r="A16" s="3248"/>
      <c r="B16" s="3246" t="s">
        <v>54</v>
      </c>
      <c r="C16" s="1172" t="s">
        <v>53</v>
      </c>
    </row>
    <row r="17" spans="1:3" ht="14.25">
      <c r="A17" s="3248"/>
      <c r="B17" s="3246"/>
      <c r="C17" s="1172" t="s">
        <v>55</v>
      </c>
    </row>
    <row r="18" spans="1:3" ht="14.25">
      <c r="A18" s="3248"/>
      <c r="B18" s="3246"/>
      <c r="C18" s="1172" t="s">
        <v>56</v>
      </c>
    </row>
    <row r="19" spans="1:3" ht="14.25">
      <c r="A19" s="3248"/>
      <c r="B19" s="3244" t="s">
        <v>57</v>
      </c>
      <c r="C19" s="3245"/>
    </row>
    <row r="20" spans="1:3" ht="14.25">
      <c r="A20" s="1173" t="s">
        <v>58</v>
      </c>
      <c r="B20" s="1174"/>
      <c r="C20" s="1175"/>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6" t="s">
        <v>837</v>
      </c>
    </row>
    <row r="25" spans="1:3" ht="14.25">
      <c r="A25" s="3247"/>
      <c r="B25" s="3251"/>
      <c r="C25" s="1176" t="s">
        <v>838</v>
      </c>
    </row>
    <row r="26" spans="1:3" ht="14.25">
      <c r="A26" s="3247"/>
      <c r="B26" s="3251"/>
      <c r="C26" s="1176" t="s">
        <v>839</v>
      </c>
    </row>
    <row r="27" spans="1:3" ht="14.25">
      <c r="A27" s="3247"/>
      <c r="B27" s="3251"/>
      <c r="C27" s="1176" t="s">
        <v>840</v>
      </c>
    </row>
    <row r="28" spans="1:3" ht="14.25">
      <c r="A28" s="3247"/>
      <c r="B28" s="3251"/>
      <c r="C28" s="1176" t="s">
        <v>841</v>
      </c>
    </row>
    <row r="29" spans="1:3" ht="14.25">
      <c r="A29" s="3247"/>
      <c r="B29" s="3251"/>
      <c r="C29" s="1176" t="s">
        <v>842</v>
      </c>
    </row>
    <row r="30" spans="1:3" ht="14.25">
      <c r="A30" s="3247"/>
      <c r="B30" s="3251"/>
      <c r="C30" s="1176" t="s">
        <v>843</v>
      </c>
    </row>
    <row r="31" spans="1:3" ht="14.25">
      <c r="A31" s="3247"/>
      <c r="B31" s="3251"/>
      <c r="C31" s="1176" t="s">
        <v>844</v>
      </c>
    </row>
    <row r="32" spans="1:3" ht="14.25">
      <c r="A32" s="3247"/>
      <c r="B32" s="3251"/>
      <c r="C32" s="1176" t="s">
        <v>1647</v>
      </c>
    </row>
    <row r="33" spans="1:3" ht="14.25">
      <c r="A33" s="3247"/>
      <c r="B33" s="3241" t="s">
        <v>1653</v>
      </c>
      <c r="C33" s="1176" t="s">
        <v>1648</v>
      </c>
    </row>
    <row r="34" spans="1:3" ht="14.25">
      <c r="A34" s="3247"/>
      <c r="B34" s="3242"/>
      <c r="C34" s="1181" t="s">
        <v>1649</v>
      </c>
    </row>
    <row r="35" spans="1:3" ht="14.25">
      <c r="A35" s="3247"/>
      <c r="B35" s="3242"/>
      <c r="C35" s="1182" t="s">
        <v>1650</v>
      </c>
    </row>
    <row r="36" spans="1:3" ht="14.25">
      <c r="A36" s="3247"/>
      <c r="B36" s="3242"/>
      <c r="C36" s="1182" t="s">
        <v>1651</v>
      </c>
    </row>
    <row r="37" spans="1:3" ht="14.25">
      <c r="A37" s="3247"/>
      <c r="B37" s="324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43332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3028</v>
      </c>
      <c r="C21" s="1554"/>
    </row>
    <row r="22" spans="1:3">
      <c r="A22" s="8" t="s">
        <v>123</v>
      </c>
      <c r="B22" s="3114" t="s">
        <v>3032</v>
      </c>
      <c r="C22" s="1554"/>
    </row>
    <row r="23" spans="1:3">
      <c r="A23" s="8" t="s">
        <v>124</v>
      </c>
      <c r="B23" s="8" t="s">
        <v>3149</v>
      </c>
      <c r="C23" s="1554"/>
    </row>
    <row r="24" spans="1:3">
      <c r="A24" s="8" t="s">
        <v>12</v>
      </c>
      <c r="B24" s="8" t="s">
        <v>3150</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5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5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2018-08-20T08:51:00Z</cp:lastPrinted>
  <dcterms:created xsi:type="dcterms:W3CDTF">2015-07-13T07:17:23Z</dcterms:created>
  <dcterms:modified xsi:type="dcterms:W3CDTF">2018-08-20T08:51:55Z</dcterms:modified>
</cp:coreProperties>
</file>