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57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明细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土地案例" sheetId="77"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4" i="9" l="1"/>
  <c r="E9" i="78"/>
  <c r="J18" i="78"/>
  <c r="J17" i="78" l="1"/>
  <c r="J16" i="78"/>
  <c r="J15" i="78"/>
  <c r="J14" i="78"/>
  <c r="J13" i="78"/>
  <c r="H18" i="78"/>
  <c r="I7" i="6" l="1"/>
  <c r="C10" i="40"/>
  <c r="D109" i="40"/>
  <c r="E109" i="40" s="1"/>
  <c r="F109" i="40" s="1"/>
  <c r="G109" i="40" s="1"/>
  <c r="H109" i="40" s="1"/>
  <c r="I109" i="40" s="1"/>
  <c r="D108" i="40"/>
  <c r="E108" i="40" s="1"/>
  <c r="F108" i="40" s="1"/>
  <c r="G108" i="40" s="1"/>
  <c r="H108" i="40" s="1"/>
  <c r="I108" i="40" s="1"/>
  <c r="I34" i="40"/>
  <c r="G34" i="40"/>
  <c r="E34" i="40"/>
  <c r="I41" i="40"/>
  <c r="G41" i="40"/>
  <c r="E41" i="40"/>
  <c r="I7" i="40"/>
  <c r="G7" i="40"/>
  <c r="E7" i="40"/>
  <c r="I5" i="40"/>
  <c r="G5" i="40"/>
  <c r="E5" i="40"/>
  <c r="C5" i="40"/>
  <c r="H15" i="78"/>
  <c r="H14" i="78"/>
  <c r="I13" i="3" l="1"/>
  <c r="F19" i="6" s="1"/>
  <c r="D7" i="78"/>
  <c r="U6" i="1" s="1"/>
  <c r="D18" i="78"/>
  <c r="L6" i="1" s="1"/>
  <c r="G17" i="78"/>
  <c r="G16" i="78"/>
  <c r="G13" i="78"/>
  <c r="N6" i="1" s="1"/>
  <c r="Y6" i="1" s="1"/>
  <c r="G14" i="78"/>
  <c r="B5" i="78"/>
  <c r="C5" i="78" s="1"/>
  <c r="B4" i="78"/>
  <c r="A3" i="3" s="1"/>
  <c r="D3" i="78"/>
  <c r="D2" i="78"/>
  <c r="G15" i="78" l="1"/>
  <c r="D4" i="78"/>
  <c r="C4" i="78"/>
  <c r="C11" i="40" s="1"/>
  <c r="D3" i="4" l="1"/>
  <c r="AV3" i="77"/>
  <c r="AV4" i="77"/>
  <c r="AV5" i="77"/>
  <c r="AV6" i="77"/>
  <c r="AV7" i="77"/>
  <c r="AV8" i="77"/>
  <c r="AV9" i="77"/>
  <c r="AV10" i="77"/>
  <c r="AV11" i="77"/>
  <c r="AV12" i="77"/>
  <c r="AV13" i="77"/>
  <c r="AV14" i="77"/>
  <c r="AV15" i="77"/>
  <c r="AV16" i="77"/>
  <c r="AV17" i="77"/>
  <c r="AV18" i="77"/>
  <c r="AV19" i="77"/>
  <c r="AV20" i="77"/>
  <c r="AV21" i="77"/>
  <c r="AV22" i="77"/>
  <c r="AV23" i="77"/>
  <c r="AV24" i="77"/>
  <c r="AV25" i="77"/>
  <c r="AV26" i="77"/>
  <c r="AV27" i="77"/>
  <c r="AV28" i="77"/>
  <c r="AV29" i="77"/>
  <c r="AV30" i="77"/>
  <c r="AV31" i="77"/>
  <c r="AV32" i="77"/>
  <c r="AV33" i="77"/>
  <c r="AV34" i="77"/>
  <c r="AV35" i="77"/>
  <c r="AV36" i="77"/>
  <c r="AV37" i="77"/>
  <c r="AV38" i="77"/>
  <c r="AV39" i="77"/>
  <c r="AV40" i="77"/>
  <c r="AV41" i="77"/>
  <c r="AV42" i="77"/>
  <c r="AV43" i="77"/>
  <c r="AV44" i="77"/>
  <c r="AV45" i="77"/>
  <c r="AV46" i="77"/>
  <c r="AV47" i="77"/>
  <c r="AV48" i="77"/>
  <c r="AV49" i="77"/>
  <c r="AV50" i="77"/>
  <c r="AV51" i="77"/>
  <c r="AV2" i="77"/>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B19" i="72" s="1"/>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23" i="40"/>
  <c r="AB23" i="40" s="1"/>
  <c r="H17" i="40"/>
  <c r="U17" i="40" s="1"/>
  <c r="J15" i="40"/>
  <c r="W1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4" i="52"/>
  <c r="B41" i="72" s="1"/>
  <c r="J11" i="39"/>
  <c r="W11" i="39"/>
  <c r="F11" i="39"/>
  <c r="AA11" i="39"/>
  <c r="S11" i="39"/>
  <c r="G4" i="4"/>
  <c r="I4" i="4"/>
  <c r="K5" i="4" s="1"/>
  <c r="B47" i="48" s="1"/>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W38" i="40"/>
  <c r="AA32" i="40"/>
  <c r="S17" i="40"/>
  <c r="S23" i="40"/>
  <c r="AC17" i="40"/>
  <c r="AC15" i="40"/>
  <c r="AB27" i="40"/>
  <c r="S30"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BL17" i="3"/>
  <c r="AZ17" i="3"/>
  <c r="BL13" i="3"/>
  <c r="G30" i="6"/>
  <c r="G31" i="6"/>
  <c r="J56" i="9"/>
  <c r="J57" i="9" s="1"/>
  <c r="J59" i="9" s="1"/>
  <c r="J61" i="9" s="1"/>
  <c r="A24" i="51"/>
  <c r="B18" i="72"/>
  <c r="U29" i="34"/>
  <c r="E5" i="6"/>
  <c r="D9" i="11" s="1"/>
  <c r="C9" i="11" s="1"/>
  <c r="E32" i="6"/>
  <c r="L19" i="6"/>
  <c r="G1" i="68"/>
  <c r="K1" i="12"/>
  <c r="F30" i="6"/>
  <c r="E28" i="6"/>
  <c r="AR12" i="1"/>
  <c r="T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C48" i="35"/>
  <c r="D48" i="35" s="1"/>
  <c r="C4" i="12"/>
  <c r="H66" i="43"/>
  <c r="H65" i="43"/>
  <c r="H64" i="43"/>
  <c r="H63" i="43"/>
  <c r="H55" i="43"/>
  <c r="H56" i="43"/>
  <c r="H72" i="43"/>
  <c r="L20" i="6"/>
  <c r="B6" i="1"/>
  <c r="E6" i="1"/>
  <c r="S8" i="1"/>
  <c r="K11" i="1"/>
  <c r="M11" i="1" s="1"/>
  <c r="AP6" i="1"/>
  <c r="B9" i="1"/>
  <c r="E9" i="1"/>
  <c r="K7" i="1"/>
  <c r="M7" i="1" s="1"/>
  <c r="G1" i="15"/>
  <c r="G1" i="69"/>
  <c r="G1" i="67"/>
  <c r="W23" i="40"/>
  <c r="U32" i="40"/>
  <c r="S37" i="40"/>
  <c r="AB28" i="40"/>
  <c r="W28" i="40"/>
  <c r="W19" i="40"/>
  <c r="W27" i="40"/>
  <c r="W37" i="40"/>
  <c r="AC14" i="40"/>
  <c r="S33" i="40"/>
  <c r="AA15" i="40"/>
  <c r="U11" i="40"/>
  <c r="S31"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T11" i="1"/>
  <c r="D9" i="69"/>
  <c r="C9" i="69" s="1"/>
  <c r="D19" i="12"/>
  <c r="C19" i="12" s="1"/>
  <c r="E30" i="6"/>
  <c r="K15" i="1"/>
  <c r="T13" i="1"/>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01" i="3"/>
  <c r="E97" i="3"/>
  <c r="E151" i="3"/>
  <c r="K14" i="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G17" i="43"/>
  <c r="C16" i="43"/>
  <c r="D5" i="43"/>
  <c r="C5" i="43"/>
  <c r="E68" i="39"/>
  <c r="F68" i="39" s="1"/>
  <c r="V15" i="71"/>
  <c r="C15" i="71"/>
  <c r="D16" i="71"/>
  <c r="E41" i="43"/>
  <c r="C41" i="43"/>
  <c r="I59" i="34"/>
  <c r="J59" i="34" s="1"/>
  <c r="D13" i="71"/>
  <c r="T15" i="71"/>
  <c r="D14" i="71"/>
  <c r="D15" i="71"/>
  <c r="U15" i="71"/>
  <c r="F16" i="15"/>
  <c r="M24" i="15"/>
  <c r="L47" i="67"/>
  <c r="F6" i="67"/>
  <c r="F8" i="67"/>
  <c r="M28" i="67"/>
  <c r="D2" i="35"/>
  <c r="F3" i="73"/>
  <c r="F26" i="15"/>
  <c r="M27" i="67"/>
  <c r="E2" i="68"/>
  <c r="E12" i="76"/>
  <c r="J15" i="67"/>
  <c r="F43" i="67"/>
  <c r="D2" i="37"/>
  <c r="F4" i="73"/>
  <c r="D6" i="73"/>
  <c r="M29" i="67"/>
  <c r="F6" i="73"/>
  <c r="L48" i="15"/>
  <c r="M24" i="67"/>
  <c r="E13" i="76"/>
  <c r="M8" i="15"/>
  <c r="F8" i="15"/>
  <c r="B12" i="76"/>
  <c r="E11" i="76"/>
  <c r="F5" i="73"/>
  <c r="B10" i="76"/>
  <c r="F43" i="15"/>
  <c r="M22" i="67"/>
  <c r="AO12" i="1"/>
  <c r="F37" i="67"/>
  <c r="AO9" i="1"/>
  <c r="F7" i="73"/>
  <c r="L48" i="67"/>
  <c r="AO7" i="1"/>
  <c r="F9" i="15"/>
  <c r="D2" i="36"/>
  <c r="F7" i="67"/>
  <c r="E8" i="76"/>
  <c r="M26" i="67"/>
  <c r="D7" i="73"/>
  <c r="B9" i="76"/>
  <c r="F13" i="67"/>
  <c r="C76" i="15"/>
  <c r="M8" i="67"/>
  <c r="D2" i="33"/>
  <c r="M26" i="15"/>
  <c r="F20" i="31"/>
  <c r="M9" i="67"/>
  <c r="B7" i="76"/>
  <c r="AO8" i="1"/>
  <c r="M6" i="67"/>
  <c r="AO10" i="1"/>
  <c r="F36" i="67"/>
  <c r="C76" i="67"/>
  <c r="D2" i="34"/>
  <c r="M27" i="15"/>
  <c r="F42" i="67"/>
  <c r="F6" i="15"/>
  <c r="E2" i="69"/>
  <c r="E9" i="76"/>
  <c r="M21" i="67"/>
  <c r="D4" i="73"/>
  <c r="M9" i="15"/>
  <c r="F26" i="67"/>
  <c r="F41" i="67"/>
  <c r="F7" i="15"/>
  <c r="M22" i="15"/>
  <c r="M23" i="67"/>
  <c r="F13" i="15"/>
  <c r="B8" i="76"/>
  <c r="B13" i="76"/>
  <c r="J15" i="15"/>
  <c r="F35" i="67"/>
  <c r="F37" i="15"/>
  <c r="F40" i="15"/>
  <c r="F38" i="15"/>
  <c r="D3" i="73"/>
  <c r="F42" i="15"/>
  <c r="F16" i="67"/>
  <c r="F38" i="67"/>
  <c r="F36" i="15"/>
  <c r="AO11" i="1"/>
  <c r="AO13" i="1"/>
  <c r="D5" i="73"/>
  <c r="F9" i="67"/>
  <c r="F40" i="67"/>
  <c r="B11" i="76"/>
  <c r="L47" i="15"/>
  <c r="E7" i="76"/>
  <c r="M6" i="15"/>
  <c r="M23" i="15"/>
  <c r="E10" i="76"/>
  <c r="D2" i="21"/>
  <c r="M29" i="15"/>
  <c r="M28" i="15"/>
  <c r="C36" i="69" l="1"/>
  <c r="E15" i="6"/>
  <c r="S21" i="40"/>
  <c r="W25" i="40"/>
  <c r="U25" i="40"/>
  <c r="S25" i="40"/>
  <c r="U23" i="40"/>
  <c r="AA27" i="40"/>
  <c r="AC21" i="40"/>
  <c r="AA19" i="40"/>
  <c r="U13" i="40"/>
  <c r="AB13" i="40"/>
  <c r="AA12" i="40"/>
  <c r="F13" i="40"/>
  <c r="J13" i="40"/>
  <c r="AC32" i="40"/>
  <c r="W32" i="40"/>
  <c r="W30" i="40"/>
  <c r="AB31" i="40"/>
  <c r="AB33" i="40"/>
  <c r="F36" i="40"/>
  <c r="J36" i="40"/>
  <c r="F113" i="40"/>
  <c r="G113" i="40" s="1"/>
  <c r="H113" i="40" s="1"/>
  <c r="I113" i="40" s="1"/>
  <c r="J113" i="40" s="1"/>
  <c r="K113" i="40" s="1"/>
  <c r="L113" i="40" s="1"/>
  <c r="M113" i="40" s="1"/>
  <c r="H36" i="40"/>
  <c r="U35" i="40"/>
  <c r="AC11" i="40"/>
  <c r="U9" i="40"/>
  <c r="AA9" i="40"/>
  <c r="A2" i="9"/>
  <c r="A118" i="9"/>
  <c r="C21" i="69"/>
  <c r="F30" i="69"/>
  <c r="F48" i="69" s="1"/>
  <c r="D68" i="9"/>
  <c r="M18" i="15"/>
  <c r="F52" i="9"/>
  <c r="C30" i="11"/>
  <c r="F32" i="15"/>
  <c r="F60" i="15" s="1"/>
  <c r="F32" i="67"/>
  <c r="F60" i="67" s="1"/>
  <c r="F28" i="67"/>
  <c r="C28" i="67" s="1"/>
  <c r="F48" i="9"/>
  <c r="O52" i="9" s="1"/>
  <c r="C24" i="12"/>
  <c r="C30" i="69"/>
  <c r="C36" i="11"/>
  <c r="F54" i="9"/>
  <c r="F28" i="15"/>
  <c r="C28" i="15" s="1"/>
  <c r="C48" i="69"/>
  <c r="M18" i="67"/>
  <c r="F31" i="12"/>
  <c r="C31" i="12" s="1"/>
  <c r="F30" i="68"/>
  <c r="C94" i="9"/>
  <c r="C92" i="9"/>
  <c r="D22" i="67"/>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F27" i="6"/>
  <c r="F31" i="6" s="1"/>
  <c r="E51" i="40"/>
  <c r="E27" i="6"/>
  <c r="K26" i="6" s="1"/>
  <c r="M26" i="6" s="1"/>
  <c r="I26" i="6" s="1"/>
  <c r="S26" i="6" s="1"/>
  <c r="AY6" i="3"/>
  <c r="AY103" i="3" s="1"/>
  <c r="C34" i="69"/>
  <c r="C35" i="69" s="1"/>
  <c r="E12" i="6"/>
  <c r="E62" i="39" s="1"/>
  <c r="O7" i="1"/>
  <c r="P7" i="1" s="1"/>
  <c r="E57" i="40"/>
  <c r="K25" i="6"/>
  <c r="M25" i="6" s="1"/>
  <c r="I25" i="6" s="1"/>
  <c r="S25" i="6" s="1"/>
  <c r="AR11" i="1"/>
  <c r="E56" i="39"/>
  <c r="AR10" i="1"/>
  <c r="P10" i="1"/>
  <c r="E14" i="6"/>
  <c r="E11" i="6"/>
  <c r="E13" i="6"/>
  <c r="M14" i="1"/>
  <c r="K16" i="1"/>
  <c r="B29" i="1" s="1"/>
  <c r="C8" i="68" s="1"/>
  <c r="AY98" i="3"/>
  <c r="AY82" i="3"/>
  <c r="AY18" i="3"/>
  <c r="AY191" i="3"/>
  <c r="AY171" i="3"/>
  <c r="AY132" i="3"/>
  <c r="AY90" i="3"/>
  <c r="AY31" i="3"/>
  <c r="AY163" i="3"/>
  <c r="AY292" i="3"/>
  <c r="AY75" i="3"/>
  <c r="AY147" i="3"/>
  <c r="AY237" i="3"/>
  <c r="AY220" i="3"/>
  <c r="AY387" i="3"/>
  <c r="AY350" i="3"/>
  <c r="AY334" i="3"/>
  <c r="AY486" i="3"/>
  <c r="AY66" i="3"/>
  <c r="AY176" i="3"/>
  <c r="AY115" i="3"/>
  <c r="AY188" i="3"/>
  <c r="AY276" i="3"/>
  <c r="AY297" i="3"/>
  <c r="AY225" i="3"/>
  <c r="AY335" i="3"/>
  <c r="AY470" i="3"/>
  <c r="AY428" i="3"/>
  <c r="AY409" i="3"/>
  <c r="AY106" i="3"/>
  <c r="AY180" i="3"/>
  <c r="AY245" i="3"/>
  <c r="AY228" i="3"/>
  <c r="AY395" i="3"/>
  <c r="AY358" i="3"/>
  <c r="AY342" i="3"/>
  <c r="AY465" i="3"/>
  <c r="AY452" i="3"/>
  <c r="AY433" i="3"/>
  <c r="AY513" i="3"/>
  <c r="BK6" i="3"/>
  <c r="AY569" i="3"/>
  <c r="AY541" i="3"/>
  <c r="AY553" i="3"/>
  <c r="AY108" i="3"/>
  <c r="AY77" i="3"/>
  <c r="AY45"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Q7" i="1"/>
  <c r="T7" i="1"/>
  <c r="O9" i="1"/>
  <c r="P9" i="1"/>
  <c r="E3" i="6"/>
  <c r="O11" i="1"/>
  <c r="P11" i="1" s="1"/>
  <c r="O12" i="1"/>
  <c r="P12" i="1" s="1"/>
  <c r="O8" i="1"/>
  <c r="H16" i="1"/>
  <c r="Q16" i="1"/>
  <c r="K22" i="6"/>
  <c r="M22" i="6" s="1"/>
  <c r="I22" i="6" s="1"/>
  <c r="E31" i="6"/>
  <c r="T9" i="1"/>
  <c r="AQ9"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c r="B14" i="72" s="1"/>
  <c r="D12" i="52"/>
  <c r="D127" i="9"/>
  <c r="D13" i="52" s="1"/>
  <c r="E70" i="39"/>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T11" i="43"/>
  <c r="V11" i="43" s="1"/>
  <c r="T12" i="43"/>
  <c r="V12" i="43" s="1"/>
  <c r="Y11" i="71"/>
  <c r="Z11" i="71" s="1"/>
  <c r="Y10" i="71"/>
  <c r="Z10" i="71" s="1"/>
  <c r="AA11" i="71"/>
  <c r="AB3" i="71"/>
  <c r="C35" i="43"/>
  <c r="E35" i="43" s="1"/>
  <c r="C36" i="43"/>
  <c r="E36" i="43" s="1"/>
  <c r="T9" i="43"/>
  <c r="V9" i="43" s="1"/>
  <c r="C39" i="43"/>
  <c r="C37" i="43"/>
  <c r="E37" i="43" s="1"/>
  <c r="B11" i="71"/>
  <c r="B10" i="71" s="1"/>
  <c r="B9" i="71" s="1"/>
  <c r="B8" i="71" s="1"/>
  <c r="B7" i="71" s="1"/>
  <c r="B6" i="71" s="1"/>
  <c r="B5" i="71" s="1"/>
  <c r="X11" i="71"/>
  <c r="AB11" i="71"/>
  <c r="T15" i="43"/>
  <c r="V15" i="43" s="1"/>
  <c r="Y3" i="71"/>
  <c r="Z3" i="71" s="1"/>
  <c r="D11" i="71"/>
  <c r="F11" i="71"/>
  <c r="F10" i="71" s="1"/>
  <c r="F9" i="71" s="1"/>
  <c r="F8" i="71" s="1"/>
  <c r="F7" i="71" s="1"/>
  <c r="F6" i="71" s="1"/>
  <c r="F5" i="71" s="1"/>
  <c r="AF3" i="71"/>
  <c r="P22" i="43" s="1"/>
  <c r="C34" i="43"/>
  <c r="T10" i="43"/>
  <c r="V10" i="43" s="1"/>
  <c r="C33" i="43"/>
  <c r="T16" i="43"/>
  <c r="V16" i="43" s="1"/>
  <c r="T13" i="43"/>
  <c r="V13" i="43" s="1"/>
  <c r="T8" i="43"/>
  <c r="V8"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4" i="67"/>
  <c r="G1" i="73"/>
  <c r="C16" i="67"/>
  <c r="C14" i="15"/>
  <c r="C17" i="15"/>
  <c r="C17" i="67"/>
  <c r="C38" i="69" l="1"/>
  <c r="K21" i="6"/>
  <c r="M21" i="6" s="1"/>
  <c r="I21" i="6" s="1"/>
  <c r="H6" i="3"/>
  <c r="E60" i="40"/>
  <c r="E65" i="39"/>
  <c r="AY76" i="3"/>
  <c r="AY61" i="3"/>
  <c r="AY92" i="3"/>
  <c r="AY97" i="3"/>
  <c r="BE6" i="3"/>
  <c r="AY533" i="3"/>
  <c r="AY544" i="3"/>
  <c r="AY549" i="3"/>
  <c r="AY401" i="3"/>
  <c r="AY420" i="3"/>
  <c r="AY463" i="3"/>
  <c r="AY310" i="3"/>
  <c r="AY327" i="3"/>
  <c r="AY372" i="3"/>
  <c r="AY217" i="3"/>
  <c r="AY260" i="3"/>
  <c r="AY300" i="3"/>
  <c r="AY26" i="3"/>
  <c r="AY529" i="3"/>
  <c r="AY441" i="3"/>
  <c r="AY460" i="3"/>
  <c r="AY318" i="3"/>
  <c r="AY371" i="3"/>
  <c r="AY268" i="3"/>
  <c r="AY58" i="3"/>
  <c r="AY131" i="3"/>
  <c r="AY59" i="3"/>
  <c r="AY155" i="3"/>
  <c r="AY23" i="3"/>
  <c r="AY83" i="3"/>
  <c r="AY489" i="3"/>
  <c r="AY319" i="3"/>
  <c r="AY363" i="3"/>
  <c r="AY209" i="3"/>
  <c r="AY252" i="3"/>
  <c r="AY284" i="3"/>
  <c r="AY204" i="3"/>
  <c r="AY261" i="3"/>
  <c r="AY123" i="3"/>
  <c r="AY183" i="3"/>
  <c r="AY74" i="3"/>
  <c r="AY289" i="3"/>
  <c r="AY139" i="3"/>
  <c r="AY160" i="3"/>
  <c r="AY196" i="3"/>
  <c r="AY50" i="3"/>
  <c r="AY67" i="3"/>
  <c r="S13" i="40"/>
  <c r="AA13" i="40"/>
  <c r="AC13" i="40"/>
  <c r="W13" i="40"/>
  <c r="AB36" i="40"/>
  <c r="U36" i="40"/>
  <c r="W36" i="40"/>
  <c r="AC36" i="40"/>
  <c r="AA36" i="40"/>
  <c r="S36" i="40"/>
  <c r="F48" i="68"/>
  <c r="C30" i="68"/>
  <c r="C48" i="68"/>
  <c r="C18" i="15"/>
  <c r="C15" i="15"/>
  <c r="H10" i="39"/>
  <c r="U10" i="39" s="1"/>
  <c r="AY87" i="3"/>
  <c r="AY34" i="3"/>
  <c r="AY144" i="3"/>
  <c r="AY95" i="3"/>
  <c r="AY152" i="3"/>
  <c r="AY111" i="3"/>
  <c r="AY253" i="3"/>
  <c r="AY382" i="3"/>
  <c r="AY303"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112" i="3"/>
  <c r="AY81" i="3"/>
  <c r="AY49" i="3"/>
  <c r="AY207" i="3"/>
  <c r="AY42" i="3"/>
  <c r="AY168" i="3"/>
  <c r="AY366"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01" i="3"/>
  <c r="AY65"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 i="3"/>
  <c r="AY124" i="3"/>
  <c r="AY281" i="3"/>
  <c r="AY236" i="3"/>
  <c r="AY473"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J10" i="40"/>
  <c r="W10" i="40" s="1"/>
  <c r="K20" i="6"/>
  <c r="M20" i="6" s="1"/>
  <c r="I20" i="6" s="1"/>
  <c r="S20" i="6" s="1"/>
  <c r="K19" i="6"/>
  <c r="S6" i="1" s="1"/>
  <c r="K24" i="6"/>
  <c r="M24" i="6" s="1"/>
  <c r="I24" i="6" s="1"/>
  <c r="S24" i="6" s="1"/>
  <c r="K23" i="6"/>
  <c r="M23" i="6" s="1"/>
  <c r="I23" i="6" s="1"/>
  <c r="S23" i="6" s="1"/>
  <c r="E63" i="39"/>
  <c r="E58" i="40"/>
  <c r="E64" i="39"/>
  <c r="E59" i="40"/>
  <c r="E56" i="40"/>
  <c r="E61" i="39"/>
  <c r="E16" i="6"/>
  <c r="S21" i="6"/>
  <c r="F27" i="68"/>
  <c r="F27" i="69"/>
  <c r="F28" i="12"/>
  <c r="C29" i="12" s="1"/>
  <c r="D28" i="12" s="1"/>
  <c r="F27" i="11"/>
  <c r="O14" i="1"/>
  <c r="P14" i="1" s="1"/>
  <c r="M16" i="1"/>
  <c r="J10" i="39"/>
  <c r="AC10" i="39" s="1"/>
  <c r="F10" i="40"/>
  <c r="AA10" i="40" s="1"/>
  <c r="S22" i="6"/>
  <c r="P8" i="1"/>
  <c r="D3" i="34"/>
  <c r="D3" i="33"/>
  <c r="E6" i="6"/>
  <c r="D37" i="11"/>
  <c r="C37" i="11" s="1"/>
  <c r="D14" i="12"/>
  <c r="M18" i="9"/>
  <c r="B118" i="9" s="1"/>
  <c r="B14" i="74" s="1"/>
  <c r="B1" i="74" s="1"/>
  <c r="C17" i="4"/>
  <c r="L18" i="9"/>
  <c r="D19" i="6"/>
  <c r="D8" i="6"/>
  <c r="D14" i="6"/>
  <c r="D10" i="6"/>
  <c r="H25" i="6"/>
  <c r="H26" i="6"/>
  <c r="D3" i="21"/>
  <c r="D19" i="11"/>
  <c r="C19" i="11" s="1"/>
  <c r="D3" i="37"/>
  <c r="D25" i="6"/>
  <c r="D22" i="6"/>
  <c r="D24" i="6"/>
  <c r="D5" i="6"/>
  <c r="D11" i="6"/>
  <c r="D28" i="6"/>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4" i="43"/>
  <c r="D107" i="43"/>
  <c r="D103" i="43"/>
  <c r="D106" i="43"/>
  <c r="D102" i="43"/>
  <c r="D22" i="43"/>
  <c r="F107" i="43"/>
  <c r="F106" i="43"/>
  <c r="F103" i="43"/>
  <c r="F109" i="43"/>
  <c r="F104" i="43"/>
  <c r="F102" i="43"/>
  <c r="F105" i="43"/>
  <c r="H10" i="40"/>
  <c r="AB10" i="40" s="1"/>
  <c r="G36" i="43"/>
  <c r="I36" i="43" s="1"/>
  <c r="F59" i="67"/>
  <c r="G35" i="43"/>
  <c r="I35" i="43" s="1"/>
  <c r="G70" i="39"/>
  <c r="H68" i="39"/>
  <c r="H7" i="37"/>
  <c r="AB7" i="37" s="1"/>
  <c r="T42" i="37" s="1"/>
  <c r="G42" i="37" s="1"/>
  <c r="B40" i="1"/>
  <c r="W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S10" i="40"/>
  <c r="F7" i="33"/>
  <c r="E58" i="21"/>
  <c r="AC7" i="36"/>
  <c r="V36" i="36" s="1"/>
  <c r="I36" i="36" s="1"/>
  <c r="W7" i="36"/>
  <c r="F7" i="37"/>
  <c r="W7" i="34"/>
  <c r="AC7" i="34"/>
  <c r="V49" i="34" s="1"/>
  <c r="I49" i="34" s="1"/>
  <c r="G37" i="43"/>
  <c r="I37" i="43" s="1"/>
  <c r="D9" i="71"/>
  <c r="C8"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B10" i="39" l="1"/>
  <c r="U10" i="40"/>
  <c r="H24" i="6"/>
  <c r="D13" i="6"/>
  <c r="D16" i="6" s="1"/>
  <c r="D12" i="6"/>
  <c r="D20" i="6"/>
  <c r="D21" i="6"/>
  <c r="D15" i="6"/>
  <c r="H23" i="6"/>
  <c r="D29" i="6"/>
  <c r="D30" i="6" s="1"/>
  <c r="D9" i="6"/>
  <c r="D23" i="6"/>
  <c r="D26" i="6"/>
  <c r="H20" i="6"/>
  <c r="H22" i="6"/>
  <c r="H21" i="6"/>
  <c r="J34" i="40"/>
  <c r="F34" i="40"/>
  <c r="H34" i="40"/>
  <c r="C19" i="15"/>
  <c r="C20" i="15" s="1"/>
  <c r="C26" i="15" s="1"/>
  <c r="AQ6" i="1"/>
  <c r="T6" i="1"/>
  <c r="T16" i="1" s="1"/>
  <c r="AR6" i="1"/>
  <c r="S16" i="1"/>
  <c r="R25" i="6"/>
  <c r="C18" i="4"/>
  <c r="C4" i="52" s="1"/>
  <c r="B45" i="72" s="1"/>
  <c r="L19" i="9"/>
  <c r="M19" i="9"/>
  <c r="C118" i="9" s="1"/>
  <c r="C14" i="74" s="1"/>
  <c r="B2" i="74" s="1"/>
  <c r="E61" i="40"/>
  <c r="R24" i="6"/>
  <c r="E66" i="39"/>
  <c r="K27" i="6"/>
  <c r="M19" i="6"/>
  <c r="R22" i="6"/>
  <c r="C8" i="74"/>
  <c r="C7" i="74"/>
  <c r="P16" i="1"/>
  <c r="C11" i="12" s="1"/>
  <c r="O16" i="1"/>
  <c r="C29" i="68"/>
  <c r="D27" i="68" s="1"/>
  <c r="F45" i="68"/>
  <c r="C47" i="68"/>
  <c r="D45" i="68" s="1"/>
  <c r="C20" i="11"/>
  <c r="C28" i="11" s="1"/>
  <c r="C27" i="11" s="1"/>
  <c r="R23" i="6"/>
  <c r="R26" i="6"/>
  <c r="B4" i="52"/>
  <c r="B43" i="72" s="1"/>
  <c r="A10" i="51"/>
  <c r="B9" i="72" s="1"/>
  <c r="D17" i="12"/>
  <c r="C17" i="12" s="1"/>
  <c r="C14" i="12"/>
  <c r="D10" i="68"/>
  <c r="D6" i="6"/>
  <c r="D10" i="11"/>
  <c r="C10" i="11" s="1"/>
  <c r="D20" i="12"/>
  <c r="C20" i="12" s="1"/>
  <c r="C18" i="12" s="1"/>
  <c r="D10" i="69"/>
  <c r="N16" i="1"/>
  <c r="L16" i="1"/>
  <c r="C34" i="68"/>
  <c r="C34" i="11"/>
  <c r="C47" i="11"/>
  <c r="D45" i="11" s="1"/>
  <c r="C29" i="11"/>
  <c r="D27" i="11" s="1"/>
  <c r="C47" i="69"/>
  <c r="D45" i="69" s="1"/>
  <c r="F45" i="69"/>
  <c r="C29" i="69"/>
  <c r="D27" i="69"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R20" i="6"/>
  <c r="A7" i="51"/>
  <c r="B7" i="72" s="1"/>
  <c r="D27" i="6"/>
  <c r="D31" i="6" s="1"/>
  <c r="R21" i="6"/>
  <c r="AB34" i="40"/>
  <c r="U34" i="40"/>
  <c r="AC34" i="40"/>
  <c r="W34" i="40"/>
  <c r="AA34" i="40"/>
  <c r="S34" i="40"/>
  <c r="M27" i="6"/>
  <c r="I19" i="6"/>
  <c r="D7" i="74"/>
  <c r="D8" i="74"/>
  <c r="C35" i="68"/>
  <c r="C38" i="68"/>
  <c r="F50" i="11"/>
  <c r="F50" i="68"/>
  <c r="F50" i="69"/>
  <c r="C15" i="12"/>
  <c r="C12" i="12"/>
  <c r="I6" i="6"/>
  <c r="I5" i="6"/>
  <c r="C38" i="11"/>
  <c r="C35" i="11"/>
  <c r="C10" i="69"/>
  <c r="C8" i="69" s="1"/>
  <c r="C5" i="69" s="1"/>
  <c r="C23" i="69" s="1"/>
  <c r="D19" i="69"/>
  <c r="C10" i="68"/>
  <c r="D19" i="68"/>
  <c r="C30" i="43"/>
  <c r="E30" i="43" s="1"/>
  <c r="C27" i="43" s="1"/>
  <c r="E29" i="43"/>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S19" i="6" l="1"/>
  <c r="S27" i="6" s="1"/>
  <c r="H19" i="6"/>
  <c r="I27" i="6"/>
  <c r="C16" i="12"/>
  <c r="C21" i="12" s="1"/>
  <c r="C22" i="12" s="1"/>
  <c r="C30" i="12" s="1"/>
  <c r="C28" i="12" s="1"/>
  <c r="C19" i="68"/>
  <c r="D37" i="68"/>
  <c r="C37" i="68" s="1"/>
  <c r="C33" i="68" s="1"/>
  <c r="C19" i="69"/>
  <c r="C24" i="69" s="1"/>
  <c r="D37" i="69"/>
  <c r="C37" i="69" s="1"/>
  <c r="C33" i="69" s="1"/>
  <c r="C33" i="11"/>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H27" i="6" l="1"/>
  <c r="R19" i="6"/>
  <c r="C27" i="12"/>
  <c r="C25" i="12" s="1"/>
  <c r="C32" i="12" s="1"/>
  <c r="B2" i="12" s="1"/>
  <c r="B3" i="12" s="1"/>
  <c r="C39" i="69"/>
  <c r="C43" i="69" s="1"/>
  <c r="C42" i="69"/>
  <c r="C39" i="68"/>
  <c r="C42" i="68"/>
  <c r="C20" i="69"/>
  <c r="C39" i="11"/>
  <c r="C42" i="11"/>
  <c r="C24" i="68"/>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1" i="69" l="1"/>
  <c r="C46" i="69"/>
  <c r="C45" i="69" s="1"/>
  <c r="R27" i="6"/>
  <c r="R6" i="1"/>
  <c r="C28" i="69"/>
  <c r="C27" i="69" s="1"/>
  <c r="C25" i="69"/>
  <c r="C22" i="69" s="1"/>
  <c r="C46" i="68"/>
  <c r="C45" i="68" s="1"/>
  <c r="C43" i="68"/>
  <c r="C41" i="68" s="1"/>
  <c r="C46" i="11"/>
  <c r="C45" i="11" s="1"/>
  <c r="C43" i="11"/>
  <c r="C41" i="11" s="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34" i="15" l="1"/>
  <c r="C31" i="15" s="1"/>
  <c r="C30" i="15" s="1"/>
  <c r="C39" i="15" s="1"/>
  <c r="F63" i="15"/>
  <c r="C62" i="15" s="1"/>
  <c r="C59" i="15" s="1"/>
  <c r="C58" i="15" s="1"/>
  <c r="C67" i="15" s="1"/>
  <c r="C68" i="15" s="1"/>
  <c r="C71" i="15" s="1"/>
  <c r="J20" i="15"/>
  <c r="J17" i="15" s="1"/>
  <c r="J16" i="15" s="1"/>
  <c r="J25" i="15" s="1"/>
  <c r="R16" i="1"/>
  <c r="C49" i="69"/>
  <c r="C51" i="69" s="1"/>
  <c r="C49" i="68"/>
  <c r="C51" i="68" s="1"/>
  <c r="C31" i="69"/>
  <c r="C49" i="11"/>
  <c r="C51" i="11" s="1"/>
  <c r="C52" i="11" s="1"/>
  <c r="B2" i="11" s="1"/>
  <c r="B3" i="11"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52" i="69" l="1"/>
  <c r="B2" i="69" s="1"/>
  <c r="B3" i="69" s="1"/>
  <c r="Q67" i="15"/>
  <c r="L57" i="15"/>
  <c r="L60" i="15" s="1"/>
  <c r="L46" i="15" s="1"/>
  <c r="C80" i="15"/>
  <c r="C79" i="15" s="1"/>
  <c r="Q69" i="15"/>
  <c r="Q68" i="15" s="1"/>
  <c r="C40" i="15"/>
  <c r="C57" i="69"/>
  <c r="C56" i="69" s="1"/>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66" i="15" l="1"/>
  <c r="Q57" i="15"/>
  <c r="B2" i="15"/>
  <c r="Q65" i="15"/>
  <c r="Q47" i="15"/>
  <c r="Q53" i="15" s="1"/>
  <c r="C46" i="15"/>
  <c r="Q56" i="15"/>
  <c r="C43" i="15"/>
  <c r="C83" i="15"/>
  <c r="C82" i="15" s="1"/>
  <c r="H7" i="39"/>
  <c r="J7" i="39"/>
  <c r="AA7" i="39"/>
  <c r="R47" i="39" s="1"/>
  <c r="S7" i="39"/>
  <c r="R39" i="35"/>
  <c r="E38" i="35"/>
  <c r="M63" i="40"/>
  <c r="L65" i="40"/>
  <c r="AO6" i="1"/>
  <c r="D19" i="9"/>
  <c r="B6" i="70" l="1"/>
  <c r="B2" i="70" s="1"/>
  <c r="B3" i="70" s="1"/>
  <c r="Q75" i="15"/>
  <c r="Q62" i="15"/>
  <c r="D102" i="9"/>
  <c r="D21" i="9"/>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03" i="9" l="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23" i="68" l="1"/>
  <c r="C20" i="68"/>
  <c r="C25" i="68" s="1"/>
  <c r="C28" i="68" l="1"/>
  <c r="C27" i="68" s="1"/>
  <c r="C22" i="68"/>
  <c r="C31" i="68" l="1"/>
  <c r="C52" i="68" s="1"/>
  <c r="C57" i="68" s="1"/>
  <c r="C56" i="68" s="1"/>
  <c r="B2" i="68" l="1"/>
  <c r="C19" i="9"/>
  <c r="G19" i="9" l="1"/>
  <c r="C102" i="9"/>
  <c r="D22" i="9"/>
  <c r="C21" i="9"/>
  <c r="B3" i="68"/>
  <c r="C20" i="9"/>
  <c r="G21" i="9" l="1"/>
  <c r="F35" i="9"/>
  <c r="G20" i="9"/>
  <c r="C32" i="9" s="1"/>
  <c r="C35" i="9" s="1"/>
  <c r="F118" i="9" s="1"/>
  <c r="F4" i="52" s="1"/>
  <c r="B51" i="72" s="1"/>
  <c r="C103" i="9"/>
  <c r="D35" i="9"/>
  <c r="H118" i="9" l="1"/>
  <c r="H4" i="52" s="1"/>
  <c r="C34" i="9"/>
  <c r="F119" i="9"/>
  <c r="F5" i="52" s="1"/>
  <c r="B53" i="72" s="1"/>
  <c r="G118" i="9"/>
  <c r="G4" i="52" s="1"/>
  <c r="B52" i="72" s="1"/>
  <c r="D14" i="74"/>
  <c r="C104" i="9"/>
  <c r="H101" i="9"/>
  <c r="I118" i="9"/>
  <c r="H119" i="9"/>
  <c r="H5" i="52" s="1"/>
  <c r="D34" i="9"/>
  <c r="D118" i="9" l="1"/>
  <c r="C105" i="9"/>
  <c r="E118" i="9"/>
  <c r="E4" i="52" s="1"/>
  <c r="B48" i="72" s="1"/>
  <c r="I4" i="52"/>
  <c r="H102" i="9"/>
  <c r="D7" i="53" s="1"/>
  <c r="B21" i="72" s="1"/>
  <c r="M48" i="9"/>
  <c r="D5" i="53"/>
  <c r="H107" i="9"/>
  <c r="D45" i="9"/>
  <c r="F14" i="74"/>
  <c r="B5" i="74"/>
  <c r="E14" i="74"/>
  <c r="D4" i="52" l="1"/>
  <c r="B47" i="72" s="1"/>
  <c r="D119" i="9"/>
  <c r="D5" i="52" s="1"/>
  <c r="B49" i="72" s="1"/>
  <c r="D13" i="53"/>
  <c r="H108" i="9"/>
  <c r="D15" i="53" s="1"/>
  <c r="B31" i="72" s="1"/>
  <c r="D122" i="9"/>
  <c r="M49" i="9"/>
  <c r="D5" i="74"/>
  <c r="C5" i="74"/>
  <c r="D52" i="9"/>
  <c r="C93" i="9"/>
  <c r="C86" i="9" s="1"/>
  <c r="C78" i="9"/>
  <c r="C73" i="9" s="1"/>
  <c r="C72" i="9"/>
  <c r="C79" i="9" s="1"/>
  <c r="C85" i="9"/>
  <c r="D55" i="9"/>
  <c r="M53" i="9" s="1"/>
  <c r="D53" i="9"/>
  <c r="C64" i="9"/>
  <c r="C63" i="9" s="1"/>
  <c r="C67" i="9" s="1"/>
  <c r="B20" i="72"/>
  <c r="D6" i="53"/>
  <c r="B22" i="72" s="1"/>
  <c r="C80" i="9" l="1"/>
  <c r="E80" i="9" s="1"/>
  <c r="E81" i="9" s="1"/>
  <c r="C81" i="9"/>
  <c r="L65" i="9"/>
  <c r="M65" i="9" s="1"/>
  <c r="L64" i="9"/>
  <c r="M64" i="9" s="1"/>
  <c r="L68" i="9"/>
  <c r="M68" i="9" s="1"/>
  <c r="L67" i="9"/>
  <c r="M67" i="9" s="1"/>
  <c r="L63" i="9"/>
  <c r="M63" i="9" s="1"/>
  <c r="L66" i="9"/>
  <c r="M66" i="9" s="1"/>
  <c r="D59" i="9"/>
  <c r="M55" i="9" s="1"/>
  <c r="C68" i="9"/>
  <c r="D54" i="9" s="1"/>
  <c r="C95" i="9"/>
  <c r="D123" i="9"/>
  <c r="D9" i="52" s="1"/>
  <c r="G14" i="74"/>
  <c r="B6" i="74" s="1"/>
  <c r="D8" i="52"/>
  <c r="B30" i="72"/>
  <c r="D14" i="53"/>
  <c r="B32" i="72" s="1"/>
  <c r="D6" i="74" l="1"/>
  <c r="C6" i="74"/>
  <c r="C96" i="9"/>
  <c r="E96" i="9" s="1"/>
  <c r="E97" i="9" s="1"/>
  <c r="M69" i="9"/>
  <c r="N69"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<sst xmlns="http://schemas.openxmlformats.org/spreadsheetml/2006/main" count="9234" uniqueCount="3386">
  <si>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</si>
  <si>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</si>
  <si>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</si>
  <si>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</si>
  <si>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</si>
  <si>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</si>
  <si>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</si>
  <si>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</si>
  <si>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</si>
  <si>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</si>
  <si>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</si>
  <si>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</si>
  <si>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</si>
  <si>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</si>
  <si>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</si>
  <si>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</si>
  <si>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</si>
  <si>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</si>
  <si>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</si>
  <si>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</si>
  <si>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</si>
  <si>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</si>
  <si>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</si>
  <si>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</si>
  <si>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</si>
  <si>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</si>
  <si>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</si>
  <si>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</si>
  <si>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</si>
  <si>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</si>
  <si>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</si>
  <si>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</si>
  <si>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</si>
  <si>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</si>
  <si>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</si>
  <si>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</si>
  <si>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</si>
  <si>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</si>
  <si>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</si>
  <si>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</si>
  <si>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</si>
  <si>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</si>
  <si>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</si>
  <si>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</si>
  <si>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</si>
  <si>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</si>
  <si>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</si>
  <si>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</si>
  <si>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</si>
  <si>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</si>
  <si>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</si>
  <si>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</si>
  <si>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</si>
  <si>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</si>
  <si>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</si>
  <si>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</si>
  <si>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</si>
  <si>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</si>
  <si>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</si>
  <si>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</si>
  <si>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</si>
  <si>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</si>
  <si>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</si>
  <si>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</si>
  <si>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</si>
  <si>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</si>
  <si>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</si>
  <si>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</si>
  <si>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</si>
  <si>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</si>
  <si>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</si>
  <si>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</si>
  <si>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</si>
  <si>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</si>
  <si>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</si>
  <si>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</si>
  <si>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</si>
  <si>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</si>
  <si>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</si>
  <si>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</si>
  <si>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</si>
  <si>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</si>
  <si>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</si>
  <si>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</si>
  <si>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</si>
  <si>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</si>
  <si>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</si>
  <si>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</si>
  <si>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</si>
  <si>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</si>
  <si>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</si>
  <si>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</si>
  <si>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</si>
  <si>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</si>
  <si>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</si>
  <si>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</si>
  <si>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</si>
  <si>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</si>
  <si>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</si>
  <si>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</si>
  <si>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</si>
  <si>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</si>
  <si>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</si>
  <si>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</si>
  <si>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</si>
  <si>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</si>
  <si>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</si>
  <si>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</si>
  <si>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</si>
  <si>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</si>
  <si>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</si>
  <si>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</si>
  <si>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</si>
  <si>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</si>
  <si>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</si>
  <si>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</si>
  <si>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</si>
  <si>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</si>
  <si>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</si>
  <si>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</si>
  <si>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</si>
  <si>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</si>
  <si>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</si>
  <si>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</si>
  <si>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</si>
  <si>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</si>
  <si>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</si>
  <si>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</si>
  <si>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</si>
  <si>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</si>
  <si>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</si>
  <si>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</si>
  <si>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</si>
  <si>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</si>
  <si>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</si>
  <si>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</si>
  <si>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</si>
  <si>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</si>
  <si>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</si>
  <si>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</si>
  <si>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</si>
  <si>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</si>
  <si>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</si>
  <si>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</si>
  <si>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</si>
  <si>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</si>
  <si>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</si>
  <si>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</si>
  <si>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</si>
  <si>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</si>
  <si>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</si>
  <si>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</si>
  <si>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</si>
  <si>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</si>
  <si>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</si>
  <si>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</si>
  <si>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</si>
  <si>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</si>
  <si>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</si>
  <si>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</si>
  <si>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</si>
  <si>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</si>
  <si>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</si>
  <si>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</si>
  <si>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</si>
  <si>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</si>
  <si>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</si>
  <si>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</si>
  <si>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</si>
  <si>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</si>
  <si>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</si>
  <si>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</si>
  <si>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</si>
  <si>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</si>
  <si>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</si>
  <si>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</si>
  <si>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</si>
  <si>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</si>
  <si>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</si>
  <si>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</si>
  <si>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</si>
  <si>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</si>
  <si>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</si>
  <si>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</si>
  <si>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</si>
  <si>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</si>
  <si>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</si>
  <si>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</si>
  <si>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</si>
  <si>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</si>
  <si>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</si>
  <si>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</si>
  <si>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</si>
  <si>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</si>
  <si>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</si>
  <si>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</si>
  <si>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</si>
  <si>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</si>
  <si>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</si>
  <si>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</si>
  <si>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</si>
  <si>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</si>
  <si>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</si>
  <si>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</si>
  <si>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</si>
  <si>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</si>
  <si>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</si>
  <si>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</si>
  <si>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</si>
  <si>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</si>
  <si>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</si>
  <si>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</si>
  <si>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</si>
  <si>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</si>
  <si>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</si>
  <si>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</si>
  <si>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</si>
  <si>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</si>
  <si>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</si>
  <si>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</si>
  <si>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</si>
  <si>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</si>
  <si>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</si>
  <si>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</si>
  <si>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</si>
  <si>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</si>
  <si>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</si>
  <si>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</si>
  <si>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</si>
  <si>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</si>
  <si>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</si>
  <si>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</si>
  <si>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</si>
  <si>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</si>
  <si>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</si>
  <si>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</si>
  <si>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</si>
  <si>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</si>
  <si>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</si>
  <si>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</si>
  <si>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</si>
  <si>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</si>
  <si>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</si>
  <si>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</si>
  <si>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</si>
  <si>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</si>
  <si>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</si>
  <si>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</si>
  <si>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</si>
  <si>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</si>
  <si>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</si>
  <si>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</si>
  <si>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</si>
  <si>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</si>
  <si>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</si>
  <si>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</si>
  <si>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</si>
  <si>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</si>
  <si>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</si>
  <si>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</si>
  <si>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</si>
  <si>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</si>
  <si>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</si>
  <si>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</si>
  <si>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</si>
  <si>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</si>
  <si>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</si>
  <si>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</si>
  <si>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</si>
  <si>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</si>
  <si>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</si>
  <si>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</si>
  <si>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</si>
  <si>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</si>
  <si>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</si>
  <si>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</si>
  <si>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</si>
  <si>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</si>
  <si>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</si>
  <si>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</si>
  <si>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</si>
  <si>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</si>
  <si>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</si>
  <si>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</si>
  <si>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</si>
  <si>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</si>
  <si>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</si>
  <si>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</si>
  <si>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</si>
  <si>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</si>
  <si>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</si>
  <si>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</si>
  <si>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</si>
  <si>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</si>
  <si>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</si>
  <si>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</si>
  <si>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</si>
  <si>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</si>
  <si>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</si>
  <si>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</si>
  <si>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</si>
  <si>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</si>
  <si>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</si>
  <si>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</si>
  <si>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</si>
  <si>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</si>
  <si>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</si>
  <si>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</si>
  <si>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</si>
  <si>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</si>
  <si>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</si>
  <si>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</si>
  <si>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</si>
  <si>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</si>
  <si>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</si>
  <si>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</si>
  <si>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</si>
  <si>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</si>
  <si>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</si>
  <si>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</si>
  <si>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</si>
  <si>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</si>
  <si>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</si>
  <si>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</si>
  <si>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</si>
  <si>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</si>
  <si>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</si>
  <si>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</si>
  <si>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</si>
  <si>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</si>
  <si>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</si>
  <si>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</si>
  <si>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</si>
  <si>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</si>
  <si>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</si>
  <si>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</si>
  <si>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</si>
  <si>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</si>
  <si>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</si>
  <si>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</si>
  <si>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</si>
  <si>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</si>
  <si>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</si>
  <si>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</si>
  <si>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</si>
  <si>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</si>
  <si>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</si>
  <si>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</si>
  <si>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</si>
  <si>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</si>
  <si>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</si>
  <si>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</si>
  <si>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</si>
  <si>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</si>
  <si>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</si>
  <si>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</si>
  <si>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</si>
  <si>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</si>
  <si>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</si>
  <si>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</si>
  <si>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</si>
  <si>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</si>
  <si>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</si>
  <si>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</si>
  <si>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</si>
  <si>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</si>
  <si>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</si>
  <si>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</si>
  <si>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</si>
  <si>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</si>
  <si>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</si>
  <si>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</si>
  <si>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</si>
  <si>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</si>
  <si>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</si>
  <si>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</si>
  <si>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</si>
  <si>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</si>
  <si>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</si>
  <si>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</si>
  <si>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</si>
  <si>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</si>
  <si>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</si>
  <si>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</si>
  <si>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</si>
  <si>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</si>
  <si>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</si>
  <si>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</si>
  <si>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</si>
  <si>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</si>
  <si>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</si>
  <si>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</si>
  <si>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</si>
  <si>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</si>
  <si>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</si>
  <si>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</si>
  <si>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</si>
  <si>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</si>
  <si>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</si>
  <si>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</si>
  <si>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</si>
  <si>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</si>
  <si>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</si>
  <si>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</si>
  <si>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</si>
  <si>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</si>
  <si>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</si>
  <si>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</si>
  <si>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</si>
  <si>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</si>
  <si>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</si>
  <si>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</si>
  <si>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</si>
  <si>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</si>
  <si>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</si>
  <si>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</si>
  <si>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</si>
  <si>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</si>
  <si>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</si>
  <si>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</si>
  <si>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</si>
  <si>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</si>
  <si>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</si>
  <si>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</si>
  <si>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</si>
  <si>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</si>
  <si>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</si>
  <si>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</si>
  <si>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</si>
  <si>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</si>
  <si>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</si>
  <si>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</si>
  <si>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</si>
  <si>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</si>
  <si>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</si>
  <si>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</si>
  <si>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</si>
  <si>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</si>
  <si>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</si>
  <si>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</si>
  <si>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</si>
  <si>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</si>
  <si>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</si>
  <si>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</si>
  <si>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</si>
  <si>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</si>
  <si>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</si>
  <si>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</si>
  <si>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</si>
  <si>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</si>
  <si>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</si>
  <si>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</si>
  <si>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</si>
  <si>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</si>
  <si>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</si>
  <si>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</si>
  <si>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</si>
  <si>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</si>
  <si>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</si>
  <si>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</si>
  <si>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</si>
  <si>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</si>
  <si>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</si>
  <si>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</si>
  <si>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</si>
  <si>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</si>
  <si>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</si>
  <si>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</si>
  <si>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</si>
  <si>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</si>
  <si>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</si>
  <si>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</si>
  <si>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</si>
  <si>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</si>
  <si>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</si>
  <si>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</si>
  <si>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</si>
  <si>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</si>
  <si>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</si>
  <si>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</si>
  <si>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</si>
  <si>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</si>
  <si>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</si>
  <si>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</si>
  <si>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</si>
  <si>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</si>
  <si>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</si>
  <si>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</si>
  <si>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</si>
  <si>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</si>
  <si>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</si>
  <si>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</si>
  <si>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</si>
  <si>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</si>
  <si>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</si>
  <si>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</si>
  <si>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</si>
  <si>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</si>
  <si>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</si>
  <si>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</si>
  <si>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</si>
  <si>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</si>
  <si>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</si>
  <si>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</si>
  <si>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</si>
  <si>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</si>
  <si>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</si>
  <si>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</si>
  <si>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</si>
  <si>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</si>
  <si>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</si>
  <si>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</si>
  <si>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</si>
  <si>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</si>
  <si>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</si>
  <si>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</si>
  <si>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</si>
  <si>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</si>
  <si>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</si>
  <si>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</si>
  <si>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</si>
  <si>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</si>
  <si>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</si>
  <si>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</si>
  <si>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</si>
  <si>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</si>
  <si>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</si>
  <si>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</si>
  <si>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</si>
  <si>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</si>
  <si>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</si>
  <si>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</si>
  <si>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</si>
  <si>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</si>
  <si>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</si>
  <si>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</si>
  <si>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</si>
  <si>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</si>
  <si>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</si>
  <si>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</si>
  <si>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</si>
  <si>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</si>
  <si>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</si>
  <si>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</si>
  <si>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</si>
  <si>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</si>
  <si>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</si>
  <si>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</si>
  <si>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</si>
  <si>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</si>
  <si>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</si>
  <si>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</si>
  <si>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</si>
  <si>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</si>
  <si>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</si>
  <si>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</si>
  <si>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</si>
  <si>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</si>
  <si>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</si>
  <si>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</si>
  <si>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</si>
  <si>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</si>
  <si>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</si>
  <si>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</si>
  <si>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</si>
  <si>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</si>
  <si>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</si>
  <si>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</si>
  <si>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</si>
  <si>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</si>
  <si>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</si>
  <si>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</si>
  <si>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</si>
  <si>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</si>
  <si>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</si>
  <si>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</si>
  <si>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</si>
  <si>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</si>
  <si>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</si>
  <si>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</si>
  <si>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</si>
  <si>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</si>
  <si>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</si>
  <si>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</si>
  <si>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</si>
  <si>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</si>
  <si>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</si>
  <si>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</si>
  <si>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</si>
  <si>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</si>
  <si>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</si>
  <si>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</si>
  <si>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</si>
  <si>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</si>
  <si>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</si>
  <si>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</si>
  <si>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</si>
  <si>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</si>
  <si>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</si>
  <si>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</si>
  <si>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</si>
  <si>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</si>
  <si>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</si>
  <si>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</si>
  <si>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</si>
  <si>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</si>
  <si>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</si>
  <si>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</si>
  <si>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</si>
  <si>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</si>
  <si>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</si>
  <si>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</si>
  <si>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</si>
  <si>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</si>
  <si>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</si>
  <si>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</si>
  <si>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</si>
  <si>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</si>
  <si>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</si>
  <si>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</si>
  <si>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</si>
  <si>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</si>
  <si>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</si>
  <si>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</si>
  <si>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</si>
  <si>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</si>
  <si>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</si>
  <si>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</si>
  <si>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</si>
  <si>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</si>
  <si>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</si>
  <si>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</si>
  <si>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</si>
  <si>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</si>
  <si>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</si>
  <si>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</si>
  <si>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</si>
  <si>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</si>
  <si>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</si>
  <si>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</si>
  <si>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</si>
  <si>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</si>
  <si>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</si>
  <si>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</si>
  <si>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</si>
  <si>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</si>
  <si>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</si>
  <si>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</si>
  <si>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</si>
  <si>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</si>
  <si>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</si>
  <si>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</si>
  <si>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</si>
  <si>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</si>
  <si>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</si>
  <si>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</si>
  <si>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</si>
  <si>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</si>
  <si>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</si>
  <si>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</si>
  <si>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</si>
  <si>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</si>
  <si>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</si>
  <si>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</si>
  <si>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</si>
  <si>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</si>
  <si>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</si>
  <si>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</si>
  <si>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</si>
  <si>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</si>
  <si>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</si>
  <si>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</si>
  <si>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</si>
  <si>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</si>
  <si>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</si>
  <si>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</si>
  <si>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</si>
  <si>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</si>
  <si>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</si>
  <si>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</si>
  <si>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</si>
  <si>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</si>
  <si>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</si>
  <si>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</si>
  <si>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</si>
  <si>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</si>
  <si>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</si>
  <si>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</si>
  <si>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</si>
  <si>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</si>
  <si>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</si>
  <si>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</si>
  <si>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</si>
  <si>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</si>
  <si>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</si>
  <si>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</si>
  <si>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</si>
  <si>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</si>
  <si>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</si>
  <si>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</si>
  <si>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</si>
  <si>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</si>
  <si>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</si>
  <si>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</si>
  <si>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</si>
  <si>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</si>
  <si>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</si>
  <si>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</si>
  <si>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</si>
  <si>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</si>
  <si>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</si>
  <si>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</si>
  <si>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</si>
  <si>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</si>
  <si>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</si>
  <si>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</si>
  <si>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</si>
  <si>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</si>
  <si>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</si>
  <si>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</si>
  <si>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</si>
  <si>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</si>
  <si>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</si>
  <si>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</si>
  <si>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</si>
  <si>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</si>
  <si>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</si>
  <si>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</si>
  <si>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</si>
  <si>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</si>
  <si>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</si>
  <si>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</si>
  <si>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</si>
  <si>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</si>
  <si>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</si>
  <si>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</si>
  <si>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</si>
  <si>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</si>
  <si>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</si>
  <si>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</si>
  <si>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</si>
  <si>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</si>
  <si>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</si>
  <si>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</si>
  <si>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</si>
  <si>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</si>
  <si>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</si>
  <si>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</si>
  <si>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</si>
  <si>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</si>
  <si>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</si>
  <si>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</si>
  <si>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</si>
  <si>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</si>
  <si>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</si>
  <si>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</si>
  <si>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</si>
  <si>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</si>
  <si>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</si>
  <si>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</si>
  <si>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</si>
  <si>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</si>
  <si>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</si>
  <si>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</si>
  <si>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</si>
  <si>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</si>
  <si>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</si>
  <si>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</si>
  <si>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</si>
  <si>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</si>
  <si>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</si>
  <si>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</si>
  <si>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</si>
  <si>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</si>
  <si>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</si>
  <si>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</si>
  <si>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</si>
  <si>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</si>
  <si>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</si>
  <si>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</si>
  <si>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</si>
  <si>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</si>
  <si>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</si>
  <si>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</si>
  <si>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</si>
  <si>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</si>
  <si>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</si>
  <si>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</si>
  <si>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</si>
  <si>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</si>
  <si>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</si>
  <si>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</si>
  <si>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</si>
  <si>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</si>
  <si>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</si>
  <si>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</si>
  <si>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</si>
  <si>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</si>
  <si>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</si>
  <si>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</si>
  <si>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</si>
  <si>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</si>
  <si>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</si>
  <si>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</si>
  <si>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</si>
  <si>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</si>
  <si>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</si>
  <si>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</si>
  <si>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</si>
  <si>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</si>
  <si>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</si>
  <si>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</si>
  <si>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</si>
  <si>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</si>
  <si>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</si>
  <si>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</si>
  <si>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</si>
  <si>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</si>
  <si>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</si>
  <si>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</si>
  <si>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</si>
  <si>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</si>
  <si>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</si>
  <si>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</si>
  <si>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</si>
  <si>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</si>
  <si>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</si>
  <si>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</si>
  <si>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</si>
  <si>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</si>
  <si>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</si>
  <si>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</si>
  <si>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</si>
  <si>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</si>
  <si>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</si>
  <si>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</si>
  <si>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</si>
  <si>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</si>
  <si>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</si>
  <si>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</si>
  <si>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</si>
  <si>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</si>
  <si>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</si>
  <si>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</si>
  <si>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</si>
  <si>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</si>
  <si>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</si>
  <si>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</si>
  <si>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</si>
  <si>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</si>
  <si>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</si>
  <si>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</si>
  <si>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</si>
  <si>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</si>
  <si>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</si>
  <si>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</si>
  <si>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</si>
  <si>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</si>
  <si>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</si>
  <si>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</si>
  <si>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</si>
  <si>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</si>
  <si>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</si>
  <si>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</si>
  <si>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</si>
  <si>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</si>
  <si>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</si>
  <si>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</si>
  <si>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</si>
  <si>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</si>
  <si>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</si>
  <si>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</si>
  <si>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</si>
  <si>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</si>
  <si>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</si>
  <si>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</si>
  <si>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</si>
  <si>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</si>
  <si>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</si>
  <si>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</si>
  <si>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</si>
  <si>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</si>
  <si>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</si>
  <si>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</si>
  <si>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</si>
  <si>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</si>
  <si>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</si>
  <si>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</si>
  <si>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</si>
  <si>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</si>
  <si>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</si>
  <si>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</si>
  <si>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</si>
  <si>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</si>
  <si>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</si>
  <si>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</si>
  <si>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</si>
  <si>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</si>
  <si>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</si>
  <si>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</si>
  <si>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</si>
  <si>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</si>
  <si>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</si>
  <si>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</si>
  <si>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</si>
  <si>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</si>
  <si>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</si>
  <si>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</si>
  <si>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</si>
  <si>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</si>
  <si>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</si>
  <si>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</si>
  <si>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</si>
  <si>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</si>
  <si>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</si>
  <si>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</si>
  <si>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</si>
  <si>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</si>
  <si>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</si>
  <si>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</si>
  <si>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</si>
  <si>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</si>
  <si>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</si>
  <si>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</si>
  <si>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</si>
  <si>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</si>
  <si>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</si>
  <si>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</si>
  <si>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</si>
  <si>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</si>
  <si>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</si>
  <si>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</si>
  <si>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</si>
  <si>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</si>
  <si>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</si>
  <si>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</si>
  <si>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</si>
  <si>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</si>
  <si>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</si>
  <si>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</si>
  <si>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</si>
  <si>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</si>
  <si>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</si>
  <si>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</si>
  <si>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</si>
  <si>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</si>
  <si>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</si>
  <si>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</si>
  <si>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</si>
  <si>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</si>
  <si>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</si>
  <si>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</si>
  <si>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</si>
  <si>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</si>
  <si>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</si>
  <si>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</si>
  <si>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</si>
  <si>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</si>
  <si>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</si>
  <si>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</si>
  <si>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</si>
  <si>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</si>
  <si>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</si>
  <si>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</si>
  <si>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</si>
  <si>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</si>
  <si>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</si>
  <si>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</si>
  <si>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</si>
  <si>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</si>
  <si>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</si>
  <si>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</si>
  <si>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</si>
  <si>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</si>
  <si>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</si>
  <si>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</si>
  <si>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</si>
  <si>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</si>
  <si>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</si>
  <si>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</si>
  <si>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</si>
  <si>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</si>
  <si>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</si>
  <si>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</si>
  <si>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</si>
  <si>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</si>
  <si>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</si>
  <si>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</si>
  <si>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</si>
  <si>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</si>
  <si>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</si>
  <si>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</si>
  <si>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</si>
  <si>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</si>
  <si>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</si>
  <si>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</si>
  <si>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</si>
  <si>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</si>
  <si>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</si>
  <si>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</si>
  <si>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</si>
  <si>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</si>
  <si>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</si>
  <si>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</si>
  <si>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</si>
  <si>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</si>
  <si>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</si>
  <si>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</si>
  <si>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</si>
  <si>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</si>
  <si>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</si>
  <si>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</si>
  <si>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</si>
  <si>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</si>
  <si>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</si>
  <si>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</si>
  <si>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</si>
  <si>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</si>
  <si>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</si>
  <si>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</si>
  <si>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</si>
  <si>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</si>
  <si>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</si>
  <si>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</si>
  <si>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</si>
  <si>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</si>
  <si>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</si>
  <si>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</si>
  <si>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</si>
  <si>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</si>
  <si>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</si>
  <si>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</si>
  <si>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</si>
  <si>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</si>
  <si>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</si>
  <si>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</si>
  <si>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</si>
  <si>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</si>
  <si>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</si>
  <si>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</si>
  <si>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</si>
  <si>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</si>
  <si>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</si>
  <si>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</si>
  <si>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</si>
  <si>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</si>
  <si>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</si>
  <si>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</si>
  <si>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</si>
  <si>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</si>
  <si>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</si>
  <si>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</si>
  <si>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</si>
  <si>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</si>
  <si>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</si>
  <si>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</si>
  <si>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</si>
  <si>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</si>
  <si>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</si>
  <si>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</si>
  <si>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</si>
  <si>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</si>
  <si>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</si>
  <si>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</si>
  <si>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</si>
  <si>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</si>
  <si>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</si>
  <si>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</si>
  <si>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</si>
  <si>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</si>
  <si>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</si>
  <si>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</si>
  <si>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</si>
  <si>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</si>
  <si>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</si>
  <si>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</si>
  <si>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</si>
  <si>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</si>
  <si>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</si>
  <si>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</si>
  <si>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</si>
  <si>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</si>
  <si>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</si>
  <si>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</si>
  <si>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</si>
  <si>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</si>
  <si>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</si>
  <si>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</si>
  <si>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</si>
  <si>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</si>
  <si>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</si>
  <si>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</si>
  <si>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</si>
  <si>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</si>
  <si>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</si>
  <si>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</si>
  <si>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</si>
  <si>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</si>
  <si>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</si>
  <si>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</si>
  <si>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</si>
  <si>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</si>
  <si>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</si>
  <si>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</si>
  <si>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</si>
  <si>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</si>
  <si>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</si>
  <si>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</si>
  <si>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</si>
  <si>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</si>
  <si>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</si>
  <si>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</si>
  <si>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</si>
  <si>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</si>
  <si>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</si>
  <si>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</si>
  <si>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</si>
  <si>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</si>
  <si>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</si>
  <si>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</si>
  <si>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</si>
  <si>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</si>
  <si>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</si>
  <si>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</si>
  <si>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</si>
  <si>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</si>
  <si>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</si>
  <si>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</si>
  <si>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</si>
  <si>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</si>
  <si>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</si>
  <si>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</si>
  <si>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</si>
  <si>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</si>
  <si>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</si>
  <si>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</si>
  <si>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</si>
  <si>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</si>
  <si>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</si>
  <si>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</si>
  <si>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</si>
  <si>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</si>
  <si>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</si>
  <si>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</si>
  <si>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</si>
  <si>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</si>
  <si>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</si>
  <si>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</si>
  <si>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</si>
  <si>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</si>
  <si>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</si>
  <si>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</si>
  <si>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</si>
  <si>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</si>
  <si>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</si>
  <si>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</si>
  <si>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</si>
  <si>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</si>
  <si>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</si>
  <si>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</si>
  <si>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</si>
  <si>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</si>
  <si>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</si>
  <si>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</si>
  <si>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</si>
  <si>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</si>
  <si>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</si>
  <si>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</si>
  <si>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</si>
  <si>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</si>
  <si>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</si>
  <si>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</si>
  <si>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</si>
  <si>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</si>
  <si>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</si>
  <si>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</si>
  <si>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</si>
  <si>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</si>
  <si>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</si>
  <si>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</si>
  <si>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</si>
  <si>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</si>
  <si>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</si>
  <si>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</si>
  <si>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</si>
  <si>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</si>
  <si>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</si>
  <si>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</si>
  <si>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</si>
  <si>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</si>
  <si>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</si>
  <si>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</si>
  <si>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</si>
  <si>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</si>
  <si>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</si>
  <si>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</si>
  <si>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</si>
  <si>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</si>
  <si>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</si>
  <si>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</si>
  <si>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</si>
  <si>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</si>
  <si>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</si>
  <si>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</si>
  <si>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</si>
  <si>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</si>
  <si>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</si>
  <si>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</si>
  <si>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</si>
  <si>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</si>
  <si>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</si>
  <si>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</si>
  <si>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</si>
  <si>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</si>
  <si>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</si>
  <si>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</si>
  <si>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</si>
  <si>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</si>
  <si>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</si>
  <si>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</si>
  <si>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</si>
  <si>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</si>
  <si>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</si>
  <si>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</si>
  <si>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</si>
  <si>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</si>
  <si>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</si>
  <si>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</si>
  <si>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</si>
  <si>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</si>
  <si>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</si>
  <si>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</si>
  <si>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</si>
  <si>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</si>
  <si>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</si>
  <si>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</si>
  <si>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</si>
  <si>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</si>
  <si>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</si>
  <si>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</si>
  <si>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</si>
  <si>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</si>
  <si>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</si>
  <si>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</si>
  <si>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</si>
  <si>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</si>
  <si>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</si>
  <si>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</si>
  <si>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</si>
  <si>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</si>
  <si>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</si>
  <si>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</si>
  <si>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</si>
  <si>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</si>
  <si>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</si>
  <si>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</si>
  <si>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</si>
  <si>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</si>
  <si>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</si>
  <si>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</si>
  <si>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</si>
  <si>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</si>
  <si>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</si>
  <si>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</si>
  <si>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</si>
  <si>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</si>
  <si>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</si>
  <si>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</si>
  <si>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</si>
  <si>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</si>
  <si>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</si>
  <si>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</si>
  <si>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</si>
  <si>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</si>
  <si>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</si>
  <si>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</si>
  <si>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</si>
  <si>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</si>
  <si>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</si>
  <si>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</si>
  <si>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</si>
  <si>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</si>
  <si>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</si>
  <si>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</si>
  <si>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</si>
  <si>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</si>
  <si>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</si>
  <si>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</si>
  <si>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</si>
  <si>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</si>
  <si>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</si>
  <si>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</si>
  <si>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</si>
  <si>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</si>
  <si>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</si>
  <si>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</si>
  <si>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</si>
  <si>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</si>
  <si>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</si>
  <si>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</si>
  <si>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</si>
  <si>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</si>
  <si>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</si>
  <si>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</si>
  <si>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</si>
  <si>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</si>
  <si>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</si>
  <si>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</si>
  <si>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</si>
  <si>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</si>
  <si>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</si>
  <si>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</si>
  <si>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</si>
  <si>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</si>
  <si>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</si>
  <si>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</si>
  <si>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</si>
  <si>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</si>
  <si>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</si>
  <si>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</si>
  <si>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</si>
  <si>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</si>
  <si>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</si>
  <si>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</si>
  <si>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</si>
  <si>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</si>
  <si>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</si>
  <si>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</si>
  <si>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</si>
  <si>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</si>
  <si>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</si>
  <si>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</si>
  <si>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</si>
  <si>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</si>
  <si>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</si>
  <si>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</si>
  <si>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</si>
  <si>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</si>
  <si>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</si>
  <si>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</si>
  <si>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</si>
  <si>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</si>
  <si>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</si>
  <si>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</si>
  <si>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</si>
  <si>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</si>
  <si>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</si>
  <si>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</si>
  <si>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</si>
  <si>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</si>
  <si>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</si>
  <si>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</si>
  <si>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</si>
  <si>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</si>
  <si>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</si>
  <si>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</si>
  <si>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</si>
  <si>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</si>
  <si>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</si>
  <si>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</si>
  <si>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</si>
  <si>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</si>
  <si>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</si>
  <si>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</si>
  <si>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</si>
  <si>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</si>
  <si>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</si>
  <si>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</si>
  <si>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</si>
  <si>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</si>
  <si>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</si>
  <si>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</si>
  <si>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</si>
  <si>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</si>
  <si>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</si>
  <si>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</si>
  <si>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</si>
  <si>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</si>
  <si>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</si>
  <si>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</si>
  <si>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</si>
  <si>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</si>
  <si>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</si>
  <si>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</si>
  <si>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</si>
  <si>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</si>
  <si>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</si>
  <si>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</si>
  <si>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</si>
  <si>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</si>
  <si>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</si>
  <si>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</si>
  <si>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</si>
  <si>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</si>
  <si>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</si>
  <si>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</si>
  <si>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</si>
  <si>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</si>
  <si>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</si>
  <si>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</si>
  <si>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</si>
  <si>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</si>
  <si>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</si>
  <si>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</si>
  <si>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</si>
  <si>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</si>
  <si>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</si>
  <si>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</si>
  <si>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</si>
  <si>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</si>
  <si>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</si>
  <si>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</si>
  <si>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</si>
  <si>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</si>
  <si>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</si>
  <si>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</si>
  <si>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</si>
  <si>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</si>
  <si>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</si>
  <si>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</si>
  <si>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</si>
  <si>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</si>
  <si>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</si>
  <si>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</si>
  <si>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</si>
  <si>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</si>
  <si>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</si>
  <si>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</si>
  <si>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</si>
  <si>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</si>
  <si>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</si>
  <si>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</si>
  <si>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</si>
  <si>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</si>
  <si>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</si>
  <si>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</si>
  <si>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</si>
  <si>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</si>
  <si>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</si>
  <si>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</si>
  <si>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</si>
  <si>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</si>
  <si>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</si>
  <si>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</si>
  <si>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</si>
  <si>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</si>
  <si>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</si>
  <si>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</si>
  <si>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</si>
  <si>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</si>
  <si>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</si>
  <si>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</si>
  <si>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</si>
  <si>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</si>
  <si>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</si>
  <si>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</si>
  <si>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</si>
  <si>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</si>
  <si>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</si>
  <si>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</si>
  <si>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</si>
  <si>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</si>
  <si>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</si>
  <si>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</si>
  <si>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</si>
  <si>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</si>
  <si>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</si>
  <si>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</si>
  <si>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</si>
  <si>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</si>
  <si>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</si>
  <si>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</si>
  <si>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</si>
  <si>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</si>
  <si>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</si>
  <si>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</si>
  <si>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</si>
  <si>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</si>
  <si>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</si>
  <si>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</si>
  <si>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</si>
  <si>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</si>
  <si>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</si>
  <si>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</si>
  <si>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</si>
  <si>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</si>
  <si>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</si>
  <si>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</si>
  <si>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</si>
  <si>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</si>
  <si>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</si>
  <si>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</si>
  <si>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</si>
  <si>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</si>
  <si>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</si>
  <si>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</si>
  <si>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</si>
  <si>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</si>
  <si>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</si>
  <si>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</si>
  <si>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</si>
  <si>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</si>
  <si>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</si>
  <si>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</si>
  <si>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</si>
  <si>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</si>
  <si>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</si>
  <si>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</si>
  <si>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</si>
  <si>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</si>
  <si>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</si>
  <si>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</si>
  <si>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</si>
  <si>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</si>
  <si>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</si>
  <si>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</si>
  <si>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</si>
  <si>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</si>
  <si>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</si>
  <si>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</si>
  <si>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</si>
  <si>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</si>
  <si>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</si>
  <si>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</si>
  <si>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</si>
  <si>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</si>
  <si>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</si>
  <si>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</si>
  <si>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</si>
  <si>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</si>
  <si>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</si>
  <si>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</si>
  <si>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</si>
  <si>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</si>
  <si>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</si>
  <si>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</si>
  <si>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</si>
  <si>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</si>
  <si>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</si>
  <si>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</si>
  <si>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</si>
  <si>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</si>
  <si>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</si>
  <si>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</si>
  <si>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</si>
  <si>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</si>
  <si>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</si>
  <si>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</si>
  <si>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</si>
  <si>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</si>
  <si>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</si>
  <si>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</si>
  <si>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</si>
  <si>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</si>
  <si>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</si>
  <si>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</si>
  <si>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</si>
  <si>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</si>
  <si>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</si>
  <si>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</si>
  <si>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</si>
  <si>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</si>
  <si>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</si>
  <si>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</si>
  <si>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</si>
  <si>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</si>
  <si>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</si>
  <si>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</si>
  <si>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</si>
  <si>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</si>
  <si>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</si>
  <si>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</si>
  <si>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</si>
  <si>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</si>
  <si>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</si>
  <si>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</si>
  <si>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</si>
  <si>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</si>
  <si>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</si>
  <si>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</si>
  <si>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</si>
  <si>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</si>
  <si>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</si>
  <si>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</si>
  <si>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</si>
  <si>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</si>
  <si>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</si>
  <si>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</si>
  <si>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</si>
  <si>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</si>
  <si>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</si>
  <si>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</si>
  <si>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</si>
  <si>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</si>
  <si>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</si>
  <si>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</si>
  <si>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</si>
  <si>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</si>
  <si>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</si>
  <si>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</si>
  <si>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</si>
  <si>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</si>
  <si>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</si>
  <si>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</si>
  <si>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</si>
  <si>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</si>
  <si>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</si>
  <si>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</si>
  <si>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</si>
  <si>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</si>
  <si>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</si>
  <si>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</si>
  <si>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</si>
  <si>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</si>
  <si>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</si>
  <si>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</si>
  <si>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</si>
  <si>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</si>
  <si>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</si>
  <si>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</si>
  <si>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</si>
  <si>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</si>
  <si>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</si>
  <si>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</si>
  <si>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</si>
  <si>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</si>
  <si>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</si>
  <si>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</si>
  <si>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</si>
  <si>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</si>
  <si>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</si>
  <si>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</si>
  <si>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</si>
  <si>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</si>
  <si>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</si>
  <si>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</si>
  <si>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</si>
  <si>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</si>
  <si>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</si>
  <si>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</si>
  <si>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</si>
  <si>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</si>
  <si>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</si>
  <si>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</si>
  <si>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</si>
  <si>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</si>
  <si>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</si>
  <si>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</si>
  <si>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</si>
  <si>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</si>
  <si>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</si>
  <si>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</si>
  <si>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</si>
  <si>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</si>
  <si>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</si>
  <si>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</si>
  <si>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</si>
  <si>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</si>
  <si>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</si>
  <si>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</si>
  <si>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</si>
  <si>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</si>
  <si>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</si>
  <si>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</si>
  <si>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</si>
  <si>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</si>
  <si>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</si>
  <si>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</si>
  <si>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</si>
  <si>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</si>
  <si>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</si>
  <si>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</si>
  <si>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</si>
  <si>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</si>
  <si>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</si>
  <si>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</si>
  <si>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</si>
  <si>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</si>
  <si>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</si>
  <si>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</si>
  <si>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</si>
  <si>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</si>
  <si>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</si>
  <si>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</si>
  <si>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</si>
  <si>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</si>
  <si>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</si>
  <si>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</si>
  <si>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</si>
  <si>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</si>
  <si>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</si>
  <si>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</si>
  <si>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</si>
  <si>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</si>
  <si>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</si>
  <si>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</si>
  <si>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</si>
  <si>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</si>
  <si>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</si>
  <si>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</si>
  <si>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</si>
  <si>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</si>
  <si>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</si>
  <si>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</si>
  <si>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</si>
  <si>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</si>
  <si>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</si>
  <si>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</si>
  <si>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</si>
  <si>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</si>
  <si>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</si>
  <si>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</si>
  <si>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</si>
  <si>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</si>
  <si>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</si>
  <si>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</si>
  <si>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</si>
  <si>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</si>
  <si>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</si>
  <si>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</si>
  <si>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</si>
  <si>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</si>
  <si>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</si>
  <si>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</si>
  <si>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</si>
  <si>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</si>
  <si>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</si>
  <si>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</si>
  <si>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</si>
  <si>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</si>
  <si>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</si>
  <si>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</si>
  <si>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</si>
  <si>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</si>
  <si>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</si>
  <si>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</si>
  <si>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</si>
  <si>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</si>
  <si>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</si>
  <si>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</si>
  <si>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</si>
  <si>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</si>
  <si>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</si>
  <si>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</si>
  <si>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</si>
  <si>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</si>
  <si>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</si>
  <si>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</si>
  <si>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</si>
  <si>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</si>
  <si>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</si>
  <si>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</si>
  <si>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</si>
  <si>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</si>
  <si>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</si>
  <si>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</si>
  <si>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</si>
  <si>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</si>
  <si>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</si>
  <si>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</si>
  <si>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</si>
  <si>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</si>
  <si>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</si>
  <si>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</si>
  <si>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</si>
  <si>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</si>
  <si>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</si>
  <si>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</si>
  <si>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</si>
  <si>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</si>
  <si>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</si>
  <si>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</si>
  <si>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</si>
  <si>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</si>
  <si>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</si>
  <si>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</si>
  <si>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</si>
  <si>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</si>
  <si>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</si>
  <si>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</si>
  <si>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</si>
  <si>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</si>
  <si>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</si>
  <si>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</si>
  <si>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</si>
  <si>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</si>
  <si>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</si>
  <si>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</si>
  <si>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</si>
  <si>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</si>
  <si>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</si>
  <si>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</si>
  <si>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</si>
  <si>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</si>
  <si>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</si>
  <si>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</si>
  <si>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</si>
  <si>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</si>
  <si>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</si>
  <si>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</si>
  <si>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</si>
  <si>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</si>
  <si>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</si>
  <si>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</si>
  <si>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</si>
  <si>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</si>
  <si>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</si>
  <si>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</si>
  <si>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</si>
  <si>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</si>
  <si>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</si>
  <si>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</si>
  <si>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</si>
  <si>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</si>
  <si>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</si>
  <si>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</si>
  <si>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</si>
  <si>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</si>
  <si>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</si>
  <si>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</si>
  <si>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</si>
  <si>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</si>
  <si>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</si>
  <si>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</si>
  <si>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</si>
  <si>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</si>
  <si>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</si>
  <si>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</si>
  <si>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</si>
  <si>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</si>
  <si>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</si>
  <si>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</si>
  <si>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</si>
  <si>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</si>
  <si>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</si>
  <si>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</si>
  <si>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</si>
  <si>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</si>
  <si>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</si>
  <si>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</si>
  <si>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</si>
  <si>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</si>
  <si>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</si>
  <si>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</si>
  <si>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</si>
  <si>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</si>
  <si>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</si>
  <si>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</si>
  <si>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</si>
  <si>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</si>
  <si>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</si>
  <si>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</si>
  <si>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</si>
  <si>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</si>
  <si>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</si>
  <si>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</si>
  <si>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</si>
  <si>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</si>
  <si>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</si>
  <si>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</si>
  <si>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</si>
  <si>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</si>
  <si>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</si>
  <si>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</si>
  <si>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</si>
  <si>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</si>
  <si>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</si>
  <si>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</si>
  <si>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</si>
  <si>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</si>
  <si>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</si>
  <si>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</si>
  <si>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</si>
  <si>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</si>
  <si>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</si>
  <si>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</si>
  <si>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</si>
  <si>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</si>
  <si>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</si>
  <si>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</si>
  <si>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</si>
  <si>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</si>
  <si>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</si>
  <si>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</si>
  <si>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</si>
  <si>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</si>
  <si>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</si>
  <si>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</si>
  <si>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</si>
  <si>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</si>
  <si>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</si>
  <si>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</si>
  <si>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</si>
  <si>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</si>
  <si>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</si>
  <si>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</si>
  <si>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</si>
  <si>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</si>
  <si>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</si>
  <si>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</si>
  <si>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</si>
  <si>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</si>
  <si>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</si>
  <si>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</si>
  <si>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</si>
  <si>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</si>
  <si>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</si>
  <si>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</si>
  <si>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</si>
  <si>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</si>
  <si>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</si>
  <si>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</si>
  <si>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</si>
  <si>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</si>
  <si>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</si>
  <si>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</si>
  <si>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</si>
  <si>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</si>
  <si>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</si>
  <si>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</si>
  <si>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</si>
  <si>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</si>
  <si>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</si>
  <si>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</si>
  <si>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</si>
  <si>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</si>
  <si>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</si>
  <si>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</si>
  <si>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</si>
  <si>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</si>
  <si>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</si>
  <si>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</si>
  <si>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</si>
  <si>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</si>
  <si>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</si>
  <si>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</si>
  <si>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</si>
  <si>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</si>
  <si>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</si>
  <si>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</si>
  <si>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</si>
  <si>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</si>
  <si>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</si>
  <si>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</si>
  <si>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</si>
  <si>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</si>
  <si>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</si>
  <si>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</si>
  <si>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</si>
  <si>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</si>
  <si>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</si>
  <si>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</si>
  <si>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</si>
  <si>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</si>
  <si>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</si>
  <si>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</si>
  <si>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</si>
  <si>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</si>
  <si>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</si>
  <si>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</si>
  <si>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</si>
  <si>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</si>
  <si>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</si>
  <si>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</si>
  <si>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</si>
  <si>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</si>
  <si>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</si>
  <si>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</si>
  <si>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</si>
  <si>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</si>
  <si>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</si>
  <si>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</si>
  <si>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</si>
  <si>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</si>
  <si>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</si>
  <si>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</si>
  <si>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</si>
  <si>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</si>
  <si>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</si>
  <si>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</si>
  <si>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</si>
  <si>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</si>
  <si>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</si>
  <si>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</si>
  <si>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</si>
  <si>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</si>
  <si>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</si>
  <si>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</si>
  <si>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</si>
  <si>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</si>
  <si>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</si>
  <si>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</si>
  <si>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</si>
  <si>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</si>
  <si>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</si>
  <si>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</si>
  <si>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</si>
  <si>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</si>
  <si>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</si>
  <si>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</si>
  <si>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</si>
  <si>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</si>
  <si>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</si>
  <si>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</si>
  <si>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</si>
  <si>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</si>
  <si>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</si>
  <si>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</si>
  <si>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</si>
  <si>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</si>
  <si>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</si>
  <si>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</si>
  <si>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</si>
  <si>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</si>
  <si>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</si>
  <si>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</si>
  <si>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</si>
  <si>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</si>
  <si>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</si>
  <si>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</si>
  <si>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</si>
  <si>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</si>
  <si>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</si>
  <si>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</si>
  <si>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</si>
  <si>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</si>
  <si>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</si>
  <si>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</si>
  <si>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</si>
  <si>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</si>
  <si>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</si>
  <si>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</si>
  <si>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</si>
  <si>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</si>
  <si>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</si>
  <si>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</si>
  <si>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</si>
  <si>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</si>
  <si>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</si>
  <si>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</si>
  <si>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</si>
  <si>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</si>
  <si>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</si>
  <si>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</si>
  <si>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</si>
  <si>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</si>
  <si>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</si>
  <si>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</si>
  <si>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</si>
  <si>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</si>
  <si>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</si>
  <si>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</si>
  <si>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</si>
  <si>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</si>
  <si>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</si>
  <si>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</si>
  <si>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</si>
  <si>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</si>
  <si>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</si>
  <si>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</si>
  <si>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</si>
  <si>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</si>
  <si>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</si>
  <si>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</si>
  <si>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</si>
  <si>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</si>
  <si>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</si>
  <si>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</si>
  <si>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</si>
  <si>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</si>
  <si>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</si>
  <si>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</si>
  <si>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</si>
  <si>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</si>
  <si>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</si>
  <si>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</si>
  <si>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</si>
  <si>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</si>
  <si>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</si>
  <si>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</si>
  <si>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</si>
  <si>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</si>
  <si>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</si>
  <si>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</si>
  <si>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</si>
  <si>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</si>
  <si>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</si>
  <si>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</si>
  <si>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</si>
  <si>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</si>
  <si>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</si>
  <si>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</si>
  <si>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</si>
  <si>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</si>
  <si>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</si>
  <si>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</si>
  <si>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</si>
  <si>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</si>
  <si>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</si>
  <si>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</si>
  <si>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</si>
  <si>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</si>
  <si>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</si>
  <si>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</si>
  <si>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</si>
  <si>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</si>
  <si>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</si>
  <si>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</si>
  <si>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</si>
  <si>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</si>
  <si>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</si>
  <si>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</si>
  <si>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</si>
  <si>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</si>
  <si>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</si>
  <si>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</si>
  <si>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</si>
  <si>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</si>
  <si>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</si>
  <si>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</si>
  <si>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</si>
  <si>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</si>
  <si>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</si>
  <si>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</si>
  <si>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</si>
  <si>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</si>
  <si>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</si>
  <si>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</si>
  <si>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</si>
  <si>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</si>
  <si>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</si>
  <si>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</si>
  <si>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</si>
  <si>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</si>
  <si>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</si>
  <si>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</si>
  <si>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</si>
  <si>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</si>
  <si>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</si>
  <si>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</si>
  <si>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</si>
  <si>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</si>
  <si>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</si>
  <si>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</si>
  <si>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</si>
  <si>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</si>
  <si>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</si>
  <si>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</si>
  <si>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</si>
  <si>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</si>
  <si>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</si>
  <si>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</si>
  <si>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</si>
  <si>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</si>
  <si>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</si>
  <si>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</si>
  <si>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</si>
  <si>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</si>
  <si>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</si>
  <si>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</si>
  <si>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</si>
  <si>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</si>
  <si>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</si>
  <si>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</si>
  <si>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</si>
  <si>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</si>
  <si>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</si>
  <si>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</si>
  <si>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</si>
  <si>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</si>
  <si>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</si>
  <si>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</si>
  <si>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</si>
  <si>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</si>
  <si>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</si>
  <si>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</si>
  <si>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</si>
  <si>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</si>
  <si>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</si>
  <si>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</si>
  <si>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</si>
  <si>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</si>
  <si>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</si>
  <si>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</si>
  <si>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</si>
  <si>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</si>
  <si>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</si>
  <si>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</si>
  <si>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</si>
  <si>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</si>
  <si>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</si>
  <si>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</si>
  <si>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</si>
  <si>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</si>
  <si>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</si>
  <si>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</si>
  <si>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</si>
  <si>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</si>
  <si>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</si>
  <si>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</si>
  <si>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</si>
  <si>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</si>
  <si>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</si>
  <si>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</si>
  <si>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</si>
  <si>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</si>
  <si>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</si>
  <si>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</si>
  <si>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</si>
  <si>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</si>
  <si>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</si>
  <si>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</si>
  <si>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</si>
  <si>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</si>
  <si>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</si>
  <si>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</si>
  <si>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</si>
  <si>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</si>
  <si>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</si>
  <si>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</si>
  <si>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</si>
  <si>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</si>
  <si>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</si>
  <si>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</si>
  <si>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</si>
  <si>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</si>
  <si>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</si>
  <si>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</si>
  <si>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</si>
  <si>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</si>
  <si>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</si>
  <si>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</si>
  <si>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</si>
  <si>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</si>
  <si>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</si>
  <si>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</si>
  <si>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</si>
  <si>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</si>
  <si>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</si>
  <si>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</si>
  <si>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</si>
  <si>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</si>
  <si>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</si>
  <si>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</si>
  <si>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</si>
  <si>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</si>
  <si>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</si>
  <si>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</si>
  <si>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</si>
  <si>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</si>
  <si>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</si>
  <si>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</si>
  <si>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</si>
  <si>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</si>
  <si>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</si>
  <si>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</si>
  <si>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</si>
  <si>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</si>
  <si>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</si>
  <si>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</si>
  <si>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</si>
  <si>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</si>
  <si>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</si>
  <si>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</si>
  <si>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</si>
  <si>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</si>
  <si>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</si>
  <si>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</si>
  <si>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</si>
  <si>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</si>
  <si>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</si>
  <si>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</si>
  <si>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</si>
  <si>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</si>
  <si>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</si>
  <si>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</si>
  <si>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</si>
  <si>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</si>
  <si>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</si>
  <si>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</si>
  <si>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</si>
  <si>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</si>
  <si>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</si>
  <si>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</si>
  <si>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</si>
  <si>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</si>
  <si>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</si>
  <si>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</si>
  <si>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</si>
  <si>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</si>
  <si>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</si>
  <si>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</si>
  <si>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</si>
  <si>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</si>
  <si>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</si>
  <si>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</si>
  <si>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</si>
  <si>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</si>
  <si>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</si>
  <si>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</si>
  <si>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</si>
  <si>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</si>
  <si>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</si>
  <si>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</si>
  <si>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</si>
  <si>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</si>
  <si>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</si>
  <si>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</si>
  <si>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</si>
  <si>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</si>
  <si>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</si>
  <si>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</si>
  <si>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</si>
  <si>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</si>
  <si>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</si>
  <si>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</si>
  <si>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</si>
  <si>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</si>
  <si>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</si>
  <si>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</si>
  <si>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</si>
  <si>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</si>
  <si>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</si>
  <si>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</si>
  <si>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</si>
  <si>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</si>
  <si>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</si>
  <si>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</si>
  <si>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</si>
  <si>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</si>
  <si>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</si>
  <si>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</si>
  <si>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</si>
  <si>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</si>
  <si>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</si>
  <si>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</si>
  <si>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</si>
  <si>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</si>
  <si>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</si>
  <si>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</si>
  <si>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</si>
  <si>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</si>
  <si>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</si>
  <si>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</si>
  <si>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</si>
  <si>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</si>
  <si>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</si>
  <si>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</si>
  <si>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</si>
  <si>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</si>
  <si>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</si>
  <si>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</si>
  <si>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</si>
  <si>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</si>
  <si>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</si>
  <si>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</si>
  <si>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</si>
  <si>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</si>
  <si>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</si>
  <si>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</si>
  <si>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</si>
  <si>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</si>
  <si>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</si>
  <si>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</si>
  <si>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</si>
  <si>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</si>
  <si>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</si>
  <si>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</si>
  <si>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</si>
  <si>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</si>
  <si>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</si>
  <si>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</si>
  <si>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</si>
  <si>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</si>
  <si>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</si>
  <si>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</si>
  <si>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</si>
  <si>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</si>
  <si>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</si>
  <si>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</si>
  <si>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</si>
  <si>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</si>
  <si>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</si>
  <si>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</si>
  <si>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</si>
  <si>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</si>
  <si>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</si>
  <si>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</si>
  <si>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</si>
  <si>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</si>
  <si>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</si>
  <si>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</si>
  <si>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</si>
  <si>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</si>
  <si>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</si>
  <si>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</si>
  <si>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</si>
  <si>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</si>
  <si>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</si>
  <si>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</si>
  <si>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</si>
  <si>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</si>
  <si>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</si>
  <si>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</si>
  <si>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</si>
  <si>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</si>
  <si>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</si>
  <si>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</si>
  <si>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</si>
  <si>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</si>
  <si>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</si>
  <si>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</si>
  <si>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</si>
  <si>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</si>
  <si>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</si>
  <si>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</si>
  <si>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</si>
  <si>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</si>
  <si>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</si>
  <si>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</si>
  <si>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</si>
  <si>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</si>
  <si>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</si>
  <si>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</si>
  <si>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</si>
  <si>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</si>
  <si>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</si>
  <si>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</si>
  <si>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</si>
  <si>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</si>
  <si>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</si>
  <si>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</si>
  <si>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</si>
  <si>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</si>
  <si>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</si>
  <si>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</si>
  <si>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</si>
  <si>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</si>
  <si>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</si>
  <si>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</si>
  <si>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</si>
  <si>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</si>
  <si>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</si>
  <si>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</si>
  <si>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</si>
  <si>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</si>
  <si>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</si>
  <si>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</si>
  <si>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</si>
  <si>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</si>
  <si>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</si>
  <si>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</si>
  <si>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</si>
  <si>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</si>
  <si>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</si>
  <si>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</si>
  <si>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</si>
  <si>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</si>
  <si>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</si>
  <si>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</si>
  <si>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</si>
  <si>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</si>
  <si>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</si>
  <si>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</si>
  <si>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</si>
  <si>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</si>
  <si>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</si>
  <si>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</si>
  <si>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</si>
  <si>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</si>
  <si>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</si>
  <si>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</si>
  <si>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</si>
  <si>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</si>
  <si>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</si>
  <si>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</si>
  <si>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</si>
  <si>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</si>
  <si>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</si>
  <si>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</si>
  <si>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</si>
  <si>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</si>
  <si>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</si>
  <si>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</si>
  <si>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</si>
  <si>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</si>
  <si>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</si>
  <si>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</si>
  <si>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</si>
  <si>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</si>
  <si>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</si>
  <si>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</si>
  <si>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</si>
  <si>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</si>
  <si>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</si>
  <si>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</si>
  <si>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</si>
  <si>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</si>
  <si>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</si>
  <si>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</si>
  <si>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</si>
  <si>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</si>
  <si>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</si>
  <si>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</si>
  <si>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</si>
  <si>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</si>
  <si>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</si>
  <si>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</si>
  <si>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</si>
  <si>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</si>
  <si>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</si>
  <si>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</si>
  <si>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</si>
  <si>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</si>
  <si>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</si>
  <si>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</si>
  <si>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</si>
  <si>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</si>
  <si>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</si>
  <si>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</si>
  <si>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</si>
  <si>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</si>
  <si>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</si>
  <si>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</si>
  <si>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</si>
  <si>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</si>
  <si>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</si>
  <si>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</si>
  <si>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</si>
  <si>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</si>
  <si>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</si>
  <si>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</si>
  <si>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</si>
  <si>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</si>
  <si>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</si>
  <si>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</si>
  <si>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</si>
  <si>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</si>
  <si>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</si>
  <si>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</si>
  <si>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</si>
  <si>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</si>
  <si>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</si>
  <si>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</si>
  <si>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</si>
  <si>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</si>
  <si>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</si>
  <si>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</si>
  <si>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</si>
  <si>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</si>
  <si>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</si>
  <si>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</si>
  <si>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</si>
  <si>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</si>
  <si>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</si>
  <si>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</si>
  <si>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</si>
  <si>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</si>
  <si>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</si>
  <si>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</si>
  <si>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</si>
  <si>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</si>
  <si>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</si>
  <si>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</si>
  <si>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</si>
  <si>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</si>
  <si>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</si>
  <si>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</si>
  <si>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</si>
  <si>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</si>
  <si>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</si>
  <si>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</si>
  <si>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</si>
  <si>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</si>
  <si>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</si>
  <si>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</si>
  <si>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</si>
  <si>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</si>
  <si>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</si>
  <si>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</si>
  <si>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</si>
  <si>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</si>
  <si>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</si>
  <si>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</si>
  <si>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</si>
  <si>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</si>
  <si>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</si>
  <si>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</si>
  <si>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</si>
  <si>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</si>
  <si>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</si>
  <si>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</si>
  <si>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</si>
  <si>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</si>
  <si>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</si>
  <si>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</si>
  <si>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</si>
  <si>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</si>
  <si>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</si>
  <si>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</si>
  <si>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</si>
  <si>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</si>
  <si>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</si>
  <si>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</si>
  <si>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</si>
  <si>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</si>
  <si>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</si>
  <si>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</si>
  <si>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</si>
  <si>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</si>
  <si>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</si>
  <si>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</si>
  <si>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</si>
  <si>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</si>
  <si>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</si>
  <si>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</si>
  <si>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</si>
  <si>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</si>
  <si>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</si>
  <si>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</si>
  <si>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</si>
  <si>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</si>
  <si>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</si>
  <si>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</si>
  <si>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</si>
  <si>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</si>
  <si>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</si>
  <si>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</si>
  <si>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</si>
  <si>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</si>
  <si>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</si>
  <si>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</si>
  <si>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</si>
  <si>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</si>
  <si>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</si>
  <si>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</si>
  <si>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</si>
  <si>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</si>
  <si>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</si>
  <si>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</si>
  <si>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</si>
  <si>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</si>
  <si>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</si>
  <si>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</si>
  <si>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</si>
  <si>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</si>
  <si>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</si>
  <si>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</si>
  <si>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</si>
  <si>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</si>
  <si>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</si>
  <si>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</si>
  <si>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</si>
  <si>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</si>
  <si>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</si>
  <si>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</si>
  <si>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</si>
  <si>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</si>
  <si>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</si>
  <si>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</si>
  <si>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</si>
  <si>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</si>
  <si>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</si>
  <si>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</si>
  <si>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</si>
  <si>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</si>
  <si>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</si>
  <si>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</si>
  <si>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</si>
  <si>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</si>
  <si>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</si>
  <si>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</si>
  <si>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</si>
  <si>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</si>
  <si>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</si>
  <si>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</si>
  <si>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</si>
  <si>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</si>
  <si>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</si>
  <si>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</si>
  <si>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</si>
  <si>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</si>
  <si>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</si>
  <si>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</si>
  <si>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</si>
  <si>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</si>
  <si>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</si>
  <si>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</si>
  <si>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</si>
  <si>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</si>
  <si>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</si>
  <si>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</si>
  <si>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</si>
  <si>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</si>
  <si>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</si>
  <si>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</si>
  <si>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</si>
  <si>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</si>
  <si>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</si>
  <si>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</si>
  <si>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</si>
  <si>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</si>
  <si>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</si>
  <si>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</si>
  <si>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</si>
  <si>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</si>
  <si>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</si>
  <si>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</si>
  <si>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</si>
  <si>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</si>
  <si>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</si>
  <si>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</si>
  <si>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</si>
  <si>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</si>
  <si>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</si>
  <si>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</si>
  <si>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</si>
  <si>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</si>
  <si>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</si>
  <si>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</si>
  <si>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</si>
  <si>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</si>
  <si>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</si>
  <si>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</si>
  <si>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</si>
  <si>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</si>
  <si>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</si>
  <si>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</si>
  <si>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</si>
  <si>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</si>
  <si>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</si>
  <si>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</si>
  <si>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</si>
  <si>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</si>
  <si>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</si>
  <si>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</si>
  <si>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</si>
  <si>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</si>
  <si>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</si>
  <si>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</si>
  <si>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</si>
  <si>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</si>
  <si>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</si>
  <si>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</si>
  <si>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</si>
  <si>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</si>
  <si>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</si>
  <si>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</si>
  <si>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</si>
  <si>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</si>
  <si>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</si>
  <si>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</si>
  <si>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</si>
  <si>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</si>
  <si>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</si>
  <si>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</si>
  <si>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</si>
  <si>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</si>
  <si>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</si>
  <si>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</si>
  <si>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</si>
  <si>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</si>
  <si>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</si>
  <si>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</si>
  <si>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</si>
  <si>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</si>
  <si>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</si>
  <si>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</si>
  <si>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</si>
  <si>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</si>
  <si>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</si>
  <si>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</si>
  <si>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</si>
  <si>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</si>
  <si>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</si>
  <si>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</si>
  <si>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</si>
  <si>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</si>
  <si>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</si>
  <si>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</si>
  <si>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</si>
  <si>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</si>
  <si>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</si>
  <si>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</si>
  <si>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</si>
  <si>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</si>
  <si>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</si>
  <si>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</si>
  <si>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</si>
  <si>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</si>
  <si>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</si>
  <si>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</si>
  <si>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</si>
  <si>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</si>
  <si>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</si>
  <si>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</si>
  <si>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</si>
  <si>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</si>
  <si>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</si>
  <si>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</si>
  <si>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</si>
  <si>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</si>
  <si>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</si>
  <si>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</si>
  <si>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</si>
  <si>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</si>
  <si>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</si>
  <si>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</si>
  <si>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</si>
  <si>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</si>
  <si>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</si>
  <si>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</si>
  <si>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</si>
  <si>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</si>
  <si>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</si>
  <si>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</si>
  <si>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</si>
  <si>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</si>
  <si>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</si>
  <si>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</si>
  <si>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</si>
  <si>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</si>
  <si>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</si>
  <si>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</si>
  <si>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</si>
  <si>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</si>
  <si>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</si>
  <si>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</si>
  <si>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</si>
  <si>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</si>
  <si>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</si>
  <si>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</si>
  <si>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</si>
  <si>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</si>
  <si>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</si>
  <si>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</si>
  <si>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</si>
  <si>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</si>
  <si>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</si>
  <si>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</si>
  <si>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</si>
  <si>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</si>
  <si>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</si>
  <si>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</si>
  <si>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</si>
  <si>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</si>
  <si>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</si>
  <si>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</si>
  <si>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</si>
  <si>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</si>
  <si>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</si>
  <si>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</si>
  <si>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</si>
  <si>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</si>
  <si>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</si>
  <si>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</si>
  <si>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</si>
  <si>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</si>
  <si>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</si>
  <si>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</si>
  <si>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</si>
  <si>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</si>
  <si>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</si>
  <si>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</si>
  <si>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</si>
  <si>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</si>
  <si>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</si>
  <si>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</si>
  <si>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</si>
  <si>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</si>
  <si>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</si>
  <si>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</si>
  <si>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</si>
  <si>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</si>
  <si>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</si>
  <si>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</si>
  <si>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</si>
  <si>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</si>
  <si>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</si>
  <si>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</si>
  <si>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</si>
  <si>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</si>
  <si>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</si>
  <si>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</si>
  <si>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</si>
  <si>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</si>
  <si>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</si>
  <si>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</si>
  <si>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</si>
  <si>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</si>
  <si>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</si>
  <si>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</si>
  <si>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</si>
  <si>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</si>
  <si>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</si>
  <si>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</si>
  <si>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</si>
  <si>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</si>
  <si>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</si>
  <si>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</si>
  <si>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</si>
  <si>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</si>
  <si>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</si>
  <si>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</si>
  <si>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</si>
  <si>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</si>
  <si>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</si>
  <si>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</si>
  <si>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</si>
  <si>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</si>
  <si>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</si>
  <si>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</si>
  <si>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</si>
  <si>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</si>
  <si>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</si>
  <si>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</si>
  <si>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</si>
  <si>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</si>
  <si>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</si>
  <si>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</si>
  <si>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</si>
  <si>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</si>
  <si>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</si>
  <si>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</si>
  <si>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</si>
  <si>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</si>
  <si>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</si>
  <si>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</si>
  <si>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</si>
  <si>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</si>
  <si>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</si>
  <si>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</si>
  <si>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</si>
  <si>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</si>
  <si>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</si>
  <si>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</si>
  <si>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</si>
  <si>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</si>
  <si>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</si>
  <si>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</si>
  <si>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</si>
  <si>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</si>
  <si>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</si>
  <si>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</si>
  <si>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</si>
  <si>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</si>
  <si>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</si>
  <si>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</si>
  <si>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</si>
  <si>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</si>
  <si>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</si>
  <si>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</si>
  <si>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</si>
  <si>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</si>
  <si>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</si>
  <si>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</si>
  <si>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</si>
  <si>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</si>
  <si>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</si>
  <si>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</si>
  <si>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</si>
  <si>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</si>
  <si>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</si>
  <si>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</si>
  <si>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</si>
  <si>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</si>
  <si>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</si>
  <si>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</si>
  <si>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</si>
  <si>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</si>
  <si>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</si>
  <si>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</si>
  <si>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</si>
  <si>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</si>
  <si>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</si>
  <si>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</si>
  <si>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</si>
  <si>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</si>
  <si>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</si>
  <si>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</si>
  <si>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</si>
  <si>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</si>
  <si>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</si>
  <si>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</si>
  <si>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</si>
  <si>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</si>
  <si>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</si>
  <si>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</si>
  <si>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</si>
  <si>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</si>
  <si>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</si>
  <si>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</si>
  <si>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</si>
  <si>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</si>
  <si>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</si>
  <si>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</si>
  <si>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</si>
  <si>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</si>
  <si>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</si>
  <si>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</si>
  <si>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</si>
  <si>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</si>
  <si>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</si>
  <si>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</si>
  <si>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</si>
  <si>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</si>
  <si>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</si>
  <si>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</si>
  <si>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</si>
  <si>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</si>
  <si>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</si>
  <si>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</si>
  <si>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</si>
  <si>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</si>
  <si>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</si>
  <si>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</si>
  <si>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</si>
  <si>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</si>
  <si>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</si>
  <si>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</si>
  <si>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</si>
  <si>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</si>
  <si>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</si>
  <si>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</si>
  <si>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</si>
  <si>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</si>
  <si>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</si>
  <si>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</si>
  <si>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</si>
  <si>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</si>
  <si>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</si>
  <si>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</si>
  <si>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</si>
  <si>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</si>
  <si>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</si>
  <si>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</si>
  <si>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</si>
  <si>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</si>
  <si>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</si>
  <si>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</si>
  <si>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</si>
  <si>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</si>
  <si>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</si>
  <si>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</si>
  <si>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</si>
  <si>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</si>
  <si>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</si>
  <si>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</si>
  <si>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</si>
  <si>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</si>
  <si>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</si>
  <si>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</si>
  <si>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</si>
  <si>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</si>
  <si>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</si>
  <si>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</si>
  <si>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</si>
  <si>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</si>
  <si>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</si>
  <si>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</si>
  <si>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</si>
  <si>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</si>
  <si>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</si>
  <si>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</si>
  <si>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140" type="noConversion"/>
  </si>
  <si>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</si>
  <si>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</si>
  <si>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</si>
  <si>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</si>
  <si>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</si>
  <si>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</si>
  <si>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</si>
  <si>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</si>
  <si>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</si>
  <si>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</si>
  <si>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</si>
  <si>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</si>
  <si>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</si>
  <si>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</si>
  <si>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</si>
  <si>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</si>
  <si>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</si>
  <si>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</si>
  <si>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</si>
  <si>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</si>
  <si>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</si>
  <si>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</si>
  <si>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</si>
  <si>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</si>
  <si>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</si>
  <si>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</si>
  <si>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</si>
  <si>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</si>
  <si>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</si>
  <si>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</si>
  <si>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</si>
  <si>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</si>
  <si>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</si>
  <si>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</si>
  <si>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</si>
  <si>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</si>
  <si>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</si>
  <si>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</si>
  <si>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</si>
  <si>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</si>
  <si>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</si>
  <si>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</si>
  <si>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</si>
  <si>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</si>
  <si>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</si>
  <si>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</si>
  <si>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</si>
  <si>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喀左县公营子镇端正村</t>
  </si>
  <si>
    <t>朝阳市</t>
  </si>
  <si>
    <t>工业用地</t>
  </si>
  <si>
    <t>喀喇沁左翼蒙古族自治县</t>
  </si>
  <si>
    <t>2021-KZ-20</t>
  </si>
  <si>
    <t>大于0.8</t>
  </si>
  <si>
    <t>挂牌</t>
  </si>
  <si>
    <t>大于35</t>
  </si>
  <si>
    <t>未开工</t>
  </si>
  <si>
    <t>2021-06-07</t>
  </si>
  <si>
    <t>2021-06-26</t>
  </si>
  <si>
    <t>2021-07-05</t>
  </si>
  <si>
    <t>喀自然告字[2021]1号</t>
  </si>
  <si>
    <t>已成交</t>
  </si>
  <si>
    <t>朝阳宝康机械制造有限公司</t>
  </si>
  <si>
    <t>50年</t>
  </si>
  <si>
    <t>0星</t>
  </si>
  <si>
    <t>喀左县利州街道白音爱里村</t>
  </si>
  <si>
    <t>2021-KZ-10</t>
  </si>
  <si>
    <t>朝阳塑佳新材料有限公司</t>
  </si>
  <si>
    <t>喀左县公营子镇端正、大垤卜村</t>
  </si>
  <si>
    <t>2021-KZ-24</t>
  </si>
  <si>
    <t>大于或等于0.8</t>
  </si>
  <si>
    <t>大于或等于35</t>
  </si>
  <si>
    <t>喀左首龙机械加工有限公司</t>
  </si>
  <si>
    <t>喀左县公营子镇土城子村</t>
  </si>
  <si>
    <t>2021-KZ-22</t>
  </si>
  <si>
    <t>喀左鑫晟设备制造有限公司</t>
  </si>
  <si>
    <t>2021-KZ-26</t>
  </si>
  <si>
    <t>喀左县利州街道白音爱里、化金沟村</t>
  </si>
  <si>
    <t>2021-KZ-11</t>
  </si>
  <si>
    <t>喀左宝塑新材料有限公司</t>
  </si>
  <si>
    <t>2021-KZ-09</t>
  </si>
  <si>
    <t>辽宁大鸿明佳新材料有限公司</t>
  </si>
  <si>
    <t>喀左县公营子镇东垤卜村</t>
  </si>
  <si>
    <t>2021-KZ-17</t>
  </si>
  <si>
    <t>辽宁亚森重工机械设备制造有限公司</t>
  </si>
  <si>
    <t>喀左县利州街道碾子沟村</t>
  </si>
  <si>
    <t>2021-kz-01</t>
  </si>
  <si>
    <t>等于1</t>
  </si>
  <si>
    <t>等于49.94</t>
  </si>
  <si>
    <t>朝阳颢丰实业有限公司</t>
  </si>
  <si>
    <t>喀左县公营子镇土城子、下三家村</t>
  </si>
  <si>
    <t>2021-KZ-23</t>
  </si>
  <si>
    <t>辽宁瑞元表面处理有限公司</t>
  </si>
  <si>
    <t>2021-KZ-21</t>
  </si>
  <si>
    <t>朝阳协利新材料科技有限公司</t>
  </si>
  <si>
    <t>喀左县利州街道化金沟村</t>
  </si>
  <si>
    <t>2021-kz-07</t>
  </si>
  <si>
    <t>大于或等于30</t>
  </si>
  <si>
    <t>喀左瀚森木业有限公司</t>
  </si>
  <si>
    <t>2021-KZ-18</t>
  </si>
  <si>
    <t>天瑞恒(辽宁)工业技术有限公司</t>
  </si>
  <si>
    <t>喀左县山嘴子镇黄家店村</t>
  </si>
  <si>
    <t>2021-kz-05</t>
  </si>
  <si>
    <t>等于0.81</t>
  </si>
  <si>
    <t>等于37.87</t>
  </si>
  <si>
    <t>朝阳志达新材料有限公司</t>
  </si>
  <si>
    <t>2021-KZ-08</t>
  </si>
  <si>
    <t>喀左宝理塑研塑料有限公司</t>
  </si>
  <si>
    <t>2021-KZ-19</t>
  </si>
  <si>
    <t>朝阳泉海新材料有限公司</t>
  </si>
  <si>
    <t>2020-kz-49</t>
  </si>
  <si>
    <t>2020-12-30</t>
  </si>
  <si>
    <t>2021-01-23</t>
  </si>
  <si>
    <t>2021-02-01</t>
  </si>
  <si>
    <t>喀自然告字[2020]14号</t>
  </si>
  <si>
    <t>朝阳鑫垚机械制造有限公司</t>
  </si>
  <si>
    <t>2020-kz-87</t>
  </si>
  <si>
    <t>朝阳华林环保科技有限公司</t>
  </si>
  <si>
    <t>南哨街道五道营子村、柏沟村</t>
  </si>
  <si>
    <t>2020-kz-77</t>
  </si>
  <si>
    <t>开工中</t>
  </si>
  <si>
    <t>2020-10-19</t>
  </si>
  <si>
    <t>2020-11-10</t>
  </si>
  <si>
    <t>2020-11-19</t>
  </si>
  <si>
    <t>喀自然告字[2020]13号</t>
  </si>
  <si>
    <t>辽宁成润药业有限公司</t>
  </si>
  <si>
    <t>公营子镇端正村、土城子村</t>
  </si>
  <si>
    <t>2020-kz-75</t>
  </si>
  <si>
    <t>＞0.8</t>
  </si>
  <si>
    <t>&gt;35</t>
  </si>
  <si>
    <t>朝阳互通科技有限公司</t>
  </si>
  <si>
    <t>公营子镇土城子村、下三家村</t>
  </si>
  <si>
    <t>2020-kz-78</t>
  </si>
  <si>
    <t>朝阳康利康体育用品有限公司</t>
  </si>
  <si>
    <t>公营子镇下三家村</t>
  </si>
  <si>
    <t>2020-kz-76</t>
  </si>
  <si>
    <t>朝阳利恩新材料科技有限公司</t>
  </si>
  <si>
    <t>羊角沟镇大黄杖子村、烧锅杖子村、上窝铺村</t>
  </si>
  <si>
    <t>2020-kz-79</t>
  </si>
  <si>
    <t>喀左翔翼新能源开发有限公司</t>
  </si>
  <si>
    <t>2020-KZ-24</t>
  </si>
  <si>
    <t>2020-09-01</t>
  </si>
  <si>
    <t>2020-09-21</t>
  </si>
  <si>
    <t>2020-09-30</t>
  </si>
  <si>
    <t>喀自然告字[2020]11号</t>
  </si>
  <si>
    <t>朝阳三宏机械制造有限公司</t>
  </si>
  <si>
    <t>2020-kz-21</t>
  </si>
  <si>
    <t>朝阳昕锐科技智能装备有限公司</t>
  </si>
  <si>
    <t>2019-kz-31</t>
  </si>
  <si>
    <t>等于0.8</t>
  </si>
  <si>
    <t>等于35</t>
  </si>
  <si>
    <t>朝阳顺成陶瓷有限责任公司</t>
  </si>
  <si>
    <t>喀左县南哨街道梁家营子村</t>
  </si>
  <si>
    <t>2020-kz-40</t>
  </si>
  <si>
    <t>等于30</t>
  </si>
  <si>
    <t>喀左金茂达新型材料有限公司</t>
  </si>
  <si>
    <t>喀左县老爷庙镇十八奤村</t>
  </si>
  <si>
    <t>2020-kz-74</t>
  </si>
  <si>
    <t>等于1.06</t>
  </si>
  <si>
    <t>等于38.56</t>
  </si>
  <si>
    <t>2020-08-28</t>
  </si>
  <si>
    <t>2020-09-19</t>
  </si>
  <si>
    <t>2020-09-28</t>
  </si>
  <si>
    <t>喀自然告字[2020]10号</t>
  </si>
  <si>
    <t>朝阳韩伟蛋业有限公司</t>
  </si>
  <si>
    <t>喀左县兴隆庄镇头道洼村</t>
  </si>
  <si>
    <t>2020-kz-66</t>
  </si>
  <si>
    <t>大于或等于0.7</t>
  </si>
  <si>
    <t>2020-08-05</t>
  </si>
  <si>
    <t>2020-08-25</t>
  </si>
  <si>
    <t>2020-09-03</t>
  </si>
  <si>
    <t>喀自然告字[2020]9号</t>
  </si>
  <si>
    <t>喀左县康旺汽车修理有限司</t>
  </si>
  <si>
    <t>喀左县公营子镇桥子村</t>
  </si>
  <si>
    <t>2020-kz-65</t>
  </si>
  <si>
    <t>大于或等于1</t>
  </si>
  <si>
    <t>喀左宏发食品有限公司</t>
  </si>
  <si>
    <t>喀左县山嘴子镇炕杖子村</t>
  </si>
  <si>
    <t>2020-kz-63</t>
  </si>
  <si>
    <t>2020-07-23</t>
  </si>
  <si>
    <t>2020-08-12</t>
  </si>
  <si>
    <t>2020-08-21</t>
  </si>
  <si>
    <t>喀自然告字[2020]8号</t>
  </si>
  <si>
    <t>喀左县长实能源有限公司</t>
  </si>
  <si>
    <t>2020-kz-39</t>
  </si>
  <si>
    <t>2020-04-10</t>
  </si>
  <si>
    <t>2020-04-30</t>
  </si>
  <si>
    <t>2020-05-14</t>
  </si>
  <si>
    <t>喀自然告字[2020]4号</t>
  </si>
  <si>
    <t>朝阳昌达塑业有限公司</t>
  </si>
  <si>
    <t>喀左县南哨街道白音爱里村</t>
  </si>
  <si>
    <t>2019-kz-09</t>
  </si>
  <si>
    <t>喀左嘉泰塑业科技有限公司</t>
  </si>
  <si>
    <t>2019-05-06</t>
  </si>
  <si>
    <t>2019-05-27</t>
  </si>
  <si>
    <t>2019-06-05</t>
  </si>
  <si>
    <t>喀自然资告字[2019]7号</t>
  </si>
  <si>
    <t>喀左县公营子镇端正、土城子村</t>
  </si>
  <si>
    <t>2019-kz-35</t>
  </si>
  <si>
    <t>朝阳龙盛轻钢制品有限公司</t>
  </si>
  <si>
    <t>2020-kz-50</t>
  </si>
  <si>
    <t>朝阳凯威新型材料有限公司</t>
  </si>
  <si>
    <t>喀左县公营子镇端正村、土城子村</t>
  </si>
  <si>
    <t>2019-08-16</t>
  </si>
  <si>
    <t>2019-09-05</t>
  </si>
  <si>
    <t>2019-09-17</t>
  </si>
  <si>
    <t>喀自然资告字[2019]11号</t>
  </si>
  <si>
    <t>2020-kz-44</t>
  </si>
  <si>
    <t>2020-03-31</t>
  </si>
  <si>
    <t>2020-04-21</t>
  </si>
  <si>
    <t>喀自然告字[2020]3号</t>
  </si>
  <si>
    <t>喀左聚兴塑业科技有限公司</t>
  </si>
  <si>
    <t>2020-kz-10</t>
  </si>
  <si>
    <t>2020-02-19</t>
  </si>
  <si>
    <t>2020-03-10</t>
  </si>
  <si>
    <t>2020-03-19</t>
  </si>
  <si>
    <t>喀自然资告字[2020]2号</t>
  </si>
  <si>
    <t>朝阳金都橡塑有限公司</t>
  </si>
  <si>
    <t>2020-kz-06</t>
  </si>
  <si>
    <t>朝阳白塘口铸造有限公司</t>
  </si>
  <si>
    <t>2020-KZ-29</t>
  </si>
  <si>
    <t>朝阳华天科技环保有限公司</t>
  </si>
  <si>
    <t>2020-KZ-28</t>
  </si>
  <si>
    <t>朝阳三合智能装备制造有限公司</t>
  </si>
  <si>
    <t>喀左县公营子镇端正村、大垤卜村</t>
  </si>
  <si>
    <t>2020-kz-05</t>
  </si>
  <si>
    <t>朝阳康宏科技有限公司</t>
  </si>
  <si>
    <t>2020-KZ-25</t>
  </si>
  <si>
    <t>朝阳拓力矿山设备有限公司</t>
  </si>
  <si>
    <t>2020-KZ-23</t>
  </si>
  <si>
    <t>喀左鑫焱森科技有限公司</t>
  </si>
  <si>
    <t>喀左县公营子镇端正村、东垤卜村</t>
  </si>
  <si>
    <t>2020-KZ-15</t>
  </si>
  <si>
    <t>喀左实泰建材批发贸易有限公司</t>
  </si>
  <si>
    <t>2020-KZ-26</t>
  </si>
  <si>
    <t>朝阳兴锐机械工程设备有限公司</t>
  </si>
  <si>
    <t>2020-kz-14</t>
  </si>
  <si>
    <t>辽宁金凯源阀门制造有限公司</t>
  </si>
  <si>
    <t>2020-KZ-27</t>
  </si>
  <si>
    <t>朝阳正隆机械制造有限公司</t>
  </si>
  <si>
    <t>2020-KZ-30</t>
  </si>
  <si>
    <t>喀左四达工贸有限公司</t>
  </si>
  <si>
    <t>成交地面价(元/㎡)</t>
    <phoneticPr fontId="140" type="noConversion"/>
  </si>
  <si>
    <t>郑燚</t>
  </si>
  <si>
    <t>崔锴</t>
  </si>
  <si>
    <t>朝阳喀左经济开发区</t>
    <phoneticPr fontId="6" type="noConversion"/>
  </si>
  <si>
    <t>抵押</t>
  </si>
  <si>
    <t>房地产抵押价值</t>
  </si>
  <si>
    <t>北京通美晶体技术有限公司</t>
  </si>
  <si>
    <t>交通银行</t>
    <phoneticPr fontId="6" type="noConversion"/>
  </si>
  <si>
    <t>通路</t>
  </si>
  <si>
    <t>通电</t>
  </si>
  <si>
    <t>通讯</t>
  </si>
  <si>
    <t>通上水</t>
  </si>
  <si>
    <t>通下水</t>
  </si>
  <si>
    <t>燃气</t>
  </si>
  <si>
    <t>土地面积</t>
    <phoneticPr fontId="140" type="noConversion"/>
  </si>
  <si>
    <t>容积率</t>
    <phoneticPr fontId="140" type="noConversion"/>
  </si>
  <si>
    <t>建筑面积</t>
    <phoneticPr fontId="140" type="noConversion"/>
  </si>
  <si>
    <t>新地块</t>
    <phoneticPr fontId="140" type="noConversion"/>
  </si>
  <si>
    <t>旧地块</t>
    <phoneticPr fontId="140" type="noConversion"/>
  </si>
  <si>
    <t>合并后</t>
    <phoneticPr fontId="140" type="noConversion"/>
  </si>
  <si>
    <t>6号厂房</t>
    <phoneticPr fontId="140" type="noConversion"/>
  </si>
  <si>
    <t>5个厂房</t>
    <phoneticPr fontId="140" type="noConversion"/>
  </si>
  <si>
    <t>租金</t>
    <phoneticPr fontId="140" type="noConversion"/>
  </si>
  <si>
    <t>1层</t>
  </si>
  <si>
    <t>2层/局部1层</t>
  </si>
  <si>
    <t>2层</t>
  </si>
  <si>
    <t>4层/局部5层</t>
  </si>
  <si>
    <t>建筑面积</t>
    <phoneticPr fontId="140" type="noConversion"/>
  </si>
  <si>
    <t>1幢成品库房</t>
    <phoneticPr fontId="140" type="noConversion"/>
  </si>
  <si>
    <t>建成年代</t>
    <phoneticPr fontId="140" type="noConversion"/>
  </si>
  <si>
    <t>结构</t>
    <phoneticPr fontId="140" type="noConversion"/>
  </si>
  <si>
    <t>钢</t>
    <phoneticPr fontId="140" type="noConversion"/>
  </si>
  <si>
    <t>2幢生产车间</t>
    <phoneticPr fontId="140" type="noConversion"/>
  </si>
  <si>
    <t>3幢生产车间</t>
    <phoneticPr fontId="140" type="noConversion"/>
  </si>
  <si>
    <t>4幢附属用房</t>
    <phoneticPr fontId="140" type="noConversion"/>
  </si>
  <si>
    <t>钢混</t>
    <phoneticPr fontId="140" type="noConversion"/>
  </si>
  <si>
    <t>5幢仓库</t>
    <phoneticPr fontId="140" type="noConversion"/>
  </si>
  <si>
    <t>成新度</t>
    <phoneticPr fontId="140" type="noConversion"/>
  </si>
  <si>
    <t>合计</t>
    <phoneticPr fontId="140" type="noConversion"/>
  </si>
  <si>
    <t>是</t>
  </si>
  <si>
    <t>地上</t>
  </si>
  <si>
    <t>标准厂房</t>
  </si>
  <si>
    <t>工业</t>
    <phoneticPr fontId="7" type="noConversion"/>
  </si>
  <si>
    <t>成新度</t>
  </si>
  <si>
    <t>http://www.zgcy.gov.cn/ZGCY/zwgk/20021127/004006002_f8ac7071-f67c-425b-85f3-eee146cfbc0b.htm</t>
    <phoneticPr fontId="3" type="noConversion"/>
  </si>
  <si>
    <t>http://www.zgcy.gov.cn/ZGCY/zwgk/20180711/004006001_248acca3-bead-4f91-b0dc-7308ea6966f7.htm</t>
    <phoneticPr fontId="3" type="noConversion"/>
  </si>
  <si>
    <t>建安</t>
    <phoneticPr fontId="140" type="noConversion"/>
  </si>
  <si>
    <t>成本法</t>
  </si>
  <si>
    <t>收益法</t>
  </si>
  <si>
    <t>其他：</t>
  </si>
  <si>
    <t>企业</t>
  </si>
  <si>
    <t>出让</t>
  </si>
  <si>
    <t>北京通美晶体技术有限公司</t>
    <phoneticPr fontId="6" type="noConversion"/>
  </si>
  <si>
    <t>朝阳通美晶体技术有限公司</t>
    <phoneticPr fontId="6" type="noConversion"/>
  </si>
  <si>
    <t>辽宁省朝阳市</t>
    <phoneticPr fontId="6" type="noConversion"/>
  </si>
  <si>
    <t>工业</t>
    <phoneticPr fontId="33" type="noConversion"/>
  </si>
  <si>
    <t>单位面积地价</t>
  </si>
  <si>
    <t>规则</t>
  </si>
  <si>
    <t>较规则</t>
  </si>
  <si>
    <t>七通</t>
  </si>
  <si>
    <t>六通</t>
  </si>
  <si>
    <t>五通</t>
  </si>
  <si>
    <t>好</t>
  </si>
  <si>
    <t>较好</t>
  </si>
  <si>
    <t>正常</t>
  </si>
  <si>
    <t>一般</t>
  </si>
  <si>
    <t>押一</t>
  </si>
  <si>
    <t>按租金收入计税</t>
  </si>
  <si>
    <t>钢</t>
  </si>
  <si>
    <t>生产用房</t>
  </si>
  <si>
    <t>未包含在土地购买价格中</t>
  </si>
  <si>
    <t>已包含在土地取得成本中</t>
  </si>
  <si>
    <t>不动产权证</t>
    <phoneticPr fontId="140" type="noConversion"/>
  </si>
  <si>
    <t>辽（2021）喀左县不动产权第20210015786号</t>
    <phoneticPr fontId="140" type="noConversion"/>
  </si>
  <si>
    <t>辽（2021）喀左县不动产权第20210015785号</t>
    <phoneticPr fontId="140" type="noConversion"/>
  </si>
  <si>
    <t>辽（2021）喀左县不动产权第20210015787号</t>
    <phoneticPr fontId="140" type="noConversion"/>
  </si>
  <si>
    <t>辽（2021）喀左县不动产权第20210015784号</t>
    <phoneticPr fontId="140" type="noConversion"/>
  </si>
  <si>
    <t>辽（2021）喀左县不动产权第20210015789号</t>
    <phoneticPr fontId="140" type="noConversion"/>
  </si>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</sst>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rgb="FFFF0000"/>
      <name val="宋体"/>
      <family val="3"/>
      <charset val="134"/>
      <scheme val="minor"/>
    </font>
    <font>
      <sz val="10.5"/>
      <color theme="1"/>
      <name val="方正黑体简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11" fillId="0" borderId="0" xfId="0" applyFont="1" applyAlignment="1"/>
    <xf numFmtId="0" fontId="254" fillId="0" borderId="0" xfId="0" applyFont="1" applyAlignment="1"/>
    <xf numFmtId="49" fontId="234" fillId="13" borderId="4" xfId="0" applyNumberFormat="1" applyFont="1" applyFill="1" applyBorder="1" applyAlignment="1" applyProtection="1">
      <alignment horizontal="left" vertical="center"/>
      <protection locked="0"/>
    </xf>
    <xf numFmtId="0" fontId="79" fillId="7" borderId="150" xfId="0" applyFont="1" applyFill="1" applyBorder="1" applyAlignment="1" applyProtection="1">
      <alignment vertical="center" wrapText="1"/>
      <protection locked="0"/>
    </xf>
    <xf numFmtId="0" fontId="255" fillId="0" borderId="0" xfId="0" applyFont="1">
      <alignment vertical="center"/>
    </xf>
    <xf numFmtId="0" fontId="79" fillId="7" borderId="5" xfId="0" applyFont="1" applyFill="1" applyBorder="1" applyAlignment="1" applyProtection="1">
      <alignment vertical="center"/>
      <protection locked="0"/>
    </xf>
    <xf numFmtId="0" fontId="60" fillId="5"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7" borderId="54"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174" fillId="0" borderId="23" xfId="0" applyNumberFormat="1"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0" xfId="0" applyFont="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辽宁省朝阳市朝阳喀左经济开发区房地产抵押价值预评估</v>
      </c>
    </row>
    <row r="3" spans="1:2" s="1365" customFormat="1">
      <c r="A3" s="1363" t="s">
        <v>1188</v>
      </c>
      <c r="B3" s="1364" t="str">
        <f>'预评函-封皮'!B40</f>
        <v>北京通美晶体技术有限公司</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受贵公司委托，我公司对辽宁省朝阳市朝阳喀左经济开发区房地产抵押价值进行了预评估。</v>
      </c>
    </row>
    <row r="7" spans="1:2" s="1365" customFormat="1">
      <c r="A7" s="1363" t="s">
        <v>1231</v>
      </c>
      <c r="B7" s="1364" t="str">
        <f>'预评函-1'!A7</f>
        <v>估价对象为辽宁省朝阳市朝阳喀左经济开发区房地产，为朝阳通美晶体技术有限公司所有。根据《国有土地使用证》[]，估价对象（分摊）出让国有建设用地使用权面积为166699.11平方米，建筑面积为28660.61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辽宁省朝阳市朝阳喀左经济开发区房地产,属朝阳通美晶体技术有限公司开发建设的，该项目尚在开发建设中。根据《国有土地使用证》[]，估价对象（分摊）出让国有建设用地使用权面积为166699.11平方米，规划建筑面积为28660.61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为估价委托人在向交通银行办理贷款手续过程中，确定房地产抵押贷款额度提供参考依据而评估房地产抵押价值。</v>
      </c>
    </row>
    <row r="12" spans="1:2" s="1365" customFormat="1">
      <c r="A12" s="1363" t="s">
        <v>1193</v>
      </c>
      <c r="B12" s="1364" t="str">
        <f>'预评函-1'!A15</f>
        <v>2021年9月15日（评估专业人员实地查勘之日）</v>
      </c>
    </row>
    <row r="13" spans="1:2" s="1365" customFormat="1">
      <c r="A13" s="1363" t="s">
        <v>1194</v>
      </c>
      <c r="B13" s="1364" t="str">
        <f>'预评函-1'!A18</f>
        <v>本次估价的“房地产价值”是指在正常市场情况下，在价值时点2021年9月15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11597</v>
      </c>
    </row>
    <row r="21" spans="1:2" s="1365" customFormat="1">
      <c r="A21" s="1363" t="s">
        <v>1202</v>
      </c>
      <c r="B21" s="1364">
        <f ca="1">'预评函-2'!D7</f>
        <v>4046</v>
      </c>
    </row>
    <row r="22" spans="1:2" s="1365" customFormat="1">
      <c r="A22" s="1363" t="s">
        <v>1203</v>
      </c>
      <c r="B22" s="1364" t="str">
        <f ca="1">'预评函-2'!D6</f>
        <v>壹亿壹仟伍佰玖拾柒万元整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11597</v>
      </c>
    </row>
    <row r="31" spans="1:2" s="1365" customFormat="1">
      <c r="A31" s="1363" t="s">
        <v>1241</v>
      </c>
      <c r="B31" s="1364">
        <f ca="1">'预评函-2'!D15</f>
        <v>4046</v>
      </c>
    </row>
    <row r="32" spans="1:2" s="1365" customFormat="1">
      <c r="A32" s="1363" t="s">
        <v>1208</v>
      </c>
      <c r="B32" s="1364" t="str">
        <f ca="1">'预评函-2'!D14</f>
        <v>壹亿壹仟伍佰玖拾柒万元整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辽宁省朝阳市朝阳喀左经济开发区房地产</v>
      </c>
    </row>
    <row r="42" spans="1:2" s="1365" customFormat="1">
      <c r="A42" s="1363" t="s">
        <v>1255</v>
      </c>
      <c r="B42" s="1364" t="str">
        <f>'预评函-3'!B2</f>
        <v>建筑面积</v>
      </c>
    </row>
    <row r="43" spans="1:2" s="1365" customFormat="1">
      <c r="A43" s="1363" t="s">
        <v>1256</v>
      </c>
      <c r="B43" s="1364">
        <f>'预评函-3'!B4</f>
        <v>28660.61</v>
      </c>
    </row>
    <row r="44" spans="1:2" s="1365" customFormat="1">
      <c r="A44" s="1363" t="s">
        <v>1240</v>
      </c>
      <c r="B44" s="1364" t="str">
        <f>'预评函-3'!C2</f>
        <v>(分摊)土地面积</v>
      </c>
    </row>
    <row r="45" spans="1:2" s="1365" customFormat="1">
      <c r="A45" s="1363" t="s">
        <v>1212</v>
      </c>
      <c r="B45" s="1364">
        <f>'预评函-3'!C4</f>
        <v>166699.10999999999</v>
      </c>
    </row>
    <row r="46" spans="1:2" s="1365" customFormat="1">
      <c r="A46" s="1363" t="s">
        <v>1238</v>
      </c>
      <c r="B46" s="1364" t="str">
        <f>'预评函-3'!D2</f>
        <v>出让国有建设用地使用权价值</v>
      </c>
    </row>
    <row r="47" spans="1:2" s="1365" customFormat="1">
      <c r="A47" s="1363" t="s">
        <v>1213</v>
      </c>
      <c r="B47" s="1364">
        <f>'预评函-3'!D4</f>
        <v>3701</v>
      </c>
    </row>
    <row r="48" spans="1:2" s="1365" customFormat="1">
      <c r="A48" s="1363" t="s">
        <v>1214</v>
      </c>
      <c r="B48" s="1364">
        <f>'预评函-3'!E4</f>
        <v>1291</v>
      </c>
    </row>
    <row r="49" spans="1:2" s="1365" customFormat="1">
      <c r="A49" s="1363" t="s">
        <v>1215</v>
      </c>
      <c r="B49" s="1364" t="str">
        <f>'预评函-3'!D5</f>
        <v>叁仟柒佰零壹万元整</v>
      </c>
    </row>
    <row r="50" spans="1:2" s="1365" customFormat="1">
      <c r="A50" s="1363" t="s">
        <v>1239</v>
      </c>
      <c r="B50" s="1364" t="str">
        <f>'预评函-3'!F2</f>
        <v>在建建筑物价值</v>
      </c>
    </row>
    <row r="51" spans="1:2" s="1365" customFormat="1">
      <c r="A51" s="1363" t="s">
        <v>1216</v>
      </c>
      <c r="B51" s="1364">
        <f ca="1">'预评函-3'!F4</f>
        <v>7896</v>
      </c>
    </row>
    <row r="52" spans="1:2" s="1365" customFormat="1">
      <c r="A52" s="1363" t="s">
        <v>1217</v>
      </c>
      <c r="B52" s="1364">
        <f ca="1">'预评函-3'!G4</f>
        <v>2755</v>
      </c>
    </row>
    <row r="53" spans="1:2" s="1365" customFormat="1">
      <c r="A53" s="1363" t="s">
        <v>1245</v>
      </c>
      <c r="B53" s="1364" t="str">
        <f ca="1">'预评函-3'!F5</f>
        <v>柒仟捌佰玖拾陆万元整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为估价委托人在向交通银行办理贷款手续过程中，确定房地产抵押贷款额度提供参考依据而评估房地产抵押价值。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美晶体技术有限公司拟使用辽宁省朝阳市朝阳喀左经济开发区房地产作为抵押担保物，向交通银行办理贷款手续。交通银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1739" t="s">
        <v>832</v>
      </c>
      <c r="C54" s="1736" t="s">
        <v>1248</v>
      </c>
    </row>
    <row r="55" spans="1:4">
      <c r="A55" s="3110"/>
      <c r="B55" s="1739" t="s">
        <v>833</v>
      </c>
      <c r="C55" s="1736" t="s">
        <v>1249</v>
      </c>
    </row>
    <row r="56" spans="1:4">
      <c r="A56" s="3110"/>
      <c r="B56" s="1739" t="s">
        <v>834</v>
      </c>
      <c r="C56" s="1736" t="s">
        <v>1253</v>
      </c>
    </row>
    <row r="57" spans="1:4">
      <c r="A57" s="311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34" sqref="J3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0" customWidth="1"/>
    <col min="12" max="13" width="10" style="2851"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19" t="str">
        <f>IF(B10="北京市","北京市",C10)&amp;F10&amp;IF(结果表!G1="在建","出让国有建设用地使用权及在建建筑物",IF(结果表!G1="土地","出让国有建设用地使用权",))&amp;B9&amp;"预评估"</f>
        <v>辽宁省朝阳市朝阳喀左经济开发区房地产抵押价值预评估</v>
      </c>
      <c r="C1" s="3120"/>
      <c r="D1" s="3120"/>
      <c r="E1" s="3120"/>
      <c r="F1" s="3120"/>
      <c r="G1" s="3120"/>
      <c r="H1" s="3120"/>
      <c r="I1" s="3121"/>
      <c r="J1" s="2692"/>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辽宁省朝阳市朝阳喀左经济开发区房地产抵押价值</v>
      </c>
      <c r="T1" s="1931"/>
      <c r="U1" s="1931"/>
      <c r="V1" s="1931"/>
      <c r="W1" s="1931"/>
      <c r="X1" s="1931"/>
      <c r="Y1" s="1931"/>
      <c r="Z1" s="1931"/>
      <c r="AA1" s="1931"/>
      <c r="AB1" s="1931"/>
    </row>
    <row r="2" spans="1:28">
      <c r="A2" s="2591" t="s">
        <v>2915</v>
      </c>
      <c r="B2" s="2595"/>
      <c r="C2" s="2596"/>
      <c r="D2" s="2893"/>
      <c r="E2" s="2884"/>
      <c r="F2" s="2884"/>
      <c r="G2" s="2885"/>
      <c r="H2" s="2885"/>
      <c r="I2" s="2885"/>
      <c r="J2" s="2692"/>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辽宁省朝阳市朝阳喀左经济开发区房地产</v>
      </c>
      <c r="T2" s="1931"/>
      <c r="U2" s="1931"/>
      <c r="V2" s="1931"/>
      <c r="W2" s="1931"/>
      <c r="X2" s="1931"/>
      <c r="Y2" s="1931"/>
      <c r="Z2" s="1931"/>
      <c r="AA2" s="1931"/>
      <c r="AB2" s="1931"/>
    </row>
    <row r="3" spans="1:28">
      <c r="A3" s="308" t="s">
        <v>2916</v>
      </c>
      <c r="B3" s="2597">
        <v>44454</v>
      </c>
      <c r="C3" s="2598" t="s">
        <v>2917</v>
      </c>
      <c r="D3" s="2597">
        <f>B3</f>
        <v>44454</v>
      </c>
      <c r="E3" s="2885"/>
      <c r="F3" s="2885"/>
      <c r="G3" s="2885"/>
      <c r="H3" s="2885"/>
      <c r="I3" s="2885"/>
      <c r="J3" s="2692"/>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3307</v>
      </c>
      <c r="C4" s="2600">
        <f ca="1">SUMIF(注册房地产估价师,B4,估价师及机构信息!B3:B24)</f>
        <v>1120070131</v>
      </c>
      <c r="D4" s="2599" t="s">
        <v>3308</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0"/>
      <c r="K4" s="2602" t="str">
        <f ca="1">CONCATENATE(B4,"（注册号：",C4,")、",D4,"（注册号：",E4,")")</f>
        <v>郑燚（注册号：1120070131)、崔锴（注册号：1120100036)</v>
      </c>
      <c r="L4" s="2593"/>
      <c r="M4" s="2593"/>
      <c r="N4" s="2594"/>
      <c r="O4" s="1761"/>
      <c r="P4" s="2594"/>
      <c r="Q4" s="2594"/>
      <c r="R4" s="2594"/>
      <c r="S4" s="1868"/>
      <c r="T4" s="1931"/>
      <c r="U4" s="1931"/>
      <c r="V4" s="1931"/>
      <c r="W4" s="1931"/>
      <c r="X4" s="1931"/>
      <c r="Y4" s="1931"/>
      <c r="Z4" s="1931"/>
      <c r="AA4" s="1931"/>
      <c r="AB4" s="1931"/>
    </row>
    <row r="5" spans="1:28" ht="36.75" thickTop="1">
      <c r="A5" s="2603" t="s">
        <v>2919</v>
      </c>
      <c r="B5" s="3058" t="s">
        <v>3358</v>
      </c>
      <c r="C5" s="2604"/>
      <c r="D5" s="2605"/>
      <c r="E5" s="2886"/>
      <c r="F5" s="2886"/>
      <c r="G5" s="2886"/>
      <c r="H5" s="2886"/>
      <c r="I5" s="2886"/>
      <c r="J5" s="2660"/>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2920</v>
      </c>
      <c r="B6" s="3060" t="s">
        <v>3313</v>
      </c>
      <c r="C6" s="2607"/>
      <c r="D6" s="2608"/>
      <c r="E6" s="2884"/>
      <c r="F6" s="2886"/>
      <c r="G6" s="2886"/>
      <c r="H6" s="2886"/>
      <c r="I6" s="2886"/>
      <c r="J6" s="2660"/>
      <c r="K6" s="2836" t="str">
        <f>IF(COUNTIF(B6,"*上海银行*"),"上海银行","")</f>
        <v/>
      </c>
      <c r="L6" s="2834"/>
      <c r="M6" s="2834"/>
      <c r="N6" s="2660"/>
      <c r="O6" s="2671"/>
      <c r="P6" s="2660"/>
      <c r="Q6" s="2660"/>
      <c r="R6" s="2660"/>
    </row>
    <row r="7" spans="1:28">
      <c r="A7" s="2606" t="s">
        <v>2921</v>
      </c>
      <c r="B7" s="3059" t="s">
        <v>3312</v>
      </c>
      <c r="C7" s="2607"/>
      <c r="D7" s="2608"/>
      <c r="E7" s="2884"/>
      <c r="F7" s="2886"/>
      <c r="G7" s="2886"/>
      <c r="H7" s="2886"/>
      <c r="I7" s="2886"/>
      <c r="J7" s="2660"/>
      <c r="K7" s="2837"/>
      <c r="L7" s="2834"/>
      <c r="M7" s="2834"/>
      <c r="N7" s="2660"/>
      <c r="O7" s="2671"/>
      <c r="P7" s="2660"/>
      <c r="Q7" s="2660"/>
      <c r="R7" s="2660"/>
    </row>
    <row r="8" spans="1:28">
      <c r="A8" s="2609" t="s">
        <v>2922</v>
      </c>
      <c r="B8" s="2610" t="s">
        <v>3310</v>
      </c>
      <c r="C8" s="2611"/>
      <c r="D8" s="3122" t="s">
        <v>2923</v>
      </c>
      <c r="E8" s="2612" t="s">
        <v>3311</v>
      </c>
      <c r="F8" s="2613"/>
      <c r="G8" s="2885"/>
      <c r="H8" s="2885"/>
      <c r="I8" s="2885"/>
      <c r="J8" s="2660"/>
      <c r="K8" s="2835"/>
      <c r="L8" s="2834"/>
      <c r="M8" s="2834"/>
      <c r="N8" s="2660"/>
      <c r="O8" s="2671"/>
      <c r="P8" s="2660"/>
      <c r="Q8" s="2660"/>
      <c r="R8" s="2660"/>
    </row>
    <row r="9" spans="1:28" ht="13.5" thickBot="1">
      <c r="A9" s="2614" t="s">
        <v>2924</v>
      </c>
      <c r="B9" s="2615" t="s">
        <v>3311</v>
      </c>
      <c r="C9" s="2616"/>
      <c r="D9" s="3123"/>
      <c r="E9" s="2615" t="s">
        <v>70</v>
      </c>
      <c r="F9" s="2617"/>
      <c r="G9" s="2887"/>
      <c r="H9" s="2887"/>
      <c r="I9" s="2887"/>
      <c r="J9" s="2660"/>
      <c r="K9" s="2837"/>
      <c r="L9" s="2834"/>
      <c r="M9" s="2834"/>
      <c r="N9" s="2660"/>
      <c r="O9" s="2671"/>
      <c r="P9" s="2660"/>
      <c r="Q9" s="2660"/>
      <c r="R9" s="2660"/>
    </row>
    <row r="10" spans="1:28" ht="13.5" thickTop="1">
      <c r="A10" s="2618" t="s">
        <v>2925</v>
      </c>
      <c r="B10" s="2619" t="s">
        <v>3355</v>
      </c>
      <c r="C10" s="3064" t="s">
        <v>3360</v>
      </c>
      <c r="D10" s="2605"/>
      <c r="E10" s="2620" t="s">
        <v>2926</v>
      </c>
      <c r="F10" s="3057" t="s">
        <v>3309</v>
      </c>
      <c r="G10" s="2888"/>
      <c r="H10" s="2889"/>
      <c r="I10" s="2890"/>
      <c r="J10" s="2660"/>
      <c r="K10" s="2837"/>
      <c r="L10" s="2834"/>
      <c r="M10" s="2834"/>
      <c r="N10" s="2660"/>
      <c r="O10" s="2671"/>
      <c r="P10" s="2660"/>
      <c r="Q10" s="2660"/>
      <c r="R10" s="2660"/>
    </row>
    <row r="11" spans="1:28" ht="24">
      <c r="A11" s="2621" t="s">
        <v>2927</v>
      </c>
      <c r="B11" s="2622" t="s">
        <v>3356</v>
      </c>
      <c r="C11" s="3063" t="s">
        <v>3359</v>
      </c>
      <c r="D11" s="2623"/>
      <c r="E11" s="2594"/>
      <c r="F11" s="2594"/>
      <c r="G11" s="2594"/>
      <c r="H11" s="2594"/>
      <c r="I11" s="2594"/>
      <c r="J11" s="2660"/>
      <c r="K11" s="2837"/>
      <c r="L11" s="2834"/>
      <c r="M11" s="2834"/>
      <c r="N11" s="2660"/>
      <c r="O11" s="2671"/>
      <c r="P11" s="2660"/>
      <c r="Q11" s="2660"/>
      <c r="R11" s="2660"/>
    </row>
    <row r="12" spans="1:28">
      <c r="A12" s="2624" t="s">
        <v>2928</v>
      </c>
      <c r="B12" s="2622" t="s">
        <v>3357</v>
      </c>
      <c r="C12" s="329" t="s">
        <v>2929</v>
      </c>
      <c r="D12" s="2625" t="s">
        <v>2930</v>
      </c>
      <c r="E12" s="2625" t="s">
        <v>2931</v>
      </c>
      <c r="F12" s="2625" t="s">
        <v>2932</v>
      </c>
      <c r="G12" s="2625" t="s">
        <v>2933</v>
      </c>
      <c r="H12" s="2625" t="s">
        <v>2934</v>
      </c>
      <c r="I12" s="2625" t="s">
        <v>2935</v>
      </c>
      <c r="J12" s="2660"/>
      <c r="K12" s="2837"/>
      <c r="L12" s="2834"/>
      <c r="M12" s="2834"/>
      <c r="N12" s="2660"/>
      <c r="O12" s="2671"/>
      <c r="P12" s="2660"/>
      <c r="Q12" s="2660"/>
      <c r="R12" s="2660"/>
    </row>
    <row r="13" spans="1:28">
      <c r="A13" s="1241"/>
      <c r="B13" s="2626"/>
      <c r="C13" s="2627" t="s">
        <v>2936</v>
      </c>
      <c r="D13" s="965"/>
      <c r="E13" s="965"/>
      <c r="F13" s="965"/>
      <c r="G13" s="965"/>
      <c r="H13" s="965"/>
      <c r="I13" s="965">
        <v>61231</v>
      </c>
      <c r="J13" s="2660"/>
      <c r="K13" s="2837"/>
      <c r="L13" s="2834"/>
      <c r="M13" s="2834"/>
      <c r="N13" s="2660"/>
      <c r="O13" s="2671"/>
      <c r="P13" s="2660"/>
      <c r="Q13" s="2660"/>
      <c r="R13" s="2660"/>
    </row>
    <row r="14" spans="1:28">
      <c r="A14" s="1241"/>
      <c r="B14" s="2626"/>
      <c r="C14" s="2627" t="s">
        <v>2937</v>
      </c>
      <c r="D14" s="2628"/>
      <c r="E14" s="2628"/>
      <c r="F14" s="2628"/>
      <c r="G14" s="2628"/>
      <c r="H14" s="2628"/>
      <c r="I14" s="2628">
        <v>50</v>
      </c>
      <c r="J14" s="2660"/>
      <c r="K14" s="2838"/>
      <c r="L14" s="2834"/>
      <c r="M14" s="2834"/>
      <c r="N14" s="2660"/>
      <c r="O14" s="2671"/>
      <c r="P14" s="2660"/>
      <c r="Q14" s="2660"/>
      <c r="R14" s="2660"/>
    </row>
    <row r="15" spans="1:28">
      <c r="A15" s="326"/>
      <c r="B15" s="2629"/>
      <c r="C15" s="2630" t="s">
        <v>2938</v>
      </c>
      <c r="D15" s="2631" t="str">
        <f>IF(B12="出让",IF(D13="","",ROUNDDOWN(MIN((D13-$D$3)/365,D14),2)),D14)</f>
        <v/>
      </c>
      <c r="E15" s="2631" t="str">
        <f>IF(B12="出让",IF(E13="","",ROUNDDOWN(MIN((E13-$D$3)/365,E14),2)),E14)</f>
        <v/>
      </c>
      <c r="F15" s="2631" t="str">
        <f>IF(B12="出让",IF(F13="","",ROUNDDOWN(MIN((F13-$D$3)/365,F14),2)),F14)</f>
        <v/>
      </c>
      <c r="G15" s="2631" t="str">
        <f>IF(B12="出让",IF(G13="","",ROUNDDOWN(MIN((G13-$D$3)/365,G14),2)),G14)</f>
        <v/>
      </c>
      <c r="H15" s="2631" t="str">
        <f>IF(B12="出让",IF(H13="","",ROUNDDOWN(MIN((H13-$D$3)/365,H14),2)),H14)</f>
        <v/>
      </c>
      <c r="I15" s="2631">
        <f>IF(B12="出让",IF(I13="","",ROUNDDOWN(MIN((I13-$D$3)/365,I14),2)),I14)</f>
        <v>45.96</v>
      </c>
      <c r="J15" s="2660"/>
      <c r="K15" s="2839"/>
      <c r="L15" s="2672"/>
      <c r="M15" s="2672"/>
      <c r="N15" s="2730"/>
      <c r="O15" s="2672"/>
      <c r="P15" s="2730"/>
      <c r="Q15" s="2660"/>
      <c r="R15" s="2660"/>
    </row>
    <row r="16" spans="1:28">
      <c r="A16" s="2620" t="s">
        <v>2939</v>
      </c>
      <c r="B16" s="3129"/>
      <c r="C16" s="3130"/>
      <c r="D16" s="3131"/>
      <c r="E16" s="2634" t="s">
        <v>2940</v>
      </c>
      <c r="F16" s="3132"/>
      <c r="G16" s="3133"/>
      <c r="H16" s="3133"/>
      <c r="I16" s="3134"/>
      <c r="J16" s="2660"/>
      <c r="K16" s="2839"/>
      <c r="L16" s="2672"/>
      <c r="M16" s="2672"/>
      <c r="N16" s="2730"/>
      <c r="O16" s="2672"/>
      <c r="P16" s="2730"/>
      <c r="Q16" s="2660"/>
      <c r="R16" s="2660"/>
    </row>
    <row r="17" spans="1:28">
      <c r="A17" s="319" t="s">
        <v>2941</v>
      </c>
      <c r="B17" s="308" t="s">
        <v>2942</v>
      </c>
      <c r="C17" s="11">
        <f>'数据-汇总表'!E3</f>
        <v>28660.61</v>
      </c>
      <c r="D17" s="2545" t="s">
        <v>2943</v>
      </c>
      <c r="E17" s="3135" t="s">
        <v>2944</v>
      </c>
      <c r="F17" s="3136"/>
      <c r="G17" s="3136"/>
      <c r="H17" s="3136"/>
      <c r="I17" s="3137"/>
      <c r="J17" s="2660"/>
      <c r="K17" s="2840"/>
      <c r="L17" s="2672"/>
      <c r="M17" s="2672"/>
      <c r="N17" s="2730"/>
      <c r="O17" s="2672"/>
      <c r="P17" s="2730"/>
      <c r="Q17" s="2660"/>
      <c r="R17" s="2660"/>
      <c r="S17" s="2660"/>
      <c r="T17" s="2660"/>
      <c r="U17" s="2660"/>
      <c r="V17" s="2660"/>
    </row>
    <row r="18" spans="1:28" ht="24.75" thickBot="1">
      <c r="A18" s="2635" t="s">
        <v>2945</v>
      </c>
      <c r="B18" s="1250" t="s">
        <v>2946</v>
      </c>
      <c r="C18" s="2636">
        <f>'数据-汇总表'!D3</f>
        <v>166699.10999999999</v>
      </c>
      <c r="D18" s="1252" t="s">
        <v>2947</v>
      </c>
      <c r="E18" s="3138" t="s">
        <v>2948</v>
      </c>
      <c r="F18" s="3139"/>
      <c r="G18" s="3139"/>
      <c r="H18" s="3139"/>
      <c r="I18" s="3140"/>
      <c r="J18" s="2660"/>
      <c r="K18" s="2840"/>
      <c r="L18" s="2672"/>
      <c r="M18" s="2672"/>
      <c r="N18" s="2730"/>
      <c r="O18" s="2672"/>
      <c r="P18" s="2730"/>
      <c r="Q18" s="2660"/>
      <c r="R18" s="2660"/>
      <c r="S18" s="2660"/>
      <c r="T18" s="2660"/>
      <c r="U18" s="2660"/>
      <c r="V18" s="2660"/>
    </row>
    <row r="19" spans="1:28" ht="37.5" thickTop="1" thickBot="1">
      <c r="A19" s="333" t="s">
        <v>1741</v>
      </c>
      <c r="B19" s="313" t="s">
        <v>2949</v>
      </c>
      <c r="C19" s="1748"/>
      <c r="D19" s="1749" t="s">
        <v>2950</v>
      </c>
      <c r="E19" s="1750"/>
      <c r="F19" s="1751" t="str">
        <f>IF(AND(C19="是",E19="否"),"是否提供他项权证或相关说明","")</f>
        <v/>
      </c>
      <c r="G19" s="1752"/>
      <c r="H19" s="2886"/>
      <c r="I19" s="2886"/>
      <c r="J19" s="2660"/>
      <c r="K19" s="2837"/>
      <c r="L19" s="2834"/>
      <c r="M19" s="2834"/>
      <c r="N19" s="2730"/>
      <c r="O19" s="2672"/>
      <c r="P19" s="2730"/>
      <c r="Q19" s="2660"/>
      <c r="R19" s="2660"/>
      <c r="S19" s="2660"/>
      <c r="T19" s="2660"/>
      <c r="U19" s="2660"/>
      <c r="V19" s="2660"/>
    </row>
    <row r="20" spans="1:28">
      <c r="A20" s="2854" t="s">
        <v>2951</v>
      </c>
      <c r="B20" s="3125" t="s">
        <v>2952</v>
      </c>
      <c r="C20" s="3126"/>
      <c r="D20" s="3127" t="s">
        <v>2953</v>
      </c>
      <c r="E20" s="3128"/>
      <c r="F20" s="2869" t="s">
        <v>1742</v>
      </c>
      <c r="G20" s="2886"/>
      <c r="H20" s="2886"/>
      <c r="I20" s="2886"/>
      <c r="J20" s="2660"/>
      <c r="K20" s="3124"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3"/>
      <c r="O20" s="2632"/>
      <c r="P20" s="2633"/>
      <c r="Q20" s="2594"/>
      <c r="R20" s="2594"/>
      <c r="S20" s="2594"/>
      <c r="T20" s="2594"/>
      <c r="U20" s="2594"/>
      <c r="V20" s="2594"/>
      <c r="W20" s="1931"/>
      <c r="X20" s="1931"/>
      <c r="Y20" s="1931"/>
      <c r="Z20" s="1931"/>
      <c r="AA20" s="1931"/>
      <c r="AB20" s="1931"/>
    </row>
    <row r="21" spans="1:28" ht="24.75" thickBot="1">
      <c r="A21" s="2854"/>
      <c r="B21" s="2855" t="s">
        <v>2955</v>
      </c>
      <c r="C21" s="2856" t="s">
        <v>1743</v>
      </c>
      <c r="D21" s="1753" t="s">
        <v>2956</v>
      </c>
      <c r="E21" s="2857" t="s">
        <v>1743</v>
      </c>
      <c r="F21" s="2870"/>
      <c r="G21" s="2886"/>
      <c r="H21" s="2886"/>
      <c r="I21" s="2886"/>
      <c r="J21" s="2660"/>
      <c r="K21" s="312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3"/>
      <c r="O21" s="2632"/>
      <c r="P21" s="2633"/>
      <c r="Q21" s="2594"/>
      <c r="R21" s="2594"/>
      <c r="S21" s="2594"/>
      <c r="T21" s="2594"/>
      <c r="U21" s="2594"/>
      <c r="V21" s="2594"/>
      <c r="W21" s="1931"/>
      <c r="X21" s="1931"/>
      <c r="Y21" s="1931"/>
      <c r="Z21" s="1931"/>
      <c r="AA21" s="1931"/>
      <c r="AB21" s="1931"/>
    </row>
    <row r="22" spans="1:28" ht="24.75" thickBot="1">
      <c r="A22" s="2854"/>
      <c r="B22" s="2858" t="s">
        <v>2957</v>
      </c>
      <c r="C22" s="2856" t="s">
        <v>1744</v>
      </c>
      <c r="D22" s="2885"/>
      <c r="E22" s="2885"/>
      <c r="F22" s="2885"/>
      <c r="G22" s="2886"/>
      <c r="H22" s="2886"/>
      <c r="I22" s="2886"/>
      <c r="J22" s="2660"/>
      <c r="K22" s="312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3"/>
      <c r="O22" s="2632"/>
      <c r="P22" s="2633"/>
      <c r="Q22" s="2594"/>
      <c r="R22" s="2594"/>
      <c r="S22" s="2594"/>
      <c r="T22" s="2594"/>
      <c r="U22" s="2594"/>
      <c r="V22" s="2594"/>
      <c r="W22" s="1931"/>
      <c r="X22" s="1931"/>
      <c r="Y22" s="1931"/>
      <c r="Z22" s="1931"/>
      <c r="AA22" s="1931"/>
      <c r="AB22" s="1931"/>
    </row>
    <row r="23" spans="1:28">
      <c r="A23" s="2859" t="s">
        <v>2958</v>
      </c>
      <c r="B23" s="2723" t="s">
        <v>2959</v>
      </c>
      <c r="C23" s="2860"/>
      <c r="D23" s="2861" t="s">
        <v>2959</v>
      </c>
      <c r="E23" s="2862"/>
      <c r="F23" s="2885"/>
      <c r="G23" s="2886"/>
      <c r="H23" s="2886"/>
      <c r="I23" s="2886"/>
      <c r="J23" s="2660"/>
      <c r="K23" s="2841"/>
      <c r="L23" s="2696"/>
      <c r="M23" s="2834"/>
      <c r="N23" s="2730"/>
      <c r="O23" s="2672"/>
      <c r="P23" s="2730"/>
      <c r="Q23" s="2660"/>
      <c r="R23" s="2660"/>
      <c r="S23" s="2660"/>
      <c r="T23" s="2660"/>
      <c r="U23" s="2660"/>
      <c r="V23" s="2660"/>
    </row>
    <row r="24" spans="1:28">
      <c r="A24" s="2859"/>
      <c r="B24" s="2723" t="s">
        <v>1745</v>
      </c>
      <c r="C24" s="2863"/>
      <c r="D24" s="2859" t="s">
        <v>1745</v>
      </c>
      <c r="E24" s="2864"/>
      <c r="F24" s="2885"/>
      <c r="G24" s="2886"/>
      <c r="H24" s="2886"/>
      <c r="I24" s="2886"/>
      <c r="J24" s="2660"/>
      <c r="K24" s="2841"/>
      <c r="L24" s="2696"/>
      <c r="M24" s="2834"/>
      <c r="N24" s="2730"/>
      <c r="O24" s="2672"/>
      <c r="P24" s="2730"/>
      <c r="Q24" s="2660"/>
      <c r="R24" s="2660"/>
      <c r="S24" s="2660"/>
      <c r="T24" s="2660"/>
      <c r="U24" s="2660"/>
      <c r="V24" s="2660"/>
    </row>
    <row r="25" spans="1:28">
      <c r="A25" s="2859"/>
      <c r="B25" s="2723" t="s">
        <v>1746</v>
      </c>
      <c r="C25" s="2863"/>
      <c r="D25" s="2859" t="s">
        <v>1746</v>
      </c>
      <c r="E25" s="2864"/>
      <c r="F25" s="2885"/>
      <c r="G25" s="2886"/>
      <c r="H25" s="2886"/>
      <c r="I25" s="2886"/>
      <c r="J25" s="2660"/>
      <c r="K25" s="2837"/>
      <c r="L25" s="2834"/>
      <c r="M25" s="2834"/>
      <c r="N25" s="2730"/>
      <c r="O25" s="2672"/>
      <c r="P25" s="2730"/>
      <c r="Q25" s="2660"/>
      <c r="R25" s="2660"/>
      <c r="S25" s="2660"/>
      <c r="T25" s="2660"/>
      <c r="U25" s="2660"/>
      <c r="V25" s="2660"/>
    </row>
    <row r="26" spans="1:28" ht="13.5" thickBot="1">
      <c r="A26" s="2865"/>
      <c r="B26" s="2866" t="s">
        <v>1747</v>
      </c>
      <c r="C26" s="2867"/>
      <c r="D26" s="2865" t="s">
        <v>1747</v>
      </c>
      <c r="E26" s="2868"/>
      <c r="F26" s="2887"/>
      <c r="G26" s="2887"/>
      <c r="H26" s="2887"/>
      <c r="I26" s="2887"/>
      <c r="J26" s="2660"/>
      <c r="K26" s="2837"/>
      <c r="L26" s="2834"/>
      <c r="M26" s="2834"/>
      <c r="N26" s="2730"/>
      <c r="O26" s="2672"/>
      <c r="P26" s="2730"/>
      <c r="Q26" s="2660"/>
      <c r="R26" s="2660"/>
      <c r="S26" s="2660"/>
      <c r="T26" s="2660"/>
      <c r="U26" s="2660"/>
      <c r="V26" s="2660"/>
    </row>
    <row r="27" spans="1:28" ht="13.5" thickTop="1">
      <c r="A27" s="3112" t="s">
        <v>2960</v>
      </c>
      <c r="B27" s="326" t="s">
        <v>2961</v>
      </c>
      <c r="C27" s="2637"/>
      <c r="D27" s="2638"/>
      <c r="E27" s="2886"/>
      <c r="F27" s="2886"/>
      <c r="G27" s="2886"/>
      <c r="H27" s="2886"/>
      <c r="I27" s="2886"/>
      <c r="J27" s="2660"/>
      <c r="K27" s="2839"/>
      <c r="L27" s="2672"/>
      <c r="M27" s="2672"/>
      <c r="N27" s="2730"/>
      <c r="O27" s="2672"/>
      <c r="P27" s="2730"/>
      <c r="Q27" s="2660"/>
      <c r="R27" s="2660"/>
      <c r="S27" s="2660"/>
      <c r="T27" s="2660"/>
      <c r="U27" s="2660"/>
      <c r="V27" s="2660"/>
    </row>
    <row r="28" spans="1:28">
      <c r="A28" s="3112"/>
      <c r="B28" s="308" t="s">
        <v>2962</v>
      </c>
      <c r="C28" s="2639"/>
      <c r="D28" s="2640"/>
      <c r="E28" s="2886"/>
      <c r="F28" s="2886"/>
      <c r="G28" s="2886"/>
      <c r="H28" s="2886"/>
      <c r="I28" s="2886"/>
      <c r="J28" s="2660"/>
      <c r="K28" s="2837"/>
      <c r="L28" s="2834"/>
      <c r="M28" s="2834"/>
      <c r="N28" s="2660"/>
      <c r="O28" s="2671"/>
      <c r="P28" s="2660"/>
      <c r="Q28" s="2660"/>
      <c r="R28" s="2660"/>
      <c r="S28" s="2660"/>
      <c r="T28" s="2660"/>
      <c r="U28" s="2660"/>
      <c r="V28" s="2660"/>
    </row>
    <row r="29" spans="1:28">
      <c r="A29" s="3112"/>
      <c r="B29" s="308" t="s">
        <v>2963</v>
      </c>
      <c r="C29" s="2641"/>
      <c r="D29" s="2642"/>
      <c r="E29" s="2886"/>
      <c r="F29" s="2886"/>
      <c r="G29" s="2886"/>
      <c r="H29" s="2886"/>
      <c r="I29" s="2886"/>
      <c r="J29" s="2660"/>
      <c r="K29" s="2837"/>
      <c r="L29" s="2834"/>
      <c r="M29" s="2834"/>
      <c r="N29" s="2660"/>
      <c r="O29" s="2671"/>
      <c r="P29" s="2660"/>
      <c r="Q29" s="2660"/>
      <c r="R29" s="2660"/>
      <c r="S29" s="2660"/>
      <c r="T29" s="2660"/>
      <c r="U29" s="2660"/>
      <c r="V29" s="2660"/>
    </row>
    <row r="30" spans="1:28">
      <c r="A30" s="3113"/>
      <c r="B30" s="308" t="s">
        <v>2964</v>
      </c>
      <c r="C30" s="3114"/>
      <c r="D30" s="3115"/>
      <c r="E30" s="2886"/>
      <c r="F30" s="2886"/>
      <c r="G30" s="2886"/>
      <c r="H30" s="2886"/>
      <c r="I30" s="2886"/>
      <c r="J30" s="2660"/>
      <c r="K30" s="2837"/>
      <c r="L30" s="2834"/>
      <c r="M30" s="2834"/>
      <c r="N30" s="2660"/>
      <c r="O30" s="2671"/>
      <c r="P30" s="2660"/>
      <c r="Q30" s="2660"/>
      <c r="R30" s="2660"/>
      <c r="S30" s="2660"/>
      <c r="T30" s="2660"/>
      <c r="U30" s="2660"/>
      <c r="V30" s="2660"/>
    </row>
    <row r="31" spans="1:28">
      <c r="A31" s="3116" t="s">
        <v>2965</v>
      </c>
      <c r="B31" s="2643"/>
      <c r="C31" s="2546" t="str">
        <f>IF(B31="现房","成新及维护状况正常否",IF(B31="在建","工程状态是否正常",IF(B31="土地","是否闲置","-")))</f>
        <v>-</v>
      </c>
      <c r="D31" s="1557"/>
      <c r="E31" s="2644"/>
      <c r="F31" s="2886"/>
      <c r="G31" s="2886"/>
      <c r="H31" s="2886"/>
      <c r="I31" s="2886"/>
      <c r="J31" s="2660"/>
      <c r="K31" s="2836"/>
      <c r="L31" s="2834"/>
      <c r="M31" s="2834"/>
      <c r="N31" s="2660"/>
      <c r="O31" s="2671"/>
      <c r="P31" s="2660"/>
      <c r="Q31" s="2660"/>
      <c r="R31" s="2660"/>
      <c r="S31" s="2660"/>
      <c r="T31" s="2660"/>
      <c r="U31" s="2660"/>
      <c r="V31" s="2660"/>
    </row>
    <row r="32" spans="1:28">
      <c r="A32" s="3117"/>
      <c r="B32" s="2643"/>
      <c r="C32" s="2546" t="str">
        <f>IF(B32="现房","成新及维护状况是否正常",IF(B32="在建","工程状态是否正常",IF(B32="土地","是否闲置","-")))</f>
        <v>-</v>
      </c>
      <c r="D32" s="1557"/>
      <c r="E32" s="2644"/>
      <c r="F32" s="2886"/>
      <c r="G32" s="2886"/>
      <c r="H32" s="2886"/>
      <c r="I32" s="2886"/>
      <c r="J32" s="2660"/>
      <c r="K32" s="2837"/>
      <c r="L32" s="2834"/>
      <c r="M32" s="2834"/>
      <c r="N32" s="2660"/>
      <c r="O32" s="2671"/>
      <c r="P32" s="2660"/>
      <c r="Q32" s="2660"/>
      <c r="R32" s="2660"/>
      <c r="S32" s="2660"/>
      <c r="T32" s="2660"/>
      <c r="U32" s="2660"/>
      <c r="V32" s="2660"/>
    </row>
    <row r="33" spans="1:30">
      <c r="A33" s="3117"/>
      <c r="B33" s="2646"/>
      <c r="C33" s="1775" t="str">
        <f>IF(B33="现房","成新及维护状况是否正常",IF(B33="在建","工程状态是否正常",IF(B33="土地","是否闲置","-")))</f>
        <v>-</v>
      </c>
      <c r="D33" s="1549"/>
      <c r="E33" s="2647"/>
      <c r="F33" s="2886"/>
      <c r="G33" s="2886"/>
      <c r="H33" s="2886"/>
      <c r="I33" s="2886"/>
      <c r="J33" s="2660"/>
      <c r="K33" s="2837"/>
      <c r="L33" s="2834"/>
      <c r="M33" s="2834"/>
      <c r="N33" s="2660"/>
      <c r="O33" s="2671"/>
      <c r="P33" s="2660"/>
      <c r="Q33" s="2660"/>
      <c r="R33" s="2660"/>
      <c r="S33" s="2660"/>
      <c r="T33" s="2660"/>
      <c r="U33" s="2660"/>
      <c r="V33" s="2660"/>
    </row>
    <row r="34" spans="1:30" ht="15">
      <c r="A34" s="308" t="s">
        <v>2966</v>
      </c>
      <c r="B34" s="3061" t="s">
        <v>3314</v>
      </c>
      <c r="C34" s="3061" t="s">
        <v>3315</v>
      </c>
      <c r="D34" s="3061" t="s">
        <v>3316</v>
      </c>
      <c r="E34" s="3061" t="s">
        <v>3317</v>
      </c>
      <c r="F34" s="3061" t="s">
        <v>3318</v>
      </c>
      <c r="G34" s="3061" t="s">
        <v>3319</v>
      </c>
      <c r="H34" s="2214"/>
      <c r="I34" s="2886"/>
      <c r="J34" s="2660"/>
      <c r="K34" s="2648">
        <f>COUNTIF(B34:H34,"——")</f>
        <v>0</v>
      </c>
      <c r="L34" s="329" t="s">
        <v>2967</v>
      </c>
      <c r="M34" s="329" t="s">
        <v>2968</v>
      </c>
      <c r="N34" s="329" t="s">
        <v>2969</v>
      </c>
      <c r="O34" s="329" t="s">
        <v>2970</v>
      </c>
      <c r="P34" s="329" t="s">
        <v>2971</v>
      </c>
      <c r="Q34" s="329" t="s">
        <v>2972</v>
      </c>
      <c r="R34" s="329" t="s">
        <v>2973</v>
      </c>
      <c r="S34" s="3111" t="s">
        <v>2974</v>
      </c>
      <c r="T34" s="2649" t="str">
        <f>NUMBERSTRING(7-K34,1)&amp;"通"</f>
        <v>七通</v>
      </c>
      <c r="U34" s="2660"/>
      <c r="V34" s="2660"/>
    </row>
    <row r="35" spans="1:30" ht="25.5">
      <c r="A35" s="2650"/>
      <c r="B35" s="3118" t="s">
        <v>2975</v>
      </c>
      <c r="C35" s="3118"/>
      <c r="D35" s="3118"/>
      <c r="E35" s="3118"/>
      <c r="F35" s="673" t="str">
        <f>C10</f>
        <v>辽宁省朝阳市</v>
      </c>
      <c r="G35" s="2886"/>
      <c r="H35" s="2886"/>
      <c r="I35" s="2886"/>
      <c r="J35" s="2660"/>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11"/>
      <c r="T35" s="335" t="str">
        <f>IF(T34="一通",L35,IF(T34="二通",M35,IF(T34="三通",N35,IF(T34="四通",O35,IF(T34="五通",P35,IF(T34="六通",Q35,R35))))))</f>
        <v>通路、通电、通讯、通上水、通下水、燃气、</v>
      </c>
      <c r="U35" s="2660"/>
      <c r="V35" s="2660"/>
    </row>
    <row r="36" spans="1:30">
      <c r="A36" s="2651"/>
      <c r="B36" s="673" t="s">
        <v>2931</v>
      </c>
      <c r="C36" s="673" t="s">
        <v>2932</v>
      </c>
      <c r="D36" s="673" t="s">
        <v>2930</v>
      </c>
      <c r="E36" s="673" t="s">
        <v>2935</v>
      </c>
      <c r="F36" s="2891"/>
      <c r="G36" s="2886"/>
      <c r="H36" s="2886"/>
      <c r="I36" s="2886"/>
      <c r="J36" s="2660"/>
      <c r="K36" s="2837"/>
      <c r="L36" s="2834"/>
      <c r="M36" s="2834"/>
      <c r="N36" s="2660"/>
      <c r="O36" s="2671"/>
      <c r="P36" s="2660"/>
      <c r="Q36" s="2660"/>
      <c r="R36" s="2660"/>
      <c r="S36" s="2660"/>
      <c r="T36" s="2660"/>
      <c r="U36" s="2660"/>
      <c r="V36" s="2660"/>
    </row>
    <row r="37" spans="1:30">
      <c r="A37" s="2852" t="s">
        <v>2976</v>
      </c>
      <c r="B37" s="2652"/>
      <c r="C37" s="2652"/>
      <c r="D37" s="2652"/>
      <c r="E37" s="2652"/>
      <c r="F37" s="2891"/>
      <c r="G37" s="2886"/>
      <c r="H37" s="2886"/>
      <c r="I37" s="2886"/>
      <c r="J37" s="2660"/>
      <c r="K37" s="2837"/>
      <c r="L37" s="2834"/>
      <c r="M37" s="2834"/>
      <c r="N37" s="2660"/>
      <c r="O37" s="2671"/>
      <c r="P37" s="2660"/>
      <c r="Q37" s="2660"/>
      <c r="R37" s="2660"/>
      <c r="S37" s="2660"/>
      <c r="T37" s="2660"/>
      <c r="U37" s="2660"/>
      <c r="V37" s="2660"/>
    </row>
    <row r="38" spans="1:30" ht="13.5" thickBot="1">
      <c r="A38" s="2853" t="s">
        <v>2977</v>
      </c>
      <c r="B38" s="2653"/>
      <c r="C38" s="2653"/>
      <c r="D38" s="2653"/>
      <c r="E38" s="2653"/>
      <c r="F38" s="2892"/>
      <c r="G38" s="2887"/>
      <c r="H38" s="2887"/>
      <c r="I38" s="2887"/>
      <c r="J38" s="2660"/>
      <c r="K38" s="2837"/>
      <c r="L38" s="2834"/>
      <c r="M38" s="2834"/>
      <c r="N38" s="2660"/>
      <c r="O38" s="2671"/>
      <c r="P38" s="2660"/>
      <c r="Q38" s="2660"/>
      <c r="R38" s="2660"/>
      <c r="S38" s="2660"/>
      <c r="T38" s="2660"/>
      <c r="U38" s="2660"/>
      <c r="V38" s="2660"/>
    </row>
    <row r="39" spans="1:30" s="2656" customFormat="1" ht="14.25" thickTop="1" thickBot="1">
      <c r="A39" s="2654" t="s">
        <v>2978</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94"/>
      <c r="B40" s="2594"/>
      <c r="C40" s="2594"/>
      <c r="D40" s="2594"/>
      <c r="E40" s="2594"/>
      <c r="F40" s="2594"/>
      <c r="G40" s="2594"/>
      <c r="H40" s="2594"/>
      <c r="I40" s="1763"/>
      <c r="J40" s="2730"/>
      <c r="K40" s="2836"/>
      <c r="L40" s="2672"/>
      <c r="M40" s="2672"/>
      <c r="N40" s="2730"/>
      <c r="O40" s="2672"/>
      <c r="P40" s="2660"/>
      <c r="Q40" s="2660"/>
      <c r="R40" s="2660"/>
      <c r="S40" s="2660"/>
      <c r="T40" s="2660"/>
      <c r="U40" s="2660"/>
      <c r="V40" s="2660"/>
    </row>
    <row r="41" spans="1:30">
      <c r="A41" s="2657" t="s">
        <v>2979</v>
      </c>
      <c r="B41" s="1943"/>
      <c r="C41" s="1557"/>
      <c r="D41" s="2594"/>
      <c r="E41" s="2594"/>
      <c r="F41" s="2594"/>
      <c r="G41" s="2594"/>
      <c r="H41" s="2594"/>
      <c r="I41" s="1761"/>
      <c r="J41" s="2660"/>
      <c r="K41" s="2837"/>
      <c r="L41" s="2834"/>
      <c r="M41" s="2834"/>
      <c r="N41" s="2660"/>
      <c r="O41" s="2671"/>
      <c r="P41" s="2660"/>
      <c r="Q41" s="2660"/>
      <c r="R41" s="2660"/>
      <c r="S41" s="2660"/>
      <c r="T41" s="2660"/>
      <c r="U41" s="2660"/>
      <c r="V41" s="2660"/>
    </row>
    <row r="42" spans="1:30" ht="25.5">
      <c r="A42" s="329" t="s">
        <v>2980</v>
      </c>
      <c r="B42" s="11" t="s">
        <v>2981</v>
      </c>
      <c r="C42" s="11" t="s">
        <v>2982</v>
      </c>
      <c r="D42" s="11" t="s">
        <v>2983</v>
      </c>
      <c r="E42" s="11" t="s">
        <v>2984</v>
      </c>
      <c r="F42" s="11" t="s">
        <v>2985</v>
      </c>
      <c r="G42" s="11" t="s">
        <v>2986</v>
      </c>
      <c r="H42" s="11" t="s">
        <v>2987</v>
      </c>
      <c r="I42" s="11" t="s">
        <v>2988</v>
      </c>
      <c r="J42" s="2848" t="s">
        <v>2989</v>
      </c>
      <c r="K42" s="2849" t="s">
        <v>2990</v>
      </c>
      <c r="L42" s="2849" t="s">
        <v>2991</v>
      </c>
      <c r="M42" s="2849" t="s">
        <v>2992</v>
      </c>
      <c r="N42" s="2842" t="s">
        <v>2993</v>
      </c>
      <c r="O42" s="2842" t="s">
        <v>2994</v>
      </c>
      <c r="P42" s="2842" t="s">
        <v>2995</v>
      </c>
      <c r="Q42" s="2843" t="s">
        <v>2996</v>
      </c>
      <c r="R42" s="2843" t="s">
        <v>2997</v>
      </c>
      <c r="S42" s="2660"/>
      <c r="T42" s="2660"/>
      <c r="U42" s="2660"/>
      <c r="V42" s="2660"/>
    </row>
    <row r="43" spans="1:30" s="1929" customFormat="1">
      <c r="A43" s="1755"/>
      <c r="B43" s="1182"/>
      <c r="C43" s="1182"/>
      <c r="D43" s="1182"/>
      <c r="E43" s="1182"/>
      <c r="F43" s="1182"/>
      <c r="G43" s="1182"/>
      <c r="H43" s="1182"/>
      <c r="I43" s="1182"/>
      <c r="J43" s="2658"/>
      <c r="K43" s="2659"/>
      <c r="L43" s="2659"/>
      <c r="M43" s="1182"/>
      <c r="N43" s="1182"/>
      <c r="O43" s="1182"/>
      <c r="P43" s="1182"/>
      <c r="Q43" s="1182"/>
      <c r="R43" s="1182"/>
      <c r="S43" s="2660"/>
      <c r="T43" s="2660"/>
      <c r="U43" s="2660"/>
      <c r="V43" s="2660"/>
    </row>
    <row r="44" spans="1:30" s="1929" customFormat="1">
      <c r="A44" s="1755"/>
      <c r="B44" s="1755"/>
      <c r="C44" s="1182"/>
      <c r="D44" s="1182"/>
      <c r="E44" s="1182"/>
      <c r="F44" s="1182"/>
      <c r="G44" s="1182"/>
      <c r="H44" s="1182"/>
      <c r="I44" s="1182"/>
      <c r="J44" s="2658"/>
      <c r="K44" s="2659"/>
      <c r="L44" s="2659"/>
      <c r="M44" s="1182"/>
      <c r="N44" s="1182"/>
      <c r="O44" s="1182"/>
      <c r="P44" s="1182"/>
      <c r="Q44" s="1182"/>
      <c r="R44" s="1182"/>
      <c r="S44" s="2660"/>
      <c r="T44" s="2660"/>
      <c r="U44" s="2660"/>
      <c r="V44" s="2660"/>
    </row>
    <row r="45" spans="1:30" s="1929" customFormat="1">
      <c r="A45" s="1755"/>
      <c r="B45" s="1755"/>
      <c r="C45" s="1182"/>
      <c r="D45" s="1182"/>
      <c r="E45" s="1182"/>
      <c r="F45" s="1182"/>
      <c r="G45" s="1182"/>
      <c r="H45" s="1182"/>
      <c r="I45" s="1182"/>
      <c r="J45" s="2658"/>
      <c r="K45" s="2659"/>
      <c r="L45" s="2659"/>
      <c r="M45" s="1182"/>
      <c r="N45" s="1182"/>
      <c r="O45" s="1182"/>
      <c r="P45" s="1182"/>
      <c r="Q45" s="1182"/>
      <c r="R45" s="1182"/>
      <c r="S45" s="2660"/>
      <c r="T45" s="2660"/>
      <c r="U45" s="2660"/>
      <c r="V45" s="2660"/>
    </row>
    <row r="46" spans="1:30" s="1929" customFormat="1">
      <c r="A46" s="1755"/>
      <c r="B46" s="1755"/>
      <c r="C46" s="1182"/>
      <c r="D46" s="1182"/>
      <c r="E46" s="1182"/>
      <c r="F46" s="1182"/>
      <c r="G46" s="1182"/>
      <c r="H46" s="1182"/>
      <c r="I46" s="1182"/>
      <c r="J46" s="2658"/>
      <c r="K46" s="2659"/>
      <c r="L46" s="2659"/>
      <c r="M46" s="1182"/>
      <c r="N46" s="1182"/>
      <c r="O46" s="1182"/>
      <c r="P46" s="1182"/>
      <c r="Q46" s="1182"/>
      <c r="R46" s="1182"/>
      <c r="S46" s="2660"/>
      <c r="T46" s="2660"/>
      <c r="U46" s="2660"/>
      <c r="V46" s="2660"/>
    </row>
    <row r="47" spans="1:30" s="1929" customFormat="1">
      <c r="A47" s="1755"/>
      <c r="B47" s="1755"/>
      <c r="C47" s="1182"/>
      <c r="D47" s="1182"/>
      <c r="E47" s="1182"/>
      <c r="F47" s="1182"/>
      <c r="G47" s="1182"/>
      <c r="H47" s="1182"/>
      <c r="I47" s="1182"/>
      <c r="J47" s="2658"/>
      <c r="K47" s="2659"/>
      <c r="L47" s="2659"/>
      <c r="M47" s="1182"/>
      <c r="N47" s="1182"/>
      <c r="O47" s="1182"/>
      <c r="P47" s="1182"/>
      <c r="Q47" s="1182"/>
      <c r="R47" s="1182"/>
      <c r="S47" s="2660"/>
      <c r="T47" s="2660"/>
      <c r="U47" s="2660"/>
      <c r="V47" s="2660"/>
    </row>
    <row r="48" spans="1:30" s="1929" customFormat="1">
      <c r="A48" s="1755"/>
      <c r="B48" s="1755"/>
      <c r="C48" s="1182"/>
      <c r="D48" s="1182"/>
      <c r="E48" s="1182"/>
      <c r="F48" s="1182"/>
      <c r="G48" s="1182"/>
      <c r="H48" s="1182"/>
      <c r="I48" s="1182"/>
      <c r="J48" s="2658"/>
      <c r="K48" s="2659"/>
      <c r="L48" s="2659"/>
      <c r="M48" s="1182"/>
      <c r="N48" s="1182"/>
      <c r="O48" s="1182"/>
      <c r="P48" s="1182"/>
      <c r="Q48" s="1182"/>
      <c r="R48" s="1182"/>
      <c r="S48" s="2660"/>
      <c r="T48" s="2660"/>
      <c r="U48" s="2660"/>
      <c r="V48" s="2660"/>
    </row>
    <row r="49" spans="1:22" s="1929" customFormat="1">
      <c r="A49" s="1755"/>
      <c r="B49" s="1755"/>
      <c r="C49" s="1182"/>
      <c r="D49" s="1182"/>
      <c r="E49" s="1182"/>
      <c r="F49" s="1182"/>
      <c r="G49" s="1182"/>
      <c r="H49" s="1182"/>
      <c r="I49" s="1182"/>
      <c r="J49" s="2658"/>
      <c r="K49" s="2659"/>
      <c r="L49" s="2659"/>
      <c r="M49" s="1182"/>
      <c r="N49" s="1182"/>
      <c r="O49" s="1182"/>
      <c r="P49" s="1182"/>
      <c r="Q49" s="1182"/>
      <c r="R49" s="1182"/>
      <c r="S49" s="2660"/>
      <c r="T49" s="2660"/>
      <c r="U49" s="2660"/>
      <c r="V49" s="2660"/>
    </row>
    <row r="50" spans="1:22" s="1929" customFormat="1">
      <c r="A50" s="1755"/>
      <c r="B50" s="1755"/>
      <c r="C50" s="1182"/>
      <c r="D50" s="1182"/>
      <c r="E50" s="1182"/>
      <c r="F50" s="1182"/>
      <c r="G50" s="1182"/>
      <c r="H50" s="1182"/>
      <c r="I50" s="1182"/>
      <c r="J50" s="2658"/>
      <c r="K50" s="2659"/>
      <c r="L50" s="2659"/>
      <c r="M50" s="1182"/>
      <c r="N50" s="1182"/>
      <c r="O50" s="1182"/>
      <c r="P50" s="1182"/>
      <c r="Q50" s="1182"/>
      <c r="R50" s="1182"/>
      <c r="S50" s="2660"/>
      <c r="T50" s="2660"/>
      <c r="U50" s="2660"/>
      <c r="V50" s="2660"/>
    </row>
    <row r="51" spans="1:22" s="1929" customFormat="1">
      <c r="A51" s="1755"/>
      <c r="B51" s="1755"/>
      <c r="C51" s="1182"/>
      <c r="D51" s="1182"/>
      <c r="E51" s="1182"/>
      <c r="F51" s="1182"/>
      <c r="G51" s="1182"/>
      <c r="H51" s="1182"/>
      <c r="I51" s="1182"/>
      <c r="J51" s="2658"/>
      <c r="K51" s="2659"/>
      <c r="L51" s="2659"/>
      <c r="M51" s="1182"/>
      <c r="N51" s="1182"/>
      <c r="O51" s="1182"/>
      <c r="P51" s="1182"/>
      <c r="Q51" s="1182"/>
      <c r="R51" s="1182"/>
    </row>
    <row r="52" spans="1:22" s="1929" customFormat="1">
      <c r="A52" s="1755"/>
      <c r="B52" s="1755"/>
      <c r="C52" s="1755"/>
      <c r="D52" s="1755"/>
      <c r="E52" s="1755"/>
      <c r="F52" s="1182"/>
      <c r="G52" s="1755"/>
      <c r="H52" s="1755"/>
      <c r="I52" s="1755"/>
      <c r="J52" s="2661"/>
      <c r="K52" s="2659"/>
      <c r="L52" s="2659"/>
      <c r="M52" s="2659"/>
      <c r="N52" s="1755"/>
      <c r="O52" s="1755"/>
      <c r="P52" s="1755"/>
      <c r="Q52" s="1755"/>
      <c r="R52" s="1755"/>
    </row>
    <row r="53" spans="1:22" s="1929" customFormat="1">
      <c r="A53" s="1755"/>
      <c r="B53" s="1755"/>
      <c r="C53" s="1755"/>
      <c r="D53" s="1755"/>
      <c r="E53" s="1755"/>
      <c r="F53" s="1182"/>
      <c r="G53" s="1755"/>
      <c r="H53" s="1755"/>
      <c r="I53" s="1755"/>
      <c r="J53" s="2661"/>
      <c r="K53" s="2659"/>
      <c r="L53" s="2659"/>
      <c r="M53" s="2659"/>
      <c r="N53" s="1755"/>
      <c r="O53" s="1755"/>
      <c r="P53" s="1755"/>
      <c r="Q53" s="1755"/>
      <c r="R53" s="1755"/>
    </row>
    <row r="54" spans="1:22" s="1929" customFormat="1">
      <c r="A54" s="1755"/>
      <c r="B54" s="1755"/>
      <c r="C54" s="1755"/>
      <c r="D54" s="1755"/>
      <c r="E54" s="1755"/>
      <c r="F54" s="1182"/>
      <c r="G54" s="1755"/>
      <c r="H54" s="1755"/>
      <c r="I54" s="1755"/>
      <c r="J54" s="2661"/>
      <c r="K54" s="2659"/>
      <c r="L54" s="2659"/>
      <c r="M54" s="2659"/>
      <c r="N54" s="1755"/>
      <c r="O54" s="1755"/>
      <c r="P54" s="1755"/>
      <c r="Q54" s="1755"/>
      <c r="R54" s="1755"/>
    </row>
    <row r="55" spans="1:22" s="1929" customFormat="1">
      <c r="A55" s="1755"/>
      <c r="B55" s="1755"/>
      <c r="C55" s="1755"/>
      <c r="D55" s="1755"/>
      <c r="E55" s="1755"/>
      <c r="F55" s="1182"/>
      <c r="G55" s="1755"/>
      <c r="H55" s="1755"/>
      <c r="I55" s="1755"/>
      <c r="J55" s="2661"/>
      <c r="K55" s="2659"/>
      <c r="L55" s="2659"/>
      <c r="M55" s="2659"/>
      <c r="N55" s="1755"/>
      <c r="O55" s="1755"/>
      <c r="P55" s="1755"/>
      <c r="Q55" s="1755"/>
      <c r="R55" s="1755"/>
    </row>
    <row r="56" spans="1:22" s="1929" customFormat="1">
      <c r="A56" s="1755"/>
      <c r="B56" s="1755"/>
      <c r="C56" s="1755"/>
      <c r="D56" s="1755"/>
      <c r="E56" s="1755"/>
      <c r="F56" s="1182"/>
      <c r="G56" s="1755"/>
      <c r="H56" s="1755"/>
      <c r="I56" s="1755"/>
      <c r="J56" s="2661"/>
      <c r="K56" s="2659"/>
      <c r="L56" s="2659"/>
      <c r="M56" s="2659"/>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8"/>
  <sheetViews>
    <sheetView workbookViewId="0">
      <selection activeCell="A13" sqref="A13"/>
    </sheetView>
  </sheetViews>
  <sheetFormatPr defaultRowHeight="12"/>
  <cols>
    <col min="1" max="1" width="22.5" style="3408" customWidth="1"/>
    <col min="2" max="2" width="15.25" style="3408" bestFit="1" customWidth="1"/>
    <col min="3" max="3" width="9" style="3408"/>
    <col min="4" max="4" width="12.625" style="3408" customWidth="1"/>
    <col min="5" max="16384" width="9" style="3408"/>
  </cols>
  <sheetData>
    <row r="1" spans="1:10">
      <c r="B1" s="3408" t="s">
        <v>3320</v>
      </c>
      <c r="C1" s="3408" t="s">
        <v>3321</v>
      </c>
      <c r="D1" s="3408" t="s">
        <v>3322</v>
      </c>
    </row>
    <row r="2" spans="1:10">
      <c r="A2" s="3408" t="s">
        <v>3323</v>
      </c>
      <c r="B2" s="3408">
        <v>73726.11</v>
      </c>
      <c r="C2" s="3408">
        <v>0.86</v>
      </c>
      <c r="D2" s="3408">
        <f>ROUND(B2*C2,2)</f>
        <v>63404.45</v>
      </c>
    </row>
    <row r="3" spans="1:10">
      <c r="A3" s="3408" t="s">
        <v>3324</v>
      </c>
      <c r="B3" s="3408">
        <v>92973</v>
      </c>
      <c r="C3" s="3408">
        <v>0.8</v>
      </c>
      <c r="D3" s="3408">
        <f>ROUND(B3*C3,2)</f>
        <v>74378.399999999994</v>
      </c>
    </row>
    <row r="4" spans="1:10">
      <c r="A4" s="3408" t="s">
        <v>3325</v>
      </c>
      <c r="B4" s="3408">
        <f>B2+B3</f>
        <v>166699.10999999999</v>
      </c>
      <c r="C4" s="3408">
        <f>ROUND(D4/B4,2)</f>
        <v>0.83</v>
      </c>
      <c r="D4" s="3408">
        <f>D2+D3</f>
        <v>137782.84999999998</v>
      </c>
    </row>
    <row r="5" spans="1:10">
      <c r="A5" s="3408" t="s">
        <v>3326</v>
      </c>
      <c r="B5" s="3408">
        <f>ROUND(D5/C2,2)</f>
        <v>19453.169999999998</v>
      </c>
      <c r="C5" s="3408">
        <f>ROUND(D5/B5,2)</f>
        <v>0.86</v>
      </c>
      <c r="D5" s="3408">
        <v>16729.73</v>
      </c>
    </row>
    <row r="7" spans="1:10">
      <c r="A7" s="3408" t="s">
        <v>3327</v>
      </c>
      <c r="D7" s="3408">
        <f>D18</f>
        <v>28660.61</v>
      </c>
    </row>
    <row r="9" spans="1:10">
      <c r="A9" s="3408" t="s">
        <v>3328</v>
      </c>
      <c r="B9" s="3408">
        <v>0.05</v>
      </c>
      <c r="D9" s="3408">
        <v>0.5</v>
      </c>
      <c r="E9" s="3408">
        <f>ROUND(B9*(B4-J18)*365+D7*D9*365,0)</f>
        <v>8025342</v>
      </c>
    </row>
    <row r="12" spans="1:10">
      <c r="A12" s="3408" t="s">
        <v>3378</v>
      </c>
      <c r="D12" s="3408" t="s">
        <v>3333</v>
      </c>
      <c r="E12" s="3408" t="s">
        <v>3335</v>
      </c>
      <c r="F12" s="3408" t="s">
        <v>3336</v>
      </c>
      <c r="G12" s="3408" t="s">
        <v>3343</v>
      </c>
      <c r="H12" s="3408" t="s">
        <v>3352</v>
      </c>
    </row>
    <row r="13" spans="1:10" ht="24">
      <c r="A13" s="3408" t="s">
        <v>3382</v>
      </c>
      <c r="B13" s="3408" t="s">
        <v>3334</v>
      </c>
      <c r="C13" s="3408" t="s">
        <v>3329</v>
      </c>
      <c r="D13" s="3408">
        <v>1154.5999999999999</v>
      </c>
      <c r="E13" s="3408">
        <v>2019</v>
      </c>
      <c r="F13" s="3408" t="s">
        <v>3337</v>
      </c>
      <c r="G13" s="3408">
        <f>ROUND(1-(1-2%)*(2021-E13)/70,2)</f>
        <v>0.97</v>
      </c>
      <c r="H13" s="3408">
        <v>1600</v>
      </c>
      <c r="J13" s="3408">
        <f>D13</f>
        <v>1154.5999999999999</v>
      </c>
    </row>
    <row r="14" spans="1:10" ht="24">
      <c r="A14" s="3408" t="s">
        <v>3380</v>
      </c>
      <c r="B14" s="3408" t="s">
        <v>3338</v>
      </c>
      <c r="C14" s="3408" t="s">
        <v>3330</v>
      </c>
      <c r="D14" s="3408">
        <v>11064.27</v>
      </c>
      <c r="E14" s="3408">
        <v>2019</v>
      </c>
      <c r="F14" s="3408" t="s">
        <v>3337</v>
      </c>
      <c r="G14" s="3408">
        <f>G13</f>
        <v>0.97</v>
      </c>
      <c r="H14" s="3408">
        <f>H13</f>
        <v>1600</v>
      </c>
      <c r="J14" s="3408">
        <f>D14/2</f>
        <v>5532.1350000000002</v>
      </c>
    </row>
    <row r="15" spans="1:10" ht="30.75" customHeight="1">
      <c r="A15" s="3408" t="s">
        <v>3379</v>
      </c>
      <c r="B15" s="3408" t="s">
        <v>3339</v>
      </c>
      <c r="C15" s="3408" t="s">
        <v>3331</v>
      </c>
      <c r="D15" s="3408">
        <v>11053.06</v>
      </c>
      <c r="E15" s="3408">
        <v>2019</v>
      </c>
      <c r="F15" s="3408" t="s">
        <v>3337</v>
      </c>
      <c r="G15" s="3408">
        <f>G13</f>
        <v>0.97</v>
      </c>
      <c r="H15" s="3408">
        <f>H13</f>
        <v>1600</v>
      </c>
      <c r="J15" s="3408">
        <f>D15/2</f>
        <v>5526.53</v>
      </c>
    </row>
    <row r="16" spans="1:10" ht="24">
      <c r="A16" s="3408" t="s">
        <v>3381</v>
      </c>
      <c r="B16" s="3408" t="s">
        <v>3340</v>
      </c>
      <c r="C16" s="3408" t="s">
        <v>3332</v>
      </c>
      <c r="D16" s="3408">
        <v>4351.3</v>
      </c>
      <c r="E16" s="3408">
        <v>2019</v>
      </c>
      <c r="F16" s="3408" t="s">
        <v>3341</v>
      </c>
      <c r="G16" s="3408">
        <f>ROUND(1-(1-0%)*(2021-E16)/60,2)</f>
        <v>0.97</v>
      </c>
      <c r="H16" s="3408">
        <v>2400</v>
      </c>
      <c r="J16" s="3408">
        <f>D16/4</f>
        <v>1087.825</v>
      </c>
    </row>
    <row r="17" spans="1:10" ht="24">
      <c r="A17" s="3408" t="s">
        <v>3383</v>
      </c>
      <c r="B17" s="3408" t="s">
        <v>3342</v>
      </c>
      <c r="C17" s="3408" t="s">
        <v>3332</v>
      </c>
      <c r="D17" s="3408">
        <v>1037.3800000000001</v>
      </c>
      <c r="E17" s="3408">
        <v>2019</v>
      </c>
      <c r="F17" s="3408" t="s">
        <v>3341</v>
      </c>
      <c r="G17" s="3408">
        <f>ROUND(1-(1-0%)*(2021-E17)/60,2)</f>
        <v>0.97</v>
      </c>
      <c r="H17" s="3408">
        <v>2400</v>
      </c>
      <c r="J17" s="3408">
        <f>D17/4</f>
        <v>259.34500000000003</v>
      </c>
    </row>
    <row r="18" spans="1:10">
      <c r="B18" s="3408" t="s">
        <v>3344</v>
      </c>
      <c r="D18" s="3408">
        <f>SUM(D13:D17)</f>
        <v>28660.61</v>
      </c>
      <c r="H18" s="3408">
        <f>ROUND((H13*D13+H14*D14+H15*D15+H16*D16+H17*D17)/D18,0)</f>
        <v>1750</v>
      </c>
      <c r="J18" s="3408">
        <f>ROUND(SUM(J13:J17),2)</f>
        <v>13560.44</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面积明细表!B4</f>
        <v>166699.10999999999</v>
      </c>
      <c r="B3" s="14">
        <f>IF(C3="否",G5-AT5,G5)</f>
        <v>28660.61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28660.61</v>
      </c>
      <c r="H5" s="16">
        <f t="shared" ref="H5:AT5" si="0">SUM(H13:H656)</f>
        <v>28660.61</v>
      </c>
      <c r="I5" s="16">
        <f t="shared" si="0"/>
        <v>28660.61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28660.61</v>
      </c>
      <c r="BA5" s="18">
        <f t="shared" si="1"/>
        <v>28660.61</v>
      </c>
      <c r="BB5" s="18">
        <f t="shared" si="1"/>
        <v>28660.61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166699.10999999999</v>
      </c>
      <c r="F6" s="16" t="s">
        <v>1</v>
      </c>
      <c r="G6" s="16" t="s">
        <v>2</v>
      </c>
      <c r="H6" s="20">
        <f>SUMIF(I$12:AB$12,"总值",I6:AB6)</f>
        <v>166699.10999999999</v>
      </c>
      <c r="I6" s="16">
        <f t="shared" ref="I6:AB6" si="2">ROUND($A$3*I5/$B$3,2)</f>
        <v>166699.10999999999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166699.10999999999</v>
      </c>
      <c r="AZ6" s="16" t="s">
        <v>3</v>
      </c>
      <c r="BA6" s="16">
        <f>ROUND($AY$6*BA5/$AZ$5,2)</f>
        <v>166699.10999999999</v>
      </c>
      <c r="BB6" s="16">
        <f>ROUND($AY$6*BB5/$AZ$5,2)</f>
        <v>166699.10999999999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3346</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3347</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标准厂房</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3345</v>
      </c>
      <c r="E13" s="16">
        <f>IF($C$3="是",ROUND($A$3*G13/$B$3,2),ROUND($A$3*(G13-AT13)/$B$3,2))</f>
        <v>166699.10999999999</v>
      </c>
      <c r="F13" s="32"/>
      <c r="G13" s="33">
        <f>H13+AC13+AT13</f>
        <v>28660.61</v>
      </c>
      <c r="H13" s="20">
        <f>SUMIF(I$12:AB$12,"总值",I13:AB13)</f>
        <v>28660.61</v>
      </c>
      <c r="I13" s="1811">
        <f>面积明细表!D18</f>
        <v>28660.61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166699.10999999999</v>
      </c>
      <c r="AZ13" s="16">
        <f>BA13+BL13</f>
        <v>28660.61</v>
      </c>
      <c r="BA13" s="16">
        <f>SUM(BB13:BK13)</f>
        <v>28660.61</v>
      </c>
      <c r="BB13" s="16">
        <f>IF($D13="是",I13-J13,0)</f>
        <v>28660.61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1" t="s">
        <v>0</v>
      </c>
      <c r="B1" s="3141" t="s">
        <v>4</v>
      </c>
      <c r="C1" s="3141" t="s">
        <v>5</v>
      </c>
      <c r="D1" s="3142" t="s">
        <v>53</v>
      </c>
      <c r="E1" s="3142" t="s">
        <v>54</v>
      </c>
      <c r="F1" s="3142"/>
      <c r="G1" s="3142"/>
      <c r="H1" s="3142"/>
      <c r="I1" s="3142"/>
      <c r="J1" s="3142"/>
      <c r="K1" s="3142"/>
      <c r="L1" s="3142"/>
      <c r="M1" s="3142"/>
    </row>
    <row r="2" spans="1:13" ht="27" customHeight="1">
      <c r="A2" s="3141"/>
      <c r="B2" s="3141"/>
      <c r="C2" s="3141"/>
      <c r="D2" s="3142"/>
      <c r="E2" s="3142" t="s">
        <v>37</v>
      </c>
      <c r="F2" s="3142" t="s">
        <v>38</v>
      </c>
      <c r="G2" s="3142"/>
      <c r="H2" s="3142"/>
      <c r="I2" s="3142"/>
      <c r="J2" s="3142" t="s">
        <v>39</v>
      </c>
      <c r="K2" s="3142"/>
      <c r="L2" s="3142"/>
      <c r="M2" s="3142"/>
    </row>
    <row r="3" spans="1:13" ht="28.5">
      <c r="A3" s="3141"/>
      <c r="B3" s="3141"/>
      <c r="C3" s="3141"/>
      <c r="D3" s="3142"/>
      <c r="E3" s="31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2" t="s">
        <v>55</v>
      </c>
      <c r="B9" s="3142"/>
      <c r="C9" s="31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T61" sqref="T6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1"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2" t="s">
        <v>1817</v>
      </c>
      <c r="B2" s="3152"/>
      <c r="C2" s="3152"/>
      <c r="D2" s="904" t="s">
        <v>1793</v>
      </c>
      <c r="E2" s="1824" t="s">
        <v>1794</v>
      </c>
      <c r="F2" s="2881"/>
      <c r="G2" s="2872"/>
      <c r="H2" s="2873"/>
      <c r="I2" s="2548" t="s">
        <v>1818</v>
      </c>
      <c r="J2" s="2881"/>
      <c r="K2" s="2881"/>
      <c r="L2" s="2881"/>
      <c r="M2" s="2881"/>
      <c r="N2" s="2883"/>
      <c r="O2" s="2881"/>
      <c r="P2" s="2881"/>
    </row>
    <row r="3" spans="1:16" ht="15.75" thickBot="1">
      <c r="A3" s="3153" t="s">
        <v>1791</v>
      </c>
      <c r="B3" s="3153"/>
      <c r="C3" s="3153"/>
      <c r="D3" s="46">
        <f>'数据-基础表'!AY6</f>
        <v>166699.10999999999</v>
      </c>
      <c r="E3" s="46">
        <f>'数据-基础表'!AZ5</f>
        <v>28660.61</v>
      </c>
      <c r="F3" s="2881"/>
      <c r="G3" s="1307"/>
      <c r="H3" s="1157" t="s">
        <v>1792</v>
      </c>
      <c r="I3" s="964">
        <f>ROUND('数据-基础表'!B3/'数据-基础表'!A3,2)</f>
        <v>0.17</v>
      </c>
      <c r="J3" s="2881"/>
      <c r="K3" s="2881"/>
      <c r="L3" s="2881"/>
      <c r="M3" s="2881"/>
      <c r="N3" s="2883"/>
      <c r="O3" s="2881"/>
      <c r="P3" s="2881"/>
    </row>
    <row r="4" spans="1:16" ht="15">
      <c r="A4" s="3154"/>
      <c r="B4" s="3155"/>
      <c r="C4" s="3156"/>
      <c r="D4" s="1826" t="s">
        <v>1793</v>
      </c>
      <c r="E4" s="1827" t="s">
        <v>1794</v>
      </c>
      <c r="F4" s="2881"/>
      <c r="G4" s="2874" t="s">
        <v>1819</v>
      </c>
      <c r="H4" s="1157" t="s">
        <v>1799</v>
      </c>
      <c r="I4" s="964">
        <f>ROUND(SUMIF('数据-基础表'!I9:AS9,"地上",'数据-基础表'!I5:AS5)/'数据-基础表'!A3,2)</f>
        <v>0.17</v>
      </c>
      <c r="J4" s="2881"/>
      <c r="K4" s="2881"/>
      <c r="L4" s="2881"/>
      <c r="M4" s="2881"/>
      <c r="N4" s="2883"/>
      <c r="O4" s="2881"/>
      <c r="P4" s="2881"/>
    </row>
    <row r="5" spans="1:16">
      <c r="A5" s="47" t="s">
        <v>1795</v>
      </c>
      <c r="B5" s="3157" t="s">
        <v>1796</v>
      </c>
      <c r="C5" s="3157"/>
      <c r="D5" s="48">
        <f>ROUND($D$3*E5/$E$3,2)</f>
        <v>0</v>
      </c>
      <c r="E5" s="49">
        <f>SUMIF('数据-基础表'!$11:$11,"住宅",'数据-基础表'!$5:$5)</f>
        <v>0</v>
      </c>
      <c r="F5" s="2881"/>
      <c r="G5" s="1307"/>
      <c r="H5" s="1157" t="s">
        <v>1792</v>
      </c>
      <c r="I5" s="964">
        <f>ROUND(E31/D31,2)</f>
        <v>0.17</v>
      </c>
      <c r="J5" s="2881"/>
      <c r="K5" s="2881"/>
      <c r="L5" s="2881"/>
      <c r="M5" s="2881"/>
      <c r="N5" s="2881"/>
      <c r="O5" s="2881"/>
      <c r="P5" s="2881"/>
    </row>
    <row r="6" spans="1:16" ht="15" thickBot="1">
      <c r="A6" s="1829"/>
      <c r="B6" s="3157" t="s">
        <v>1797</v>
      </c>
      <c r="C6" s="3157"/>
      <c r="D6" s="48">
        <f>ROUND($D$3*E6/$E$3,2)</f>
        <v>166699.10999999999</v>
      </c>
      <c r="E6" s="49">
        <f>E3-E5</f>
        <v>28660.61</v>
      </c>
      <c r="F6" s="2881"/>
      <c r="G6" s="2875" t="s">
        <v>1798</v>
      </c>
      <c r="H6" s="1308" t="s">
        <v>1799</v>
      </c>
      <c r="I6" s="2876">
        <f>ROUND(F31/D31,2)</f>
        <v>0.17</v>
      </c>
      <c r="J6" s="2881"/>
      <c r="K6" s="2881"/>
      <c r="L6" s="2881"/>
      <c r="M6" s="2881"/>
      <c r="N6" s="2881"/>
      <c r="O6" s="2881"/>
      <c r="P6" s="2881"/>
    </row>
    <row r="7" spans="1:16" ht="15.75" thickBot="1">
      <c r="A7" s="3149"/>
      <c r="B7" s="3150"/>
      <c r="C7" s="3151"/>
      <c r="D7" s="1826" t="s">
        <v>1793</v>
      </c>
      <c r="E7" s="1830" t="s">
        <v>1800</v>
      </c>
      <c r="F7" s="2881"/>
      <c r="G7" s="2877" t="s">
        <v>1801</v>
      </c>
      <c r="H7" s="2878"/>
      <c r="I7" s="2879">
        <f>面积明细表!C4</f>
        <v>0.83</v>
      </c>
      <c r="J7" s="2881"/>
      <c r="K7" s="2881"/>
      <c r="L7" s="2881"/>
      <c r="M7" s="2881"/>
      <c r="N7" s="2881"/>
      <c r="O7" s="2881"/>
      <c r="P7" s="2881"/>
    </row>
    <row r="8" spans="1:16">
      <c r="A8" s="47" t="s">
        <v>1802</v>
      </c>
      <c r="B8" s="50" t="s">
        <v>1803</v>
      </c>
      <c r="C8" s="48" t="s">
        <v>1804</v>
      </c>
      <c r="D8" s="48">
        <f t="shared" ref="D8:D15" si="0">ROUND($D$3*E8/$E$3,2)</f>
        <v>166699.10999999999</v>
      </c>
      <c r="E8" s="51">
        <f>SUMIF('数据-基础表'!BB10:BK10,"地上",'数据-基础表'!BB5:BK5)</f>
        <v>28660.61</v>
      </c>
      <c r="F8" s="2881"/>
      <c r="G8" s="2882"/>
      <c r="H8" s="2882"/>
      <c r="I8" s="2881"/>
      <c r="J8" s="2881"/>
      <c r="K8" s="2881"/>
      <c r="L8" s="2881"/>
      <c r="M8" s="2881"/>
      <c r="N8" s="2881"/>
      <c r="O8" s="2881"/>
      <c r="P8" s="2881"/>
    </row>
    <row r="9" spans="1:16">
      <c r="A9" s="1831"/>
      <c r="B9" s="1832"/>
      <c r="C9" s="48" t="s">
        <v>1805</v>
      </c>
      <c r="D9" s="48">
        <f t="shared" si="0"/>
        <v>0</v>
      </c>
      <c r="E9" s="52">
        <v>0</v>
      </c>
      <c r="F9" s="2881"/>
      <c r="G9" s="2882"/>
      <c r="H9" s="2882"/>
      <c r="I9" s="2881"/>
      <c r="J9" s="2881"/>
      <c r="K9" s="2881"/>
      <c r="L9" s="2881"/>
      <c r="M9" s="2881"/>
      <c r="N9" s="2881"/>
      <c r="O9" s="2881"/>
      <c r="P9" s="2881"/>
    </row>
    <row r="10" spans="1:16">
      <c r="A10" s="1831"/>
      <c r="B10" s="1832"/>
      <c r="C10" s="48" t="s">
        <v>1814</v>
      </c>
      <c r="D10" s="48">
        <f t="shared" si="0"/>
        <v>0</v>
      </c>
      <c r="E10" s="51">
        <f>SUMPRODUCT(('数据-基础表'!BB10:BK10="地下")*('数据-基础表'!BB11:BK11="商业")*('数据-基础表'!BB5:BK5))</f>
        <v>0</v>
      </c>
      <c r="F10" s="2881"/>
      <c r="G10" s="2882"/>
      <c r="H10" s="2882"/>
      <c r="I10" s="2881"/>
      <c r="J10" s="2881"/>
      <c r="K10" s="2881"/>
      <c r="L10" s="2881"/>
      <c r="M10" s="2881"/>
      <c r="N10" s="2881"/>
      <c r="O10" s="2881"/>
      <c r="P10" s="2881"/>
    </row>
    <row r="11" spans="1:16">
      <c r="A11" s="1831"/>
      <c r="B11" s="1832"/>
      <c r="C11" s="48" t="s">
        <v>1806</v>
      </c>
      <c r="D11" s="48">
        <f t="shared" si="0"/>
        <v>0</v>
      </c>
      <c r="E11" s="51">
        <f>SUMPRODUCT(('数据-基础表'!BB10:BK10="地下")*('数据-基础表'!BB11:BK11="办公")*('数据-基础表'!BB5:BK5))+'数据-基础表'!BP5</f>
        <v>0</v>
      </c>
      <c r="F11" s="2881"/>
      <c r="G11" s="2882"/>
      <c r="H11" s="2882"/>
      <c r="I11" s="2881"/>
      <c r="J11" s="2881"/>
      <c r="K11" s="2881"/>
      <c r="L11" s="2881"/>
      <c r="M11" s="2881"/>
      <c r="N11" s="2881"/>
      <c r="O11" s="2881"/>
      <c r="P11" s="2881"/>
    </row>
    <row r="12" spans="1:16">
      <c r="A12" s="1831"/>
      <c r="B12" s="1832"/>
      <c r="C12" s="48" t="s">
        <v>1807</v>
      </c>
      <c r="D12" s="48">
        <f t="shared" si="0"/>
        <v>0</v>
      </c>
      <c r="E12" s="51">
        <f>SUMPRODUCT(('数据-基础表'!BB10:BK10="地下")*('数据-基础表'!BB11:BK11="仓储")*('数据-基础表'!BB5:BK5))</f>
        <v>0</v>
      </c>
      <c r="F12" s="2881"/>
      <c r="G12" s="2882"/>
      <c r="H12" s="2882"/>
      <c r="I12" s="2881"/>
      <c r="J12" s="2881"/>
      <c r="K12" s="2881"/>
      <c r="L12" s="2881"/>
      <c r="M12" s="2881"/>
      <c r="N12" s="2881"/>
      <c r="O12" s="2881"/>
      <c r="P12" s="2881"/>
    </row>
    <row r="13" spans="1:16">
      <c r="A13" s="1831"/>
      <c r="B13" s="1832"/>
      <c r="C13" s="48" t="s">
        <v>1808</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c r="A14" s="1831"/>
      <c r="B14" s="1832"/>
      <c r="C14" s="48" t="s">
        <v>1820</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31"/>
      <c r="B15" s="1832"/>
      <c r="C15" s="48" t="s">
        <v>1815</v>
      </c>
      <c r="D15" s="48">
        <f t="shared" si="0"/>
        <v>0</v>
      </c>
      <c r="E15" s="51">
        <f>SUMPRODUCT(('数据-基础表'!BB10:BK10="地下")*('数据-基础表'!BB11:BK11="车库—办公")*('数据-基础表'!BB5:BK5))</f>
        <v>0</v>
      </c>
      <c r="F15" s="2881"/>
      <c r="G15" s="2882"/>
      <c r="H15" s="2882"/>
      <c r="I15" s="2881"/>
      <c r="J15" s="2881"/>
      <c r="K15" s="2881"/>
      <c r="L15" s="2881"/>
      <c r="M15" s="2881"/>
      <c r="N15" s="2881"/>
      <c r="O15" s="2881"/>
      <c r="P15" s="2881"/>
    </row>
    <row r="16" spans="1:16" ht="15.75" thickBot="1">
      <c r="A16" s="1829"/>
      <c r="B16" s="1832"/>
      <c r="C16" s="50" t="s">
        <v>1809</v>
      </c>
      <c r="D16" s="50">
        <f>SUM(D8:D15)</f>
        <v>166699.10999999999</v>
      </c>
      <c r="E16" s="53">
        <f>SUM(E8:E15)</f>
        <v>28660.61</v>
      </c>
      <c r="F16" s="2881"/>
      <c r="G16" s="2882"/>
      <c r="H16" s="1833" t="s">
        <v>1821</v>
      </c>
      <c r="I16" s="1834"/>
      <c r="J16" s="1301"/>
      <c r="K16" s="3146" t="s">
        <v>1821</v>
      </c>
      <c r="L16" s="3147"/>
      <c r="M16" s="3147"/>
      <c r="N16" s="3147"/>
      <c r="O16" s="3147"/>
      <c r="P16" s="3148"/>
    </row>
    <row r="17" spans="1:19" ht="15">
      <c r="A17" s="1835" t="s">
        <v>1822</v>
      </c>
      <c r="B17" s="1836" t="s">
        <v>1823</v>
      </c>
      <c r="C17" s="1837" t="s">
        <v>1824</v>
      </c>
      <c r="D17" s="1838" t="s">
        <v>1812</v>
      </c>
      <c r="E17" s="1839" t="s">
        <v>1813</v>
      </c>
      <c r="F17" s="1840"/>
      <c r="G17" s="1841"/>
      <c r="H17" s="1842" t="s">
        <v>1825</v>
      </c>
      <c r="I17" s="1843" t="s">
        <v>1810</v>
      </c>
      <c r="J17" s="1301"/>
      <c r="K17" s="3143" t="s">
        <v>1826</v>
      </c>
      <c r="L17" s="3144"/>
      <c r="M17" s="3145"/>
      <c r="N17" s="3143" t="s">
        <v>1827</v>
      </c>
      <c r="O17" s="3144"/>
      <c r="P17" s="3145"/>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2" t="s">
        <v>3348</v>
      </c>
      <c r="D19" s="48">
        <f>ROUND($D$3*E19/$E$3,2)</f>
        <v>166699.10999999999</v>
      </c>
      <c r="E19" s="56">
        <f t="shared" ref="E19:E26" si="1">SUM(F19:G19)</f>
        <v>28660.61</v>
      </c>
      <c r="F19" s="3020">
        <f>'数据-基础表'!I13</f>
        <v>28660.61</v>
      </c>
      <c r="G19" s="3021"/>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166699.10999999999</v>
      </c>
      <c r="S19" s="1158">
        <f t="shared" si="5"/>
        <v>28660.61</v>
      </c>
    </row>
    <row r="20" spans="1:19">
      <c r="A20" s="1856"/>
      <c r="B20" s="50" t="s">
        <v>1839</v>
      </c>
      <c r="C20" s="1853"/>
      <c r="D20" s="48">
        <f t="shared" ref="D20:D26" si="6">ROUND($D$3*E20/$E$3,2)</f>
        <v>0</v>
      </c>
      <c r="E20" s="56">
        <f t="shared" si="1"/>
        <v>0</v>
      </c>
      <c r="F20" s="3020"/>
      <c r="G20" s="3021"/>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0"/>
      <c r="G21" s="3021"/>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2"/>
      <c r="G22" s="3023"/>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2"/>
      <c r="G23" s="3023"/>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2"/>
      <c r="G24" s="3023"/>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2"/>
      <c r="G25" s="3023"/>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2"/>
      <c r="G26" s="3023"/>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166699.10999999999</v>
      </c>
      <c r="E27" s="1303">
        <f>IF(SUM(E19:E26)='数据-基础表'!BA5,SUM(E19:E26),IF(F27="地上面积有误","面积有误","地下面积有误"))</f>
        <v>28660.61</v>
      </c>
      <c r="F27" s="1302">
        <f>IF(SUM(F19:F26)=E8,SUM(F19:F26),"地上面积有误")</f>
        <v>28660.61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166699.10999999999</v>
      </c>
      <c r="S27" s="1157">
        <f>IF(SUM(S19:S26)=$E$3,SUM(S19:S26),SUM(S19:S26)&amp;"误差"&amp;ROUND(SUM(S19:S26)-E3,2))</f>
        <v>28660.61</v>
      </c>
    </row>
    <row r="28" spans="1:19">
      <c r="A28" s="1856"/>
      <c r="B28" s="50" t="s">
        <v>1841</v>
      </c>
      <c r="C28" s="1169" t="s">
        <v>1842</v>
      </c>
      <c r="D28" s="48">
        <f>ROUND($D$3*E28/$E$3,2)</f>
        <v>0</v>
      </c>
      <c r="E28" s="56">
        <f>SUM(F28:G28)</f>
        <v>0</v>
      </c>
      <c r="F28" s="60">
        <f>'数据-基础表'!BQ5+'数据-基础表'!BS5</f>
        <v>0</v>
      </c>
      <c r="G28" s="61">
        <f>'数据-基础表'!BR5+'数据-基础表'!BT5</f>
        <v>0</v>
      </c>
      <c r="H28" s="2881"/>
      <c r="I28" s="2881"/>
      <c r="J28" s="2881"/>
      <c r="K28" s="2881"/>
      <c r="L28" s="2881"/>
      <c r="M28" s="2881"/>
      <c r="N28" s="2881"/>
      <c r="O28" s="2881"/>
      <c r="P28" s="2881"/>
    </row>
    <row r="29" spans="1:19">
      <c r="A29" s="1856"/>
      <c r="B29" s="50" t="s">
        <v>1841</v>
      </c>
      <c r="C29" s="1860" t="s">
        <v>1843</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5">
      <c r="A30" s="1856"/>
      <c r="B30" s="50"/>
      <c r="C30" s="1861" t="s">
        <v>1840</v>
      </c>
      <c r="D30" s="1302">
        <f>SUM(D28:D29)</f>
        <v>0</v>
      </c>
      <c r="E30" s="1302">
        <f>SUM(E28:E29)</f>
        <v>0</v>
      </c>
      <c r="F30" s="1302">
        <f>SUM(F28:F29)</f>
        <v>0</v>
      </c>
      <c r="G30" s="1304">
        <f>SUM(G28:G29)</f>
        <v>0</v>
      </c>
      <c r="H30" s="2881"/>
      <c r="I30" s="2881"/>
      <c r="J30" s="2881"/>
      <c r="K30" s="2881"/>
      <c r="L30" s="2881"/>
      <c r="M30" s="2881"/>
      <c r="N30" s="2881"/>
      <c r="O30" s="2881"/>
      <c r="P30" s="2881"/>
    </row>
    <row r="31" spans="1:19" ht="15.75" thickBot="1">
      <c r="A31" s="1862"/>
      <c r="B31" s="1863"/>
      <c r="C31" s="944" t="s">
        <v>1844</v>
      </c>
      <c r="D31" s="685">
        <f>D27+D30</f>
        <v>166699.10999999999</v>
      </c>
      <c r="E31" s="685">
        <f>E27+E30</f>
        <v>28660.61</v>
      </c>
      <c r="F31" s="686">
        <f>F27+F30</f>
        <v>28660.61</v>
      </c>
      <c r="G31" s="687">
        <f>G27+G30</f>
        <v>0</v>
      </c>
      <c r="H31" s="2881"/>
      <c r="I31" s="2881"/>
      <c r="J31" s="2881"/>
      <c r="K31" s="2881"/>
      <c r="L31" s="2881"/>
      <c r="M31" s="2881"/>
      <c r="N31" s="2881"/>
      <c r="O31" s="2881"/>
      <c r="P31" s="2881"/>
    </row>
    <row r="32" spans="1:19">
      <c r="A32" s="1828"/>
      <c r="B32" s="1828" t="s">
        <v>1845</v>
      </c>
      <c r="C32" s="1828"/>
      <c r="D32" s="1828"/>
      <c r="E32" s="1184">
        <f>SUMIF(C19:C26,"*住宅*",E19:E26)</f>
        <v>0</v>
      </c>
      <c r="F32" s="1828"/>
      <c r="G32" s="1828"/>
      <c r="H32" s="2881"/>
      <c r="I32" s="2881"/>
      <c r="J32" s="2881"/>
      <c r="K32" s="2881"/>
      <c r="L32" s="2881"/>
      <c r="M32" s="2881"/>
      <c r="N32" s="2881"/>
      <c r="O32" s="2881"/>
      <c r="P32" s="2881"/>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U25" sqref="U25"/>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13.3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4"/>
      <c r="AO1" s="2894"/>
      <c r="AP1" s="2894"/>
      <c r="AQ1" s="2894"/>
      <c r="AR1" s="2894"/>
    </row>
    <row r="2" spans="1:67" s="1744" customFormat="1" ht="15.75" thickBot="1">
      <c r="A2" s="1869" t="s">
        <v>1847</v>
      </c>
      <c r="B2" s="1176">
        <f>项目基本情况!D3</f>
        <v>44454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6"/>
      <c r="AO2" s="2896"/>
      <c r="AP2" s="2896"/>
      <c r="AQ2" s="2896"/>
      <c r="AR2" s="2896"/>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6"/>
      <c r="AO3" s="2896"/>
      <c r="AP3" s="2896"/>
      <c r="AQ3" s="2896"/>
      <c r="AR3" s="2896"/>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0"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6"/>
      <c r="AO4" s="2896"/>
      <c r="AP4" s="2896"/>
      <c r="AQ4" s="2896"/>
      <c r="AR4" s="2896"/>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3349</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61231</v>
      </c>
      <c r="F6" s="68">
        <f>SUMIF(项目基本情况!D$12:I$12,C6,项目基本情况!D$15:I$15)</f>
        <v>45.96</v>
      </c>
      <c r="G6" s="69">
        <f>IF(ISERROR(ROUND(POWER(1+H6,D6-F6)*(POWER(1+H6,F6)-1)/(POWER(1+H6,D6)-1),3)),0,ROUND(POWER(1+H6,D6-F6)*(POWER(1+H6,F6)-1)/(POWER(1+H6,D6)-1),3))</f>
        <v>0.97599999999999998</v>
      </c>
      <c r="H6" s="741">
        <v>4.4999999999999998E-2</v>
      </c>
      <c r="I6" s="741">
        <v>0.05</v>
      </c>
      <c r="J6" s="70">
        <v>8.5000000000000006E-2</v>
      </c>
      <c r="K6" s="1161">
        <f>SUMIF('数据-汇总表'!C$19:C$33,A6,'数据-汇总表'!E$19:E$33)</f>
        <v>28660.61</v>
      </c>
      <c r="L6" s="742">
        <f>面积明细表!H18</f>
        <v>1750</v>
      </c>
      <c r="M6" s="71">
        <f t="shared" ref="M6:M14" si="0">ROUND(K6*L6/10000,0)</f>
        <v>5016</v>
      </c>
      <c r="N6" s="740">
        <f>面积明细表!G13</f>
        <v>0.97</v>
      </c>
      <c r="O6" s="71" t="str">
        <f>IF($N$5="成新度","——",ROUND(M6*N6,0))</f>
        <v>——</v>
      </c>
      <c r="P6" s="72" t="str">
        <f>IF($N$5="成新度","——",M6-O6)</f>
        <v>——</v>
      </c>
      <c r="Q6" s="743">
        <v>0.05</v>
      </c>
      <c r="R6" s="73">
        <f ca="1">SUMIF('数据-汇总表'!C$19:C$33,A6,'数据-汇总表'!R$19:R$27)</f>
        <v>166699.10999999999</v>
      </c>
      <c r="S6" s="54">
        <f>IF('数据-汇总表'!$I$17="按面积比例",SUMIF('数据-汇总表'!C$19:C$33,A6,'数据-汇总表'!K$19:K$33),SUMIF('数据-汇总表'!C$19:C$33,A6,'数据-汇总表'!N$19:N$33))</f>
        <v>0</v>
      </c>
      <c r="T6" s="1334">
        <f>ROUND($L$14*S6/10000,0)</f>
        <v>0</v>
      </c>
      <c r="U6" s="74">
        <f>面积明细表!E9</f>
        <v>8025342</v>
      </c>
      <c r="V6" s="75">
        <v>2.5000000000000001E-2</v>
      </c>
      <c r="W6" s="75">
        <v>0.1</v>
      </c>
      <c r="X6" s="1171"/>
      <c r="Y6" s="76">
        <f>N6</f>
        <v>0.97</v>
      </c>
      <c r="Z6" s="77"/>
      <c r="AA6" s="70"/>
      <c r="AB6" s="70"/>
      <c r="AC6" s="1171"/>
      <c r="AD6" s="78"/>
      <c r="AE6" s="1172">
        <f ca="1">IF(AN6="",0,SUMIF(INDIRECT("'"&amp;AN6&amp;"'"&amp;"!E:E"),$AE$5,INDIRECT("'"&amp;AN6&amp;"'"&amp;"!F:F")))</f>
        <v>45.96</v>
      </c>
      <c r="AF6" s="1532"/>
      <c r="AG6" s="143">
        <f>IF(AF6="",0,AE6-AF6)</f>
        <v>0</v>
      </c>
      <c r="AH6" s="79">
        <v>1</v>
      </c>
      <c r="AI6" s="81">
        <v>1</v>
      </c>
      <c r="AJ6" s="82"/>
      <c r="AK6" s="83">
        <v>1.4999999999999999E-2</v>
      </c>
      <c r="AL6" s="84">
        <v>1.5E-3</v>
      </c>
      <c r="AM6" s="85">
        <v>0.01</v>
      </c>
      <c r="AN6" s="1901" t="s">
        <v>3354</v>
      </c>
      <c r="AO6" s="55">
        <f ca="1">SUMIF(INDIRECT("'"&amp;AN6&amp;"'"&amp;"!A:A"),"总价",INDIRECT("'"&amp;AN6&amp;"'"&amp;"!B:B"))</f>
        <v>11303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4"/>
      <c r="AO14" s="2896"/>
      <c r="AP14" s="2896"/>
      <c r="AQ14" s="2896"/>
      <c r="AR14" s="2896"/>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4"/>
      <c r="AO15" s="2896"/>
      <c r="AP15" s="2896"/>
      <c r="AQ15" s="2896"/>
      <c r="AR15" s="2896"/>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0.97599999999999998</v>
      </c>
      <c r="H16" s="95">
        <f>ROUND(SUMPRODUCT(H6:H13,K6:K13)/SUMPRODUCT((H6:H13&gt;0)*(K6:K13)),3)</f>
        <v>4.4999999999999998E-2</v>
      </c>
      <c r="I16" s="96"/>
      <c r="J16" s="96"/>
      <c r="K16" s="97">
        <f>SUM(K6:K15)</f>
        <v>28660.61</v>
      </c>
      <c r="L16" s="98">
        <f>ROUND(M16*10000/SUM(K6:K14),0)</f>
        <v>1750</v>
      </c>
      <c r="M16" s="98">
        <f>SUM(M6:M14)</f>
        <v>5016</v>
      </c>
      <c r="N16" s="99">
        <f>ROUND(SUMPRODUCT(M6:M14,N6:N14)/M16,3)</f>
        <v>0.97</v>
      </c>
      <c r="O16" s="98">
        <f>SUM(O6:O14)</f>
        <v>0</v>
      </c>
      <c r="P16" s="98">
        <f>SUM(P6:P14)</f>
        <v>0</v>
      </c>
      <c r="Q16" s="100">
        <f>ROUND(SUMPRODUCT(Q6:Q13,K6:K13)/SUMPRODUCT((Q6:Q13&gt;0)*(K6:K13)),2)</f>
        <v>0.05</v>
      </c>
      <c r="R16" s="1165">
        <f ca="1">SUM(R6:R13)</f>
        <v>166699.10999999999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1896</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8" t="s">
        <v>1897</v>
      </c>
      <c r="B19" s="108">
        <v>0</v>
      </c>
      <c r="C19" s="3024" t="s">
        <v>3051</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9" t="s">
        <v>1898</v>
      </c>
      <c r="B20" s="109">
        <v>2</v>
      </c>
      <c r="C20" s="3025" t="s">
        <v>3049</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10" t="s">
        <v>1899</v>
      </c>
      <c r="B21" s="109">
        <v>2</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9" t="s">
        <v>1900</v>
      </c>
      <c r="B22" s="110">
        <f>B19+B20</f>
        <v>2</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10" t="s">
        <v>1901</v>
      </c>
      <c r="B23" s="110">
        <f>B19+B21</f>
        <v>2</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11" t="s">
        <v>1902</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42"/>
      <c r="B25" s="1873"/>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9" t="s">
        <v>1903</v>
      </c>
      <c r="B26" s="1912" t="s">
        <v>1904</v>
      </c>
      <c r="C26" s="2900" t="s">
        <v>1905</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4" customFormat="1" ht="27.75">
      <c r="A27" s="1913" t="s">
        <v>1906</v>
      </c>
      <c r="B27" s="112">
        <v>115</v>
      </c>
      <c r="C27" s="3026" t="s">
        <v>3053</v>
      </c>
      <c r="D27" s="2902" t="s">
        <v>3350</v>
      </c>
      <c r="E27" s="2883"/>
      <c r="F27" s="2883"/>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115</v>
      </c>
      <c r="C28" s="2903"/>
      <c r="D28" s="2902"/>
      <c r="E28" s="2883"/>
      <c r="F28" s="2883"/>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ROUND(B28*K16/10000,0)</f>
        <v>330</v>
      </c>
      <c r="C29" s="3027" t="s">
        <v>3040</v>
      </c>
      <c r="D29" s="2902"/>
      <c r="E29" s="2883"/>
      <c r="F29" s="2883"/>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180</v>
      </c>
      <c r="C30" s="2903"/>
      <c r="D30" s="2902"/>
      <c r="E30" s="2883"/>
      <c r="F30" s="2883"/>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180</v>
      </c>
      <c r="C31" s="2901"/>
      <c r="D31" s="2902"/>
      <c r="E31" s="2883"/>
      <c r="F31" s="2883"/>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28" t="s">
        <v>3041</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28" t="s">
        <v>3042</v>
      </c>
      <c r="D34" s="2907" t="s">
        <v>3050</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180</v>
      </c>
      <c r="C35" s="3028" t="s">
        <v>3043</v>
      </c>
      <c r="D35" s="2902"/>
      <c r="E35" s="2883"/>
      <c r="F35" s="2883"/>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28" t="s">
        <v>3044</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7" t="s">
        <v>1916</v>
      </c>
      <c r="B37" s="120">
        <v>0.02</v>
      </c>
      <c r="C37" s="3028" t="s">
        <v>3045</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5" t="s">
        <v>1917</v>
      </c>
      <c r="B38" s="118">
        <v>0.02</v>
      </c>
      <c r="C38" s="3028" t="s">
        <v>3045</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8" t="s">
        <v>1918</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15" thickBot="1">
      <c r="A40" s="3040" t="s">
        <v>3061</v>
      </c>
      <c r="B40" s="1210">
        <f ca="1">IF(A40="利息：取LPR",存贷款利率!G1,存贷款利率!G1+C40)</f>
        <v>3.85E-2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13" t="s">
        <v>1919</v>
      </c>
      <c r="B41" s="121">
        <f>B42+B43</f>
        <v>5.5000000000000007E-2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9" t="s">
        <v>1920</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9" t="s">
        <v>1921</v>
      </c>
      <c r="B43" s="123">
        <f>B42*(B44+B45+B46)+B47</f>
        <v>5.000000000000001E-3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20" t="s">
        <v>1922</v>
      </c>
      <c r="B44" s="124">
        <v>0.05</v>
      </c>
      <c r="C44" s="3028" t="s">
        <v>3054</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20" t="s">
        <v>1923</v>
      </c>
      <c r="B45" s="122">
        <v>0.03</v>
      </c>
      <c r="C45" s="3027" t="s">
        <v>3046</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20" t="s">
        <v>1924</v>
      </c>
      <c r="B46" s="122">
        <v>0.02</v>
      </c>
      <c r="C46" s="3027" t="s">
        <v>3047</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21" t="s">
        <v>1925</v>
      </c>
      <c r="B47" s="125">
        <v>0</v>
      </c>
      <c r="C47" s="3030" t="s">
        <v>3055</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22" t="s">
        <v>1926</v>
      </c>
      <c r="B48" s="126">
        <v>0.04</v>
      </c>
      <c r="C48" s="3027" t="s">
        <v>3046</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8" t="s">
        <v>1927</v>
      </c>
      <c r="B49" s="122">
        <v>5.0000000000000001E-4</v>
      </c>
      <c r="C49" s="3027" t="s">
        <v>3048</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23" t="s">
        <v>1928</v>
      </c>
      <c r="B50" s="127">
        <v>1.2E-2</v>
      </c>
      <c r="C50" s="2883"/>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6" t="s">
        <v>1929</v>
      </c>
      <c r="B51" s="128">
        <v>0.12</v>
      </c>
      <c r="C51" s="2883"/>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23" t="s">
        <v>1930</v>
      </c>
      <c r="B52" s="129">
        <f>SUMIF(A54:A63,B53,B54:B63)</f>
        <v>3.6</v>
      </c>
      <c r="C52" s="2883"/>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5" t="s">
        <v>1931</v>
      </c>
      <c r="B53" s="1924" t="s">
        <v>526</v>
      </c>
      <c r="C53" s="2883" t="s">
        <v>1932</v>
      </c>
      <c r="D53" s="3029" t="s">
        <v>3052</v>
      </c>
      <c r="E53" s="2896"/>
      <c r="F53" s="2896" t="s">
        <v>3351</v>
      </c>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5" t="s">
        <v>1933</v>
      </c>
      <c r="B54" s="80"/>
      <c r="C54" s="2883">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5" t="s">
        <v>1934</v>
      </c>
      <c r="B55" s="80"/>
      <c r="C55" s="2883">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5" t="s">
        <v>1935</v>
      </c>
      <c r="B56" s="80"/>
      <c r="C56" s="2883">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5" t="s">
        <v>1936</v>
      </c>
      <c r="B57" s="80"/>
      <c r="C57" s="2883">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5" t="s">
        <v>1937</v>
      </c>
      <c r="B58" s="80">
        <v>6</v>
      </c>
      <c r="C58" s="2883">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5" t="s">
        <v>1938</v>
      </c>
      <c r="B59" s="80">
        <v>4.5</v>
      </c>
      <c r="C59" s="2883">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5" t="s">
        <v>1939</v>
      </c>
      <c r="B60" s="80">
        <v>3.6</v>
      </c>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5" t="s">
        <v>1940</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5" t="s">
        <v>1941</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6" t="s">
        <v>1942</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901" customFormat="1">
      <c r="A64" s="2886"/>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901" customFormat="1">
      <c r="A65" s="2886"/>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901" customFormat="1">
      <c r="A66" s="2886"/>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901" customFormat="1">
      <c r="A67" s="2886"/>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901" customFormat="1">
      <c r="A68" s="2886"/>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1" customWidth="1"/>
    <col min="4" max="4" width="2.625" style="2731" customWidth="1"/>
    <col min="5" max="5" width="5.875" style="2731" customWidth="1"/>
    <col min="6" max="6" width="27" style="1757"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7"/>
    <col min="30" max="16384" width="9" style="1872"/>
  </cols>
  <sheetData>
    <row r="1" spans="1:29" s="2678" customFormat="1" ht="18.75" thickBot="1">
      <c r="A1" s="3158" t="s">
        <v>3032</v>
      </c>
      <c r="B1" s="3159"/>
      <c r="C1" s="3159"/>
      <c r="D1" s="3159"/>
      <c r="E1" s="3159"/>
      <c r="F1" s="3159"/>
      <c r="G1" s="3159"/>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3027</v>
      </c>
      <c r="D2" s="2682"/>
      <c r="E2" s="2679"/>
      <c r="F2" s="2683"/>
      <c r="G2" s="2681" t="s">
        <v>3028</v>
      </c>
      <c r="H2" s="907"/>
      <c r="I2" s="907"/>
      <c r="J2" s="907"/>
      <c r="K2" s="907"/>
      <c r="L2" s="907"/>
      <c r="M2" s="907"/>
      <c r="N2" s="907"/>
      <c r="O2" s="907"/>
      <c r="P2" s="907"/>
      <c r="Q2" s="907"/>
      <c r="R2" s="907"/>
    </row>
    <row r="3" spans="1:29" ht="48">
      <c r="A3" s="2662" t="s">
        <v>3029</v>
      </c>
      <c r="B3" s="2684" t="s">
        <v>2998</v>
      </c>
      <c r="C3" s="2685" t="s">
        <v>3030</v>
      </c>
      <c r="D3" s="2686"/>
      <c r="E3" s="2663" t="s">
        <v>3029</v>
      </c>
      <c r="F3" s="2687" t="s">
        <v>2999</v>
      </c>
      <c r="G3" s="2688" t="s">
        <v>3031</v>
      </c>
      <c r="H3" s="907"/>
      <c r="I3" s="907"/>
      <c r="J3" s="907"/>
      <c r="K3" s="907"/>
      <c r="L3" s="907"/>
      <c r="M3" s="907"/>
      <c r="N3" s="907"/>
      <c r="O3" s="907"/>
      <c r="P3" s="907"/>
      <c r="Q3" s="907"/>
      <c r="R3" s="907"/>
    </row>
    <row r="4" spans="1:29" ht="36.75">
      <c r="A4" s="2663"/>
      <c r="B4" s="329" t="s">
        <v>3000</v>
      </c>
      <c r="C4" s="2689" t="s">
        <v>3001</v>
      </c>
      <c r="D4" s="2686"/>
      <c r="E4" s="2690"/>
      <c r="F4" s="1557" t="s">
        <v>3002</v>
      </c>
      <c r="G4" s="2691" t="s">
        <v>3003</v>
      </c>
      <c r="H4" s="907"/>
      <c r="I4" s="907"/>
      <c r="J4" s="907"/>
      <c r="K4" s="907"/>
      <c r="L4" s="907"/>
      <c r="M4" s="907"/>
      <c r="N4" s="907"/>
      <c r="O4" s="907"/>
      <c r="P4" s="907"/>
      <c r="Q4" s="907"/>
      <c r="R4" s="907"/>
    </row>
    <row r="5" spans="1:29" ht="36.75">
      <c r="A5" s="2663"/>
      <c r="B5" s="329" t="s">
        <v>3004</v>
      </c>
      <c r="C5" s="2689" t="s">
        <v>3005</v>
      </c>
      <c r="D5" s="2686"/>
      <c r="E5" s="2690"/>
      <c r="F5" s="329" t="s">
        <v>3006</v>
      </c>
      <c r="G5" s="2691" t="s">
        <v>3007</v>
      </c>
      <c r="H5" s="907"/>
      <c r="I5" s="907"/>
      <c r="J5" s="907"/>
      <c r="K5" s="907"/>
      <c r="L5" s="907"/>
      <c r="M5" s="907"/>
      <c r="N5" s="907"/>
      <c r="O5" s="907"/>
      <c r="P5" s="907"/>
      <c r="Q5" s="907"/>
      <c r="R5" s="907"/>
    </row>
    <row r="6" spans="1:29" ht="36">
      <c r="A6" s="2663"/>
      <c r="B6" s="329" t="s">
        <v>3008</v>
      </c>
      <c r="C6" s="2691" t="s">
        <v>3003</v>
      </c>
      <c r="D6" s="2686"/>
      <c r="E6" s="2690"/>
      <c r="F6" s="329" t="s">
        <v>3009</v>
      </c>
      <c r="G6" s="2691" t="s">
        <v>3010</v>
      </c>
      <c r="H6" s="907"/>
      <c r="I6" s="907"/>
      <c r="J6" s="907"/>
      <c r="K6" s="907"/>
      <c r="L6" s="907"/>
      <c r="M6" s="907"/>
      <c r="N6" s="907"/>
      <c r="O6" s="907"/>
      <c r="P6" s="907"/>
      <c r="Q6" s="907"/>
      <c r="R6" s="907"/>
    </row>
    <row r="7" spans="1:29" ht="24.75" thickBot="1">
      <c r="A7" s="2663"/>
      <c r="B7" s="329" t="s">
        <v>3006</v>
      </c>
      <c r="C7" s="2691" t="s">
        <v>3007</v>
      </c>
      <c r="D7" s="2692"/>
      <c r="E7" s="2693"/>
      <c r="F7" s="2694" t="s">
        <v>3011</v>
      </c>
      <c r="G7" s="2695" t="s">
        <v>3012</v>
      </c>
      <c r="H7" s="907"/>
      <c r="I7" s="907"/>
      <c r="J7" s="907"/>
      <c r="K7" s="907"/>
      <c r="L7" s="907"/>
      <c r="M7" s="907"/>
      <c r="N7" s="907"/>
      <c r="O7" s="907"/>
      <c r="P7" s="907"/>
      <c r="Q7" s="907"/>
      <c r="R7" s="907"/>
    </row>
    <row r="8" spans="1:29">
      <c r="A8" s="2663"/>
      <c r="B8" s="329" t="s">
        <v>3009</v>
      </c>
      <c r="C8" s="2691" t="s">
        <v>3010</v>
      </c>
      <c r="D8" s="2692"/>
      <c r="E8" s="2692"/>
      <c r="F8" s="2696"/>
      <c r="G8" s="2696"/>
      <c r="H8" s="907"/>
      <c r="I8" s="907"/>
      <c r="J8" s="907"/>
      <c r="K8" s="907"/>
      <c r="L8" s="907"/>
      <c r="M8" s="907"/>
      <c r="N8" s="907"/>
      <c r="O8" s="907"/>
      <c r="P8" s="907"/>
      <c r="Q8" s="907"/>
      <c r="R8" s="907"/>
    </row>
    <row r="9" spans="1:29" ht="24">
      <c r="A9" s="2663"/>
      <c r="B9" s="329" t="s">
        <v>3013</v>
      </c>
      <c r="C9" s="2689" t="s">
        <v>3014</v>
      </c>
      <c r="D9" s="2686"/>
      <c r="E9" s="2692"/>
      <c r="F9" s="2696"/>
      <c r="G9" s="2696"/>
      <c r="H9" s="907"/>
      <c r="I9" s="907"/>
      <c r="J9" s="907"/>
      <c r="K9" s="907"/>
      <c r="L9" s="907"/>
      <c r="M9" s="907"/>
      <c r="N9" s="907"/>
      <c r="O9" s="907"/>
      <c r="P9" s="907"/>
      <c r="Q9" s="907"/>
      <c r="R9" s="907"/>
    </row>
    <row r="10" spans="1:29" s="2702" customFormat="1" ht="15" thickBot="1">
      <c r="A10" s="2664"/>
      <c r="B10" s="2697" t="s">
        <v>3015</v>
      </c>
      <c r="C10" s="2698"/>
      <c r="D10" s="2686"/>
      <c r="E10" s="2686"/>
      <c r="F10" s="2696"/>
      <c r="G10" s="2696"/>
      <c r="H10" s="2699"/>
      <c r="I10" s="2700"/>
      <c r="J10" s="2701"/>
      <c r="K10" s="2699"/>
      <c r="L10" s="2700"/>
      <c r="M10" s="2701"/>
      <c r="N10" s="2699"/>
      <c r="O10" s="2700"/>
      <c r="P10" s="2701"/>
      <c r="Q10" s="2699"/>
      <c r="R10" s="2700"/>
      <c r="S10" s="907"/>
      <c r="T10" s="907"/>
      <c r="U10" s="907"/>
      <c r="V10" s="907"/>
      <c r="W10" s="907"/>
      <c r="X10" s="907"/>
      <c r="Y10" s="907"/>
      <c r="Z10" s="907"/>
      <c r="AA10" s="907"/>
      <c r="AB10" s="907"/>
      <c r="AC10" s="907"/>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7"/>
      <c r="T11" s="907"/>
      <c r="U11" s="907"/>
      <c r="V11" s="907"/>
      <c r="W11" s="907"/>
      <c r="X11" s="907"/>
      <c r="Y11" s="907"/>
      <c r="Z11" s="907"/>
      <c r="AA11" s="907"/>
      <c r="AB11" s="907"/>
      <c r="AC11" s="907"/>
    </row>
    <row r="12" spans="1:29" s="2678" customFormat="1" ht="18">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75" thickBot="1">
      <c r="A13" s="2711" t="s">
        <v>3033</v>
      </c>
      <c r="B13" s="2705"/>
      <c r="C13" s="2705"/>
      <c r="D13" s="2703"/>
      <c r="E13" s="2705"/>
      <c r="F13" s="2705"/>
      <c r="G13" s="2705"/>
    </row>
    <row r="14" spans="1:29" ht="15" thickBot="1">
      <c r="A14" s="2715"/>
      <c r="B14" s="2715"/>
      <c r="C14" s="2716" t="s">
        <v>3016</v>
      </c>
      <c r="D14" s="2686"/>
      <c r="E14" s="2717"/>
      <c r="F14" s="2717"/>
      <c r="G14" s="2681" t="s">
        <v>3017</v>
      </c>
    </row>
    <row r="15" spans="1:29" ht="51">
      <c r="A15" s="2665" t="s">
        <v>3018</v>
      </c>
      <c r="B15" s="2718" t="s">
        <v>2998</v>
      </c>
      <c r="C15" s="2719" t="str">
        <f>C3</f>
        <v>估价对象周边居住用地比例、居住小区规模和社区发展完善程度，综合评价居住社区成熟度一般</v>
      </c>
      <c r="D15" s="2686"/>
      <c r="E15" s="2666" t="s">
        <v>3019</v>
      </c>
      <c r="F15" s="2718" t="s">
        <v>3020</v>
      </c>
      <c r="G15" s="2720" t="str">
        <f>G3</f>
        <v>估价对象位于XX开发区，园区建设成熟度XX，产业集聚程度XX</v>
      </c>
    </row>
    <row r="16" spans="1:29" ht="38.25">
      <c r="A16" s="2667"/>
      <c r="B16" s="2721" t="s">
        <v>3000</v>
      </c>
      <c r="C16" s="2722" t="str">
        <f>C4</f>
        <v>估价对象位于XX商圈，周边商业氛围成熟，人流量大，商业繁华度好</v>
      </c>
      <c r="D16" s="2686"/>
      <c r="E16" s="2668"/>
      <c r="F16" s="2723" t="s">
        <v>3002</v>
      </c>
      <c r="G16" s="2724" t="str">
        <f>G4</f>
        <v>估价对象周边道路状况、公共交通通达情况、停车便捷程度，综合评价交通便捷度较好</v>
      </c>
    </row>
    <row r="17" spans="1:18" ht="38.25">
      <c r="A17" s="2667"/>
      <c r="B17" s="2721" t="s">
        <v>3004</v>
      </c>
      <c r="C17" s="2722" t="str">
        <f>C5</f>
        <v>估价对象位于XX商圈，周边办公楼项目较多，入驻率高，办公集聚程度较好</v>
      </c>
      <c r="D17" s="2692"/>
      <c r="E17" s="2668"/>
      <c r="F17" s="2723" t="s">
        <v>3021</v>
      </c>
      <c r="G17" s="2725"/>
    </row>
    <row r="18" spans="1:18" ht="38.25">
      <c r="A18" s="2667"/>
      <c r="B18" s="2723" t="s">
        <v>3008</v>
      </c>
      <c r="C18" s="2724" t="str">
        <f>C6</f>
        <v>估价对象周边道路状况、公共交通通达情况、停车便捷程度，综合评价交通便捷度较好</v>
      </c>
      <c r="D18" s="2692"/>
      <c r="E18" s="2668"/>
      <c r="F18" s="2723" t="s">
        <v>3011</v>
      </c>
      <c r="G18" s="2724" t="str">
        <f>G7</f>
        <v>该园区内是否有污染型企业，绿化情况，卫生条件，整体环境状况判断</v>
      </c>
    </row>
    <row r="19" spans="1:18" ht="25.5">
      <c r="A19" s="2667"/>
      <c r="B19" s="2723" t="s">
        <v>3022</v>
      </c>
      <c r="C19" s="2725"/>
      <c r="D19" s="2686"/>
      <c r="E19" s="2668"/>
      <c r="F19" s="329" t="s">
        <v>3006</v>
      </c>
      <c r="G19" s="2724" t="str">
        <f>G5</f>
        <v>估价对象所在区域公共配套设施齐备情况</v>
      </c>
    </row>
    <row r="20" spans="1:18" ht="25.5">
      <c r="A20" s="2667"/>
      <c r="B20" s="2723" t="s">
        <v>3023</v>
      </c>
      <c r="C20" s="2722" t="str">
        <f>C9</f>
        <v>区域自然环境：；人文环境；综合评价环境状况一般</v>
      </c>
      <c r="D20" s="2692"/>
      <c r="E20" s="2668"/>
      <c r="F20" s="329" t="s">
        <v>3009</v>
      </c>
      <c r="G20" s="2724" t="str">
        <f>G6</f>
        <v>估价对象所在区域基础设施水平</v>
      </c>
    </row>
    <row r="21" spans="1:18" ht="25.5">
      <c r="A21" s="2667"/>
      <c r="B21" s="329" t="s">
        <v>3006</v>
      </c>
      <c r="C21" s="2724" t="str">
        <f>C7</f>
        <v>估价对象所在区域公共配套设施齐备情况</v>
      </c>
      <c r="D21" s="2686"/>
      <c r="E21" s="2668"/>
      <c r="F21" s="2723" t="s">
        <v>3024</v>
      </c>
      <c r="G21" s="2726"/>
    </row>
    <row r="22" spans="1:18" ht="13.5" customHeight="1">
      <c r="A22" s="2667"/>
      <c r="B22" s="329" t="s">
        <v>3009</v>
      </c>
      <c r="C22" s="2724" t="str">
        <f>C8</f>
        <v>估价对象所在区域基础设施水平</v>
      </c>
      <c r="D22" s="2686"/>
      <c r="E22" s="2668"/>
      <c r="F22" s="2723" t="s">
        <v>3015</v>
      </c>
      <c r="G22" s="2725"/>
    </row>
    <row r="23" spans="1:18" s="907" customFormat="1" ht="15" thickBot="1">
      <c r="A23" s="2667"/>
      <c r="B23" s="2723" t="s">
        <v>3024</v>
      </c>
      <c r="C23" s="2726"/>
      <c r="D23" s="1927"/>
      <c r="E23" s="2669"/>
      <c r="F23" s="2727" t="s">
        <v>3025</v>
      </c>
      <c r="G23" s="2728"/>
      <c r="H23" s="2712"/>
      <c r="I23" s="2713"/>
      <c r="J23" s="2712"/>
      <c r="K23" s="2712"/>
      <c r="L23" s="2713"/>
      <c r="M23" s="2712"/>
      <c r="N23" s="2712"/>
      <c r="O23" s="2713"/>
      <c r="P23" s="2712"/>
      <c r="Q23" s="2712"/>
      <c r="R23" s="2714"/>
    </row>
    <row r="24" spans="1:18" s="907" customFormat="1" ht="15" thickBot="1">
      <c r="A24" s="2670"/>
      <c r="B24" s="2727" t="s">
        <v>3026</v>
      </c>
      <c r="C24" s="2729">
        <f>C10</f>
        <v>0</v>
      </c>
      <c r="D24" s="1927"/>
      <c r="E24" s="2660"/>
      <c r="F24" s="2660"/>
      <c r="G24" s="2730"/>
      <c r="H24" s="2712"/>
      <c r="I24" s="2713"/>
      <c r="J24" s="2712"/>
      <c r="K24" s="2712"/>
      <c r="L24" s="2713"/>
      <c r="M24" s="2712"/>
      <c r="N24" s="2712"/>
      <c r="O24" s="2713"/>
      <c r="P24" s="2712"/>
      <c r="Q24" s="2712"/>
      <c r="R24" s="2714"/>
    </row>
    <row r="25" spans="1:18" s="907" customFormat="1">
      <c r="B25" s="2712"/>
      <c r="C25" s="2712"/>
      <c r="D25" s="2712"/>
      <c r="H25" s="2712"/>
      <c r="I25" s="2713"/>
      <c r="J25" s="2712"/>
      <c r="K25" s="2712"/>
      <c r="L25" s="2713"/>
      <c r="M25" s="2712"/>
      <c r="N25" s="2712"/>
      <c r="O25" s="2713"/>
      <c r="P25" s="2712"/>
      <c r="Q25" s="2712"/>
      <c r="R25" s="2714"/>
    </row>
    <row r="26" spans="1:18" s="907" customFormat="1">
      <c r="B26" s="2712"/>
      <c r="C26" s="2712"/>
      <c r="D26" s="2712"/>
      <c r="H26" s="2712"/>
      <c r="I26" s="2713"/>
      <c r="J26" s="2712"/>
      <c r="K26" s="2712"/>
      <c r="L26" s="2713"/>
      <c r="M26" s="2712"/>
      <c r="N26" s="2712"/>
      <c r="O26" s="2713"/>
      <c r="P26" s="2712"/>
      <c r="Q26" s="2712"/>
      <c r="R26" s="2714"/>
    </row>
    <row r="27" spans="1:18" s="907" customFormat="1">
      <c r="B27" s="2712"/>
      <c r="C27" s="2712"/>
      <c r="D27" s="2712"/>
      <c r="H27" s="2712"/>
      <c r="I27" s="2713"/>
      <c r="J27" s="2712"/>
      <c r="K27" s="2712"/>
      <c r="L27" s="2713"/>
      <c r="M27" s="2712"/>
      <c r="N27" s="2712"/>
      <c r="O27" s="2713"/>
      <c r="P27" s="2712"/>
      <c r="Q27" s="2712"/>
      <c r="R27" s="2714"/>
    </row>
    <row r="28" spans="1:18" s="907" customFormat="1">
      <c r="B28" s="2712"/>
      <c r="C28" s="2712"/>
      <c r="D28" s="2712"/>
      <c r="H28" s="2712"/>
      <c r="I28" s="2713"/>
      <c r="J28" s="2712"/>
      <c r="K28" s="2712"/>
      <c r="L28" s="2713"/>
      <c r="M28" s="2712"/>
      <c r="N28" s="2712"/>
      <c r="O28" s="2713"/>
      <c r="P28" s="2712"/>
      <c r="Q28" s="2712"/>
      <c r="R28" s="2714"/>
    </row>
    <row r="29" spans="1:18" s="907" customFormat="1">
      <c r="B29" s="2712"/>
      <c r="C29" s="2712"/>
      <c r="D29" s="2712"/>
      <c r="H29" s="2712"/>
      <c r="I29" s="2713"/>
      <c r="J29" s="2712"/>
      <c r="K29" s="2712"/>
      <c r="L29" s="2713"/>
      <c r="M29" s="2712"/>
      <c r="N29" s="2712"/>
      <c r="O29" s="2713"/>
      <c r="P29" s="2712"/>
      <c r="Q29" s="2712"/>
      <c r="R29" s="2714"/>
    </row>
    <row r="30" spans="1:18" s="907" customFormat="1">
      <c r="B30" s="2712"/>
      <c r="C30" s="2712"/>
      <c r="D30" s="2712"/>
      <c r="H30" s="2712"/>
      <c r="I30" s="2713"/>
      <c r="J30" s="2712"/>
      <c r="K30" s="2712"/>
      <c r="L30" s="2713"/>
      <c r="M30" s="2712"/>
      <c r="N30" s="2712"/>
      <c r="O30" s="2713"/>
      <c r="P30" s="2712"/>
      <c r="Q30" s="2712"/>
      <c r="R30" s="2714"/>
    </row>
    <row r="31" spans="1:18" s="907" customFormat="1">
      <c r="B31" s="2712"/>
      <c r="C31" s="2712"/>
      <c r="D31" s="2712"/>
      <c r="H31" s="2712"/>
      <c r="I31" s="2713"/>
      <c r="J31" s="2712"/>
      <c r="K31" s="2712"/>
      <c r="L31" s="2713"/>
      <c r="M31" s="2712"/>
      <c r="N31" s="2712"/>
      <c r="O31" s="2713"/>
      <c r="P31" s="2712"/>
      <c r="Q31" s="2712"/>
      <c r="R31" s="2714"/>
    </row>
    <row r="32" spans="1:18" s="907" customFormat="1">
      <c r="B32" s="2712"/>
      <c r="C32" s="2712"/>
      <c r="D32" s="2712"/>
      <c r="H32" s="2712"/>
      <c r="I32" s="2713"/>
      <c r="J32" s="2712"/>
      <c r="K32" s="2712"/>
      <c r="L32" s="2713"/>
      <c r="M32" s="2712"/>
      <c r="N32" s="2712"/>
      <c r="O32" s="2713"/>
      <c r="P32" s="2712"/>
      <c r="Q32" s="2712"/>
      <c r="R32" s="2714"/>
    </row>
    <row r="33" spans="2:18" s="907" customFormat="1">
      <c r="B33" s="2712"/>
      <c r="C33" s="2712"/>
      <c r="D33" s="2712"/>
      <c r="H33" s="2712"/>
      <c r="I33" s="2713"/>
      <c r="J33" s="2712"/>
      <c r="K33" s="2712"/>
      <c r="L33" s="2713"/>
      <c r="M33" s="2712"/>
      <c r="N33" s="2712"/>
      <c r="O33" s="2713"/>
      <c r="P33" s="2712"/>
      <c r="Q33" s="2712"/>
      <c r="R33" s="2714"/>
    </row>
    <row r="34" spans="2:18" s="907" customFormat="1">
      <c r="B34" s="2712"/>
      <c r="C34" s="2712"/>
      <c r="D34" s="2712"/>
      <c r="H34" s="2712"/>
      <c r="I34" s="2713"/>
      <c r="J34" s="2712"/>
      <c r="K34" s="2712"/>
      <c r="L34" s="2713"/>
      <c r="M34" s="2712"/>
      <c r="N34" s="2712"/>
      <c r="O34" s="2713"/>
      <c r="P34" s="2712"/>
      <c r="Q34" s="2712"/>
      <c r="R34" s="2714"/>
    </row>
    <row r="35" spans="2:18" s="907" customFormat="1">
      <c r="B35" s="2712"/>
      <c r="C35" s="2712"/>
      <c r="D35" s="2712"/>
      <c r="H35" s="2712"/>
      <c r="I35" s="2713"/>
      <c r="J35" s="2712"/>
      <c r="K35" s="2712"/>
      <c r="L35" s="2713"/>
      <c r="M35" s="2712"/>
      <c r="N35" s="2712"/>
      <c r="O35" s="2713"/>
      <c r="P35" s="2712"/>
      <c r="Q35" s="2712"/>
      <c r="R35" s="2714"/>
    </row>
    <row r="36" spans="2:18" s="907" customFormat="1">
      <c r="B36" s="2712"/>
      <c r="C36" s="2712"/>
      <c r="D36" s="2712"/>
      <c r="H36" s="2712"/>
      <c r="I36" s="2713"/>
      <c r="J36" s="2712"/>
      <c r="K36" s="2712"/>
      <c r="L36" s="2713"/>
      <c r="M36" s="2712"/>
      <c r="N36" s="2712"/>
      <c r="O36" s="2713"/>
      <c r="P36" s="2712"/>
      <c r="Q36" s="2712"/>
      <c r="R36" s="2714"/>
    </row>
    <row r="37" spans="2:18" s="907" customFormat="1">
      <c r="B37" s="2712"/>
      <c r="C37" s="2712"/>
      <c r="D37" s="2712"/>
      <c r="H37" s="2712"/>
      <c r="I37" s="2713"/>
      <c r="J37" s="2712"/>
      <c r="K37" s="2712"/>
      <c r="L37" s="2713"/>
      <c r="M37" s="2712"/>
      <c r="N37" s="2712"/>
      <c r="O37" s="2713"/>
      <c r="P37" s="2712"/>
      <c r="Q37" s="2712"/>
      <c r="R37" s="2714"/>
    </row>
    <row r="38" spans="2:18" s="907" customFormat="1">
      <c r="B38" s="2712"/>
      <c r="C38" s="2712"/>
      <c r="D38" s="2712"/>
      <c r="E38" s="2712"/>
      <c r="F38" s="2712"/>
      <c r="G38" s="2713"/>
      <c r="H38" s="2712"/>
      <c r="I38" s="2713"/>
      <c r="J38" s="2712"/>
      <c r="K38" s="2712"/>
      <c r="L38" s="2713"/>
      <c r="M38" s="2712"/>
      <c r="N38" s="2712"/>
      <c r="O38" s="2713"/>
      <c r="P38" s="2712"/>
      <c r="Q38" s="2712"/>
      <c r="R38" s="2714"/>
    </row>
    <row r="39" spans="2:18" s="907" customFormat="1">
      <c r="B39" s="2712"/>
      <c r="C39" s="2712"/>
      <c r="D39" s="2712"/>
      <c r="E39" s="2712"/>
      <c r="F39" s="2712"/>
      <c r="G39" s="2713"/>
      <c r="H39" s="2712"/>
      <c r="I39" s="2713"/>
      <c r="J39" s="2712"/>
      <c r="K39" s="2712"/>
      <c r="L39" s="2713"/>
      <c r="M39" s="2712"/>
      <c r="N39" s="2712"/>
      <c r="O39" s="2713"/>
      <c r="P39" s="2712"/>
      <c r="Q39" s="2712"/>
      <c r="R39" s="2714"/>
    </row>
    <row r="40" spans="2:18" s="907" customFormat="1">
      <c r="B40" s="2712"/>
      <c r="C40" s="2712"/>
      <c r="D40" s="2712"/>
      <c r="E40" s="2712"/>
      <c r="F40" s="2712"/>
      <c r="G40" s="2713"/>
      <c r="H40" s="2712"/>
      <c r="I40" s="2713"/>
      <c r="J40" s="2712"/>
      <c r="K40" s="2712"/>
      <c r="L40" s="2713"/>
      <c r="M40" s="2712"/>
      <c r="N40" s="2712"/>
      <c r="O40" s="2713"/>
      <c r="P40" s="2712"/>
      <c r="Q40" s="2712"/>
      <c r="R40" s="2714"/>
    </row>
    <row r="41" spans="2:18" s="907" customFormat="1">
      <c r="B41" s="2712"/>
      <c r="C41" s="2712"/>
      <c r="D41" s="2712"/>
      <c r="E41" s="2712"/>
      <c r="F41" s="2712"/>
      <c r="G41" s="2713"/>
      <c r="H41" s="2712"/>
      <c r="I41" s="2713"/>
      <c r="J41" s="2712"/>
      <c r="K41" s="2712"/>
      <c r="L41" s="2713"/>
      <c r="M41" s="2712"/>
      <c r="N41" s="2712"/>
      <c r="O41" s="2713"/>
      <c r="P41" s="2712"/>
      <c r="Q41" s="2712"/>
      <c r="R41" s="2714"/>
    </row>
    <row r="42" spans="2:18" s="907" customFormat="1">
      <c r="B42" s="2712"/>
      <c r="C42" s="2712"/>
      <c r="D42" s="2712"/>
      <c r="E42" s="2712"/>
      <c r="F42" s="2712"/>
      <c r="G42" s="2713"/>
      <c r="H42" s="2712"/>
      <c r="I42" s="2713"/>
      <c r="J42" s="2712"/>
      <c r="K42" s="2712"/>
      <c r="L42" s="2713"/>
      <c r="M42" s="2712"/>
      <c r="N42" s="2712"/>
      <c r="O42" s="2713"/>
      <c r="P42" s="2712"/>
      <c r="Q42" s="2712"/>
      <c r="R42" s="2714"/>
    </row>
    <row r="43" spans="2:18" s="907" customFormat="1">
      <c r="B43" s="2712"/>
      <c r="C43" s="2712"/>
      <c r="D43" s="2712"/>
      <c r="E43" s="2712"/>
      <c r="F43" s="2712"/>
      <c r="G43" s="2713"/>
      <c r="H43" s="2712"/>
      <c r="I43" s="2713"/>
      <c r="J43" s="2712"/>
      <c r="K43" s="2712"/>
      <c r="L43" s="2713"/>
      <c r="M43" s="2712"/>
      <c r="N43" s="2712"/>
      <c r="O43" s="2713"/>
      <c r="P43" s="2712"/>
      <c r="Q43" s="2712"/>
      <c r="R43" s="2714"/>
    </row>
    <row r="44" spans="2:18" s="907" customFormat="1">
      <c r="B44" s="2712"/>
      <c r="C44" s="2712"/>
      <c r="D44" s="2712"/>
      <c r="E44" s="2712"/>
      <c r="F44" s="2712"/>
      <c r="G44" s="2713"/>
      <c r="H44" s="2712"/>
      <c r="I44" s="2713"/>
      <c r="J44" s="2712"/>
      <c r="K44" s="2712"/>
      <c r="L44" s="2713"/>
      <c r="M44" s="2712"/>
      <c r="N44" s="2712"/>
      <c r="O44" s="2713"/>
      <c r="P44" s="2712"/>
      <c r="Q44" s="2712"/>
      <c r="R44" s="2714"/>
    </row>
    <row r="45" spans="2:18" s="907" customFormat="1">
      <c r="B45" s="2712"/>
      <c r="C45" s="2712"/>
      <c r="D45" s="2712"/>
      <c r="E45" s="2712"/>
      <c r="F45" s="2712"/>
      <c r="G45" s="2713"/>
      <c r="H45" s="2712"/>
      <c r="I45" s="2713"/>
      <c r="J45" s="2712"/>
      <c r="K45" s="2712"/>
      <c r="L45" s="2713"/>
      <c r="M45" s="2712"/>
      <c r="N45" s="2712"/>
      <c r="O45" s="2713"/>
      <c r="P45" s="2712"/>
      <c r="Q45" s="2712"/>
      <c r="R45" s="2714"/>
    </row>
    <row r="46" spans="2:18" s="907" customFormat="1">
      <c r="B46" s="2712"/>
      <c r="C46" s="2712"/>
      <c r="D46" s="2712"/>
      <c r="E46" s="2712"/>
      <c r="F46" s="2712"/>
      <c r="G46" s="2713"/>
      <c r="H46" s="2712"/>
      <c r="I46" s="2713"/>
      <c r="J46" s="2712"/>
      <c r="K46" s="2712"/>
      <c r="L46" s="2713"/>
      <c r="M46" s="2712"/>
      <c r="N46" s="2712"/>
      <c r="O46" s="2713"/>
      <c r="P46" s="2712"/>
      <c r="Q46" s="2712"/>
      <c r="R46" s="2714"/>
    </row>
    <row r="47" spans="2:18" s="907" customFormat="1">
      <c r="B47" s="2712"/>
      <c r="C47" s="2712"/>
      <c r="D47" s="2712"/>
      <c r="E47" s="2712"/>
      <c r="F47" s="2712"/>
      <c r="G47" s="2713"/>
      <c r="H47" s="2712"/>
      <c r="I47" s="2713"/>
      <c r="J47" s="2712"/>
      <c r="K47" s="2712"/>
      <c r="L47" s="2713"/>
      <c r="M47" s="2712"/>
      <c r="N47" s="2712"/>
      <c r="O47" s="2713"/>
      <c r="P47" s="2712"/>
      <c r="Q47" s="2712"/>
      <c r="R47" s="2714"/>
    </row>
    <row r="48" spans="2:18" s="907" customFormat="1">
      <c r="B48" s="2712"/>
      <c r="C48" s="2712"/>
      <c r="D48" s="2712"/>
      <c r="E48" s="2712"/>
      <c r="F48" s="2712"/>
      <c r="G48" s="2713"/>
      <c r="H48" s="2712"/>
      <c r="I48" s="2713"/>
      <c r="J48" s="2712"/>
      <c r="K48" s="2712"/>
      <c r="L48" s="2713"/>
      <c r="M48" s="2712"/>
      <c r="N48" s="2712"/>
      <c r="O48" s="2713"/>
      <c r="P48" s="2712"/>
      <c r="Q48" s="2712"/>
      <c r="R48" s="2714"/>
    </row>
    <row r="49" spans="2:18" s="907" customFormat="1">
      <c r="B49" s="2712"/>
      <c r="C49" s="2712"/>
      <c r="D49" s="2712"/>
      <c r="E49" s="2712"/>
      <c r="F49" s="2712"/>
      <c r="G49" s="2713"/>
      <c r="H49" s="2712"/>
      <c r="I49" s="2713"/>
      <c r="J49" s="2712"/>
      <c r="K49" s="2712"/>
      <c r="L49" s="2713"/>
      <c r="M49" s="2712"/>
      <c r="N49" s="2712"/>
      <c r="O49" s="2713"/>
      <c r="P49" s="2712"/>
      <c r="Q49" s="2712"/>
      <c r="R49" s="2714"/>
    </row>
    <row r="50" spans="2:18" s="907" customFormat="1">
      <c r="B50" s="2712"/>
      <c r="C50" s="2712"/>
      <c r="D50" s="2712"/>
      <c r="E50" s="2712"/>
      <c r="F50" s="2712"/>
      <c r="G50" s="2713"/>
      <c r="H50" s="2712"/>
      <c r="I50" s="2713"/>
      <c r="J50" s="2712"/>
      <c r="K50" s="2712"/>
      <c r="L50" s="2713"/>
      <c r="M50" s="2712"/>
      <c r="N50" s="2712"/>
      <c r="O50" s="2713"/>
      <c r="P50" s="2712"/>
      <c r="Q50" s="2712"/>
      <c r="R50" s="2714"/>
    </row>
    <row r="51" spans="2:18" s="907" customFormat="1">
      <c r="B51" s="2712"/>
      <c r="C51" s="2712"/>
      <c r="D51" s="2712"/>
      <c r="E51" s="2712"/>
      <c r="F51" s="2712"/>
      <c r="G51" s="2713"/>
      <c r="H51" s="2712"/>
      <c r="I51" s="2713"/>
      <c r="J51" s="2712"/>
      <c r="K51" s="2712"/>
      <c r="L51" s="2713"/>
      <c r="M51" s="2712"/>
      <c r="N51" s="2712"/>
      <c r="O51" s="2713"/>
      <c r="P51" s="2712"/>
      <c r="Q51" s="2712"/>
      <c r="R51" s="2714"/>
    </row>
    <row r="52" spans="2:18" s="907" customFormat="1">
      <c r="B52" s="2712"/>
      <c r="C52" s="2712"/>
      <c r="D52" s="2712"/>
      <c r="E52" s="2712"/>
      <c r="F52" s="2712"/>
      <c r="G52" s="2713"/>
      <c r="H52" s="2712"/>
      <c r="I52" s="2713"/>
      <c r="J52" s="2712"/>
      <c r="K52" s="2712"/>
      <c r="L52" s="2713"/>
      <c r="M52" s="2712"/>
      <c r="N52" s="2712"/>
      <c r="O52" s="2713"/>
      <c r="P52" s="2712"/>
      <c r="Q52" s="2712"/>
      <c r="R52" s="2714"/>
    </row>
    <row r="53" spans="2:18" s="907" customFormat="1">
      <c r="B53" s="2712"/>
      <c r="C53" s="2712"/>
      <c r="D53" s="2712"/>
      <c r="E53" s="2712"/>
      <c r="F53" s="2712"/>
      <c r="G53" s="2713"/>
      <c r="H53" s="2712"/>
      <c r="I53" s="2713"/>
      <c r="J53" s="2712"/>
      <c r="K53" s="2712"/>
      <c r="L53" s="2713"/>
      <c r="M53" s="2712"/>
      <c r="N53" s="2712"/>
      <c r="O53" s="2713"/>
      <c r="P53" s="2712"/>
      <c r="Q53" s="2712"/>
      <c r="R53" s="2714"/>
    </row>
    <row r="54" spans="2:18" s="907" customFormat="1">
      <c r="B54" s="2712"/>
      <c r="C54" s="2712"/>
      <c r="D54" s="2712"/>
      <c r="E54" s="2712"/>
      <c r="F54" s="2712"/>
      <c r="G54" s="2713"/>
      <c r="H54" s="2712"/>
      <c r="I54" s="2713"/>
      <c r="J54" s="2712"/>
      <c r="K54" s="2712"/>
      <c r="L54" s="2713"/>
      <c r="M54" s="2712"/>
      <c r="N54" s="2712"/>
      <c r="O54" s="2713"/>
      <c r="P54" s="2712"/>
      <c r="Q54" s="2712"/>
      <c r="R54" s="2714"/>
    </row>
    <row r="55" spans="2:18" s="907" customFormat="1">
      <c r="B55" s="2712"/>
      <c r="C55" s="2712"/>
      <c r="D55" s="2712"/>
      <c r="E55" s="2712"/>
      <c r="F55" s="2712"/>
      <c r="G55" s="2713"/>
      <c r="H55" s="2712"/>
      <c r="I55" s="2713"/>
      <c r="J55" s="2712"/>
      <c r="K55" s="2712"/>
      <c r="L55" s="2713"/>
      <c r="M55" s="2712"/>
      <c r="N55" s="2712"/>
      <c r="O55" s="2713"/>
      <c r="P55" s="2712"/>
      <c r="Q55" s="2712"/>
      <c r="R55" s="2714"/>
    </row>
    <row r="56" spans="2:18" s="907" customFormat="1">
      <c r="B56" s="2712"/>
      <c r="C56" s="2712"/>
      <c r="D56" s="2712"/>
      <c r="E56" s="2712"/>
      <c r="F56" s="2712"/>
      <c r="G56" s="2713"/>
      <c r="H56" s="2712"/>
      <c r="I56" s="2713"/>
      <c r="J56" s="2712"/>
      <c r="K56" s="2712"/>
      <c r="L56" s="2713"/>
      <c r="M56" s="2712"/>
      <c r="N56" s="2712"/>
      <c r="O56" s="2713"/>
      <c r="P56" s="2712"/>
      <c r="Q56" s="2712"/>
      <c r="R56" s="2714"/>
    </row>
    <row r="57" spans="2:18" s="907" customFormat="1">
      <c r="B57" s="2712"/>
      <c r="C57" s="2712"/>
      <c r="D57" s="2712"/>
      <c r="E57" s="2712"/>
      <c r="F57" s="2712"/>
      <c r="G57" s="2713"/>
      <c r="H57" s="2712"/>
      <c r="I57" s="2713"/>
      <c r="J57" s="2712"/>
      <c r="K57" s="2712"/>
      <c r="L57" s="2713"/>
      <c r="M57" s="2712"/>
      <c r="N57" s="2712"/>
      <c r="O57" s="2713"/>
      <c r="P57" s="2712"/>
      <c r="Q57" s="2712"/>
      <c r="R57" s="2714"/>
    </row>
    <row r="58" spans="2:18" s="907" customFormat="1">
      <c r="B58" s="2712"/>
      <c r="C58" s="2712"/>
      <c r="D58" s="2712"/>
      <c r="E58" s="2712"/>
      <c r="F58" s="2712"/>
      <c r="G58" s="2713"/>
      <c r="H58" s="2712"/>
      <c r="I58" s="2713"/>
      <c r="J58" s="2712"/>
      <c r="K58" s="2712"/>
      <c r="L58" s="2713"/>
      <c r="M58" s="2712"/>
      <c r="N58" s="2712"/>
      <c r="O58" s="2713"/>
      <c r="P58" s="2712"/>
      <c r="Q58" s="2712"/>
      <c r="R58" s="2714"/>
    </row>
    <row r="59" spans="2:18" s="907" customFormat="1">
      <c r="B59" s="2712"/>
      <c r="C59" s="2712"/>
      <c r="D59" s="2712"/>
      <c r="E59" s="2712"/>
      <c r="F59" s="2712"/>
      <c r="G59" s="2713"/>
      <c r="H59" s="2712"/>
      <c r="I59" s="2713"/>
      <c r="J59" s="2712"/>
      <c r="K59" s="2712"/>
      <c r="L59" s="2713"/>
      <c r="M59" s="2712"/>
      <c r="N59" s="2712"/>
      <c r="O59" s="2713"/>
      <c r="P59" s="2712"/>
      <c r="Q59" s="2712"/>
      <c r="R59" s="2714"/>
    </row>
    <row r="60" spans="2:18" s="907" customFormat="1">
      <c r="B60" s="2712"/>
      <c r="C60" s="2712"/>
      <c r="D60" s="2712"/>
      <c r="E60" s="2712"/>
      <c r="F60" s="2712"/>
      <c r="G60" s="2713"/>
      <c r="H60" s="2712"/>
      <c r="I60" s="2713"/>
      <c r="J60" s="2712"/>
      <c r="K60" s="2712"/>
      <c r="L60" s="2713"/>
      <c r="M60" s="2712"/>
      <c r="N60" s="2712"/>
      <c r="O60" s="2713"/>
      <c r="P60" s="2712"/>
      <c r="Q60" s="2712"/>
      <c r="R60" s="2714"/>
    </row>
    <row r="61" spans="2:18" s="907" customFormat="1">
      <c r="B61" s="2712"/>
      <c r="C61" s="2712"/>
      <c r="D61" s="2712"/>
      <c r="E61" s="2712"/>
      <c r="F61" s="2712"/>
      <c r="G61" s="2713"/>
      <c r="H61" s="2712"/>
      <c r="I61" s="2713"/>
      <c r="J61" s="2712"/>
      <c r="K61" s="2712"/>
      <c r="L61" s="2713"/>
      <c r="M61" s="2712"/>
      <c r="N61" s="2712"/>
      <c r="O61" s="2713"/>
      <c r="P61" s="2712"/>
      <c r="Q61" s="2712"/>
      <c r="R61" s="2714"/>
    </row>
    <row r="62" spans="2:18" s="907" customFormat="1">
      <c r="B62" s="2712"/>
      <c r="C62" s="2712"/>
      <c r="D62" s="2712"/>
      <c r="E62" s="2712"/>
      <c r="F62" s="2712"/>
      <c r="G62" s="2713"/>
      <c r="H62" s="2712"/>
      <c r="I62" s="2713"/>
      <c r="J62" s="2712"/>
      <c r="K62" s="2712"/>
      <c r="L62" s="2713"/>
      <c r="M62" s="2712"/>
      <c r="N62" s="2712"/>
      <c r="O62" s="2713"/>
      <c r="P62" s="2712"/>
      <c r="Q62" s="2712"/>
      <c r="R62" s="2714"/>
    </row>
    <row r="63" spans="2:18" s="907" customFormat="1">
      <c r="B63" s="2712"/>
      <c r="C63" s="2712"/>
      <c r="D63" s="2712"/>
      <c r="E63" s="2712"/>
      <c r="F63" s="2712"/>
      <c r="G63" s="2713"/>
      <c r="H63" s="2712"/>
      <c r="I63" s="2713"/>
      <c r="J63" s="2712"/>
      <c r="K63" s="2712"/>
      <c r="L63" s="2713"/>
      <c r="M63" s="2712"/>
      <c r="N63" s="2712"/>
      <c r="O63" s="2713"/>
      <c r="P63" s="2712"/>
      <c r="Q63" s="2712"/>
      <c r="R63" s="2714"/>
    </row>
    <row r="64" spans="2:18" s="907" customFormat="1">
      <c r="B64" s="2712"/>
      <c r="C64" s="2712"/>
      <c r="D64" s="2712"/>
      <c r="E64" s="2712"/>
      <c r="F64" s="2712"/>
      <c r="G64" s="2713"/>
      <c r="H64" s="2712"/>
      <c r="I64" s="2713"/>
      <c r="J64" s="2712"/>
      <c r="K64" s="2712"/>
      <c r="L64" s="2713"/>
      <c r="M64" s="2712"/>
      <c r="N64" s="2712"/>
      <c r="O64" s="2713"/>
      <c r="P64" s="2712"/>
      <c r="Q64" s="2712"/>
      <c r="R64" s="2714"/>
    </row>
    <row r="65" spans="2:18" s="907" customFormat="1">
      <c r="B65" s="2712"/>
      <c r="C65" s="2712"/>
      <c r="D65" s="2712"/>
      <c r="E65" s="2712"/>
      <c r="F65" s="2712"/>
      <c r="G65" s="2713"/>
      <c r="H65" s="2712"/>
      <c r="I65" s="2713"/>
      <c r="J65" s="2712"/>
      <c r="K65" s="2712"/>
      <c r="L65" s="2713"/>
      <c r="M65" s="2712"/>
      <c r="N65" s="2712"/>
      <c r="O65" s="2713"/>
      <c r="P65" s="2712"/>
      <c r="Q65" s="2712"/>
      <c r="R65" s="2714"/>
    </row>
    <row r="66" spans="2:18" s="907" customFormat="1">
      <c r="B66" s="2712"/>
      <c r="C66" s="2712"/>
      <c r="D66" s="2712"/>
      <c r="E66" s="2712"/>
      <c r="F66" s="2712"/>
      <c r="G66" s="2713"/>
      <c r="H66" s="2712"/>
      <c r="I66" s="2713"/>
      <c r="J66" s="2712"/>
      <c r="K66" s="2712"/>
      <c r="L66" s="2713"/>
      <c r="M66" s="2712"/>
      <c r="N66" s="2712"/>
      <c r="O66" s="2713"/>
      <c r="P66" s="2712"/>
      <c r="Q66" s="2712"/>
      <c r="R66" s="2714"/>
    </row>
    <row r="67" spans="2:18" s="907" customFormat="1">
      <c r="B67" s="2712"/>
      <c r="C67" s="2712"/>
      <c r="D67" s="2712"/>
      <c r="E67" s="2712"/>
      <c r="F67" s="2712"/>
      <c r="G67" s="2713"/>
      <c r="H67" s="2712"/>
      <c r="I67" s="2713"/>
      <c r="J67" s="2712"/>
      <c r="K67" s="2712"/>
      <c r="L67" s="2713"/>
      <c r="M67" s="2712"/>
      <c r="N67" s="2712"/>
      <c r="O67" s="2713"/>
      <c r="P67" s="2712"/>
      <c r="Q67" s="2712"/>
      <c r="R67" s="2714"/>
    </row>
    <row r="68" spans="2:18" s="907" customFormat="1">
      <c r="B68" s="2712"/>
      <c r="C68" s="2712"/>
      <c r="D68" s="2712"/>
      <c r="E68" s="2712"/>
      <c r="F68" s="2712"/>
      <c r="G68" s="2713"/>
      <c r="H68" s="2712"/>
      <c r="I68" s="2713"/>
      <c r="J68" s="2712"/>
      <c r="K68" s="2712"/>
      <c r="L68" s="2713"/>
      <c r="M68" s="2712"/>
      <c r="N68" s="2712"/>
      <c r="O68" s="2713"/>
      <c r="P68" s="2712"/>
      <c r="Q68" s="2712"/>
      <c r="R68" s="2714"/>
    </row>
    <row r="69" spans="2:18" s="907" customFormat="1">
      <c r="B69" s="2712"/>
      <c r="C69" s="2712"/>
      <c r="D69" s="2712"/>
      <c r="E69" s="2712"/>
      <c r="F69" s="2712"/>
      <c r="G69" s="2713"/>
      <c r="H69" s="2712"/>
      <c r="I69" s="2713"/>
      <c r="J69" s="2712"/>
      <c r="K69" s="2712"/>
      <c r="L69" s="2713"/>
      <c r="M69" s="2712"/>
      <c r="N69" s="2712"/>
      <c r="O69" s="2713"/>
      <c r="P69" s="2712"/>
      <c r="Q69" s="2712"/>
      <c r="R69" s="2714"/>
    </row>
    <row r="70" spans="2:18" s="907" customFormat="1">
      <c r="B70" s="2712"/>
      <c r="C70" s="2712"/>
      <c r="D70" s="2712"/>
      <c r="E70" s="2712"/>
      <c r="F70" s="2712"/>
      <c r="G70" s="2713"/>
      <c r="H70" s="2712"/>
      <c r="I70" s="2713"/>
      <c r="J70" s="2712"/>
      <c r="K70" s="2712"/>
      <c r="L70" s="2713"/>
      <c r="M70" s="2712"/>
      <c r="N70" s="2712"/>
      <c r="O70" s="2713"/>
      <c r="P70" s="2712"/>
      <c r="Q70" s="2712"/>
      <c r="R70" s="2714"/>
    </row>
    <row r="71" spans="2:18" s="907" customFormat="1">
      <c r="B71" s="2712"/>
      <c r="C71" s="2712"/>
      <c r="D71" s="2712"/>
      <c r="E71" s="2712"/>
      <c r="F71" s="2712"/>
      <c r="G71" s="2713"/>
      <c r="H71" s="2712"/>
      <c r="I71" s="2713"/>
      <c r="J71" s="2712"/>
      <c r="K71" s="2712"/>
      <c r="L71" s="2713"/>
      <c r="M71" s="2712"/>
      <c r="N71" s="2712"/>
      <c r="O71" s="2713"/>
      <c r="P71" s="2712"/>
      <c r="Q71" s="2712"/>
      <c r="R71" s="2714"/>
    </row>
    <row r="72" spans="2:18" s="907" customFormat="1">
      <c r="B72" s="2712"/>
      <c r="C72" s="2712"/>
      <c r="D72" s="2712"/>
      <c r="E72" s="2712"/>
      <c r="F72" s="2712"/>
      <c r="G72" s="2713"/>
      <c r="H72" s="2712"/>
      <c r="I72" s="2713"/>
      <c r="J72" s="2712"/>
      <c r="K72" s="2712"/>
      <c r="L72" s="2713"/>
      <c r="M72" s="2712"/>
      <c r="N72" s="2712"/>
      <c r="O72" s="2713"/>
      <c r="P72" s="2712"/>
      <c r="Q72" s="2712"/>
      <c r="R72" s="2714"/>
    </row>
    <row r="73" spans="2:18" s="907" customFormat="1">
      <c r="B73" s="2712"/>
      <c r="C73" s="2712"/>
      <c r="D73" s="2712"/>
      <c r="E73" s="2712"/>
      <c r="F73" s="2712"/>
      <c r="G73" s="2713"/>
      <c r="H73" s="2712"/>
      <c r="I73" s="2713"/>
      <c r="J73" s="2712"/>
      <c r="K73" s="2712"/>
      <c r="L73" s="2713"/>
      <c r="M73" s="2712"/>
      <c r="N73" s="2712"/>
      <c r="O73" s="2713"/>
      <c r="P73" s="2712"/>
      <c r="Q73" s="2712"/>
      <c r="R73" s="2714"/>
    </row>
    <row r="74" spans="2:18" s="907" customFormat="1">
      <c r="B74" s="2712"/>
      <c r="C74" s="2712"/>
      <c r="D74" s="2712"/>
      <c r="E74" s="2712"/>
      <c r="F74" s="2712"/>
      <c r="G74" s="2713"/>
      <c r="H74" s="2712"/>
      <c r="I74" s="2713"/>
      <c r="J74" s="2712"/>
      <c r="K74" s="2712"/>
      <c r="L74" s="2713"/>
      <c r="M74" s="2712"/>
      <c r="N74" s="2712"/>
      <c r="O74" s="2713"/>
      <c r="P74" s="2712"/>
      <c r="Q74" s="2712"/>
      <c r="R74" s="2714"/>
    </row>
    <row r="75" spans="2:18" s="907" customFormat="1">
      <c r="B75" s="2712"/>
      <c r="C75" s="2712"/>
      <c r="D75" s="2712"/>
      <c r="E75" s="2712"/>
      <c r="F75" s="2712"/>
      <c r="G75" s="2713"/>
      <c r="H75" s="2712"/>
      <c r="I75" s="2713"/>
      <c r="J75" s="2712"/>
      <c r="K75" s="2712"/>
      <c r="L75" s="2713"/>
      <c r="M75" s="2712"/>
      <c r="N75" s="2712"/>
      <c r="O75" s="2713"/>
      <c r="P75" s="2712"/>
      <c r="Q75" s="2712"/>
      <c r="R75" s="2714"/>
    </row>
    <row r="76" spans="2:18" s="907" customFormat="1">
      <c r="B76" s="2712"/>
      <c r="C76" s="2712"/>
      <c r="D76" s="2712"/>
      <c r="E76" s="2712"/>
      <c r="F76" s="2712"/>
      <c r="G76" s="2713"/>
      <c r="H76" s="2712"/>
      <c r="I76" s="2713"/>
      <c r="J76" s="2712"/>
      <c r="K76" s="2712"/>
      <c r="L76" s="2713"/>
      <c r="M76" s="2712"/>
      <c r="N76" s="2712"/>
      <c r="O76" s="2713"/>
      <c r="P76" s="2712"/>
      <c r="Q76" s="2712"/>
      <c r="R76" s="2714"/>
    </row>
    <row r="77" spans="2:18" s="907" customFormat="1">
      <c r="B77" s="2712"/>
      <c r="C77" s="2712"/>
      <c r="D77" s="2712"/>
      <c r="E77" s="2712"/>
      <c r="F77" s="2712"/>
      <c r="G77" s="2713"/>
      <c r="H77" s="2712"/>
      <c r="I77" s="2713"/>
      <c r="J77" s="2712"/>
      <c r="K77" s="2712"/>
      <c r="L77" s="2713"/>
      <c r="M77" s="2712"/>
      <c r="N77" s="2712"/>
      <c r="O77" s="2713"/>
      <c r="P77" s="2712"/>
      <c r="Q77" s="2712"/>
      <c r="R77" s="2714"/>
    </row>
    <row r="78" spans="2:18" s="907" customFormat="1">
      <c r="B78" s="2712"/>
      <c r="C78" s="2712"/>
      <c r="D78" s="2712"/>
      <c r="E78" s="2712"/>
      <c r="F78" s="2712"/>
      <c r="G78" s="2713"/>
      <c r="H78" s="2712"/>
      <c r="I78" s="2713"/>
      <c r="J78" s="2712"/>
      <c r="K78" s="2712"/>
      <c r="L78" s="2713"/>
      <c r="M78" s="2712"/>
      <c r="N78" s="2712"/>
      <c r="O78" s="2713"/>
      <c r="P78" s="2712"/>
      <c r="Q78" s="2712"/>
      <c r="R78" s="2714"/>
    </row>
    <row r="79" spans="2:18" s="907" customFormat="1">
      <c r="B79" s="2712"/>
      <c r="C79" s="2712"/>
      <c r="D79" s="2712"/>
      <c r="E79" s="2712"/>
      <c r="F79" s="2712"/>
      <c r="G79" s="2713"/>
      <c r="H79" s="2712"/>
      <c r="I79" s="2713"/>
      <c r="J79" s="2712"/>
      <c r="K79" s="2712"/>
      <c r="L79" s="2713"/>
      <c r="M79" s="2712"/>
      <c r="N79" s="2712"/>
      <c r="O79" s="2713"/>
      <c r="P79" s="2712"/>
      <c r="Q79" s="2712"/>
      <c r="R79" s="2714"/>
    </row>
    <row r="80" spans="2:18" s="907" customFormat="1">
      <c r="B80" s="2712"/>
      <c r="C80" s="2712"/>
      <c r="D80" s="2712"/>
      <c r="E80" s="2712"/>
      <c r="F80" s="2712"/>
      <c r="G80" s="2713"/>
      <c r="H80" s="2712"/>
      <c r="I80" s="2713"/>
      <c r="J80" s="2712"/>
      <c r="K80" s="2712"/>
      <c r="L80" s="2713"/>
      <c r="M80" s="2712"/>
      <c r="N80" s="2712"/>
      <c r="O80" s="2713"/>
      <c r="P80" s="2712"/>
      <c r="Q80" s="2712"/>
      <c r="R80" s="2714"/>
    </row>
    <row r="81" spans="2:18" s="907" customFormat="1">
      <c r="B81" s="2712"/>
      <c r="C81" s="2712"/>
      <c r="D81" s="2712"/>
      <c r="E81" s="2712"/>
      <c r="F81" s="2712"/>
      <c r="G81" s="2713"/>
      <c r="H81" s="2712"/>
      <c r="I81" s="2713"/>
      <c r="J81" s="2712"/>
      <c r="K81" s="2712"/>
      <c r="L81" s="2713"/>
      <c r="M81" s="2712"/>
      <c r="N81" s="2712"/>
      <c r="O81" s="2713"/>
      <c r="P81" s="2712"/>
      <c r="Q81" s="2712"/>
      <c r="R81" s="2714"/>
    </row>
    <row r="82" spans="2:18" s="907" customFormat="1">
      <c r="B82" s="2712"/>
      <c r="C82" s="2712"/>
      <c r="D82" s="2712"/>
      <c r="E82" s="2712"/>
      <c r="F82" s="2712"/>
      <c r="G82" s="2713"/>
      <c r="H82" s="2712"/>
      <c r="I82" s="2713"/>
      <c r="J82" s="2712"/>
      <c r="K82" s="2712"/>
      <c r="L82" s="2713"/>
      <c r="M82" s="2712"/>
      <c r="N82" s="2712"/>
      <c r="O82" s="2713"/>
      <c r="P82" s="2712"/>
      <c r="Q82" s="2712"/>
      <c r="R82" s="2714"/>
    </row>
    <row r="83" spans="2:18" s="907" customFormat="1">
      <c r="B83" s="2712"/>
      <c r="C83" s="2712"/>
      <c r="D83" s="2712"/>
      <c r="E83" s="2712"/>
      <c r="F83" s="2712"/>
      <c r="G83" s="2713"/>
      <c r="H83" s="2712"/>
      <c r="I83" s="2713"/>
      <c r="J83" s="2712"/>
      <c r="K83" s="2712"/>
      <c r="L83" s="2713"/>
      <c r="M83" s="2712"/>
      <c r="N83" s="2712"/>
      <c r="O83" s="2713"/>
      <c r="P83" s="2712"/>
      <c r="Q83" s="2712"/>
      <c r="R83" s="2714"/>
    </row>
    <row r="84" spans="2:18" s="907" customFormat="1">
      <c r="B84" s="2712"/>
      <c r="C84" s="2712"/>
      <c r="D84" s="2712"/>
      <c r="E84" s="2712"/>
      <c r="F84" s="2712"/>
      <c r="G84" s="2713"/>
      <c r="H84" s="2712"/>
      <c r="I84" s="2713"/>
      <c r="J84" s="2712"/>
      <c r="K84" s="2712"/>
      <c r="L84" s="2713"/>
      <c r="M84" s="2712"/>
      <c r="N84" s="2712"/>
      <c r="O84" s="2713"/>
      <c r="P84" s="2712"/>
      <c r="Q84" s="2712"/>
      <c r="R84" s="2714"/>
    </row>
    <row r="85" spans="2:18" s="907" customFormat="1">
      <c r="B85" s="2712"/>
      <c r="C85" s="2712"/>
      <c r="D85" s="2712"/>
      <c r="E85" s="2712"/>
      <c r="F85" s="2712"/>
      <c r="G85" s="2713"/>
      <c r="H85" s="2712"/>
      <c r="I85" s="2713"/>
      <c r="J85" s="2712"/>
      <c r="K85" s="2712"/>
      <c r="L85" s="2713"/>
      <c r="M85" s="2712"/>
      <c r="N85" s="2712"/>
      <c r="O85" s="2713"/>
      <c r="P85" s="2712"/>
      <c r="Q85" s="2712"/>
      <c r="R85" s="2714"/>
    </row>
    <row r="86" spans="2:18" s="907" customFormat="1">
      <c r="B86" s="2712"/>
      <c r="C86" s="2712"/>
      <c r="D86" s="2712"/>
      <c r="E86" s="2712"/>
      <c r="F86" s="2712"/>
      <c r="G86" s="2713"/>
      <c r="H86" s="2712"/>
      <c r="I86" s="2713"/>
      <c r="J86" s="2712"/>
      <c r="K86" s="2712"/>
      <c r="L86" s="2713"/>
      <c r="M86" s="2712"/>
      <c r="N86" s="2712"/>
      <c r="O86" s="2713"/>
      <c r="P86" s="2712"/>
      <c r="Q86" s="2712"/>
      <c r="R86" s="2714"/>
    </row>
    <row r="87" spans="2:18" s="907" customFormat="1">
      <c r="B87" s="2712"/>
      <c r="C87" s="2712"/>
      <c r="D87" s="2712"/>
      <c r="E87" s="2712"/>
      <c r="F87" s="2712"/>
      <c r="G87" s="2713"/>
      <c r="H87" s="2712"/>
      <c r="I87" s="2713"/>
      <c r="J87" s="2712"/>
      <c r="K87" s="2712"/>
      <c r="L87" s="2713"/>
      <c r="M87" s="2712"/>
      <c r="N87" s="2712"/>
      <c r="O87" s="2713"/>
      <c r="P87" s="2712"/>
      <c r="Q87" s="2712"/>
      <c r="R87" s="2714"/>
    </row>
    <row r="88" spans="2:18" s="907" customFormat="1">
      <c r="B88" s="2712"/>
      <c r="C88" s="2712"/>
      <c r="D88" s="2712"/>
      <c r="E88" s="2712"/>
      <c r="F88" s="2712"/>
      <c r="G88" s="2713"/>
      <c r="H88" s="2712"/>
      <c r="I88" s="2713"/>
      <c r="J88" s="2712"/>
      <c r="K88" s="2712"/>
      <c r="L88" s="2713"/>
      <c r="M88" s="2712"/>
      <c r="N88" s="2712"/>
      <c r="O88" s="2713"/>
      <c r="P88" s="2712"/>
      <c r="Q88" s="2712"/>
      <c r="R88" s="2714"/>
    </row>
    <row r="89" spans="2:18" s="907" customFormat="1">
      <c r="B89" s="2712"/>
      <c r="C89" s="2712"/>
      <c r="D89" s="2712"/>
      <c r="E89" s="2712"/>
      <c r="F89" s="2712"/>
      <c r="G89" s="2713"/>
      <c r="H89" s="2712"/>
      <c r="I89" s="2713"/>
      <c r="J89" s="2712"/>
      <c r="K89" s="2712"/>
      <c r="L89" s="2713"/>
      <c r="M89" s="2712"/>
      <c r="N89" s="2712"/>
      <c r="O89" s="2713"/>
      <c r="P89" s="2712"/>
      <c r="Q89" s="2712"/>
      <c r="R89" s="2714"/>
    </row>
    <row r="90" spans="2:18" s="907" customFormat="1">
      <c r="B90" s="2712"/>
      <c r="C90" s="2712"/>
      <c r="D90" s="2712"/>
      <c r="E90" s="2712"/>
      <c r="F90" s="2712"/>
      <c r="G90" s="2713"/>
      <c r="H90" s="2712"/>
      <c r="I90" s="2713"/>
      <c r="J90" s="2712"/>
      <c r="K90" s="2712"/>
      <c r="L90" s="2713"/>
      <c r="M90" s="2712"/>
      <c r="N90" s="2712"/>
      <c r="O90" s="2713"/>
      <c r="P90" s="2712"/>
      <c r="Q90" s="2712"/>
      <c r="R90" s="2714"/>
    </row>
    <row r="91" spans="2:18" s="907" customFormat="1">
      <c r="B91" s="2712"/>
      <c r="C91" s="2712"/>
      <c r="D91" s="2712"/>
      <c r="E91" s="2712"/>
      <c r="F91" s="2712"/>
      <c r="G91" s="2713"/>
      <c r="H91" s="2712"/>
      <c r="I91" s="2713"/>
      <c r="J91" s="2712"/>
      <c r="K91" s="2712"/>
      <c r="L91" s="2713"/>
      <c r="M91" s="2712"/>
      <c r="N91" s="2712"/>
      <c r="O91" s="2713"/>
      <c r="P91" s="2712"/>
      <c r="Q91" s="2712"/>
      <c r="R91" s="2714"/>
    </row>
    <row r="92" spans="2:18" s="907" customFormat="1">
      <c r="B92" s="2712"/>
      <c r="C92" s="2712"/>
      <c r="D92" s="2712"/>
      <c r="E92" s="2712"/>
      <c r="F92" s="2712"/>
      <c r="G92" s="2713"/>
      <c r="H92" s="2712"/>
      <c r="I92" s="2713"/>
      <c r="J92" s="2712"/>
      <c r="K92" s="2712"/>
      <c r="L92" s="2713"/>
      <c r="M92" s="2712"/>
      <c r="N92" s="2712"/>
      <c r="O92" s="2713"/>
      <c r="P92" s="2712"/>
      <c r="Q92" s="2712"/>
      <c r="R92" s="2714"/>
    </row>
    <row r="93" spans="2:18" s="907" customFormat="1">
      <c r="B93" s="2712"/>
      <c r="C93" s="2712"/>
      <c r="D93" s="2712"/>
      <c r="E93" s="2712"/>
      <c r="F93" s="2712"/>
      <c r="G93" s="2713"/>
      <c r="H93" s="2712"/>
      <c r="I93" s="2713"/>
      <c r="J93" s="2712"/>
      <c r="K93" s="2712"/>
      <c r="L93" s="2713"/>
      <c r="M93" s="2712"/>
      <c r="N93" s="2712"/>
      <c r="O93" s="2713"/>
      <c r="P93" s="2712"/>
      <c r="Q93" s="2712"/>
      <c r="R93" s="2714"/>
    </row>
    <row r="94" spans="2:18" s="907" customFormat="1">
      <c r="B94" s="2712"/>
      <c r="C94" s="2712"/>
      <c r="D94" s="2712"/>
      <c r="E94" s="2712"/>
      <c r="F94" s="2712"/>
      <c r="G94" s="2713"/>
      <c r="H94" s="2712"/>
      <c r="I94" s="2713"/>
      <c r="J94" s="2712"/>
      <c r="K94" s="2712"/>
      <c r="L94" s="2713"/>
      <c r="M94" s="2712"/>
      <c r="N94" s="2712"/>
      <c r="O94" s="2713"/>
      <c r="P94" s="2712"/>
      <c r="Q94" s="2712"/>
      <c r="R94" s="2714"/>
    </row>
    <row r="95" spans="2:18" s="907" customFormat="1">
      <c r="B95" s="2712"/>
      <c r="C95" s="2712"/>
      <c r="D95" s="2712"/>
      <c r="E95" s="2712"/>
      <c r="F95" s="2712"/>
      <c r="G95" s="2713"/>
      <c r="H95" s="2712"/>
      <c r="I95" s="2713"/>
      <c r="J95" s="2712"/>
      <c r="K95" s="2712"/>
      <c r="L95" s="2713"/>
      <c r="M95" s="2712"/>
      <c r="N95" s="2712"/>
      <c r="O95" s="2713"/>
      <c r="P95" s="2712"/>
      <c r="Q95" s="2712"/>
      <c r="R95" s="2714"/>
    </row>
    <row r="96" spans="2:18" s="907" customFormat="1">
      <c r="B96" s="2712"/>
      <c r="C96" s="2712"/>
      <c r="D96" s="2712"/>
      <c r="E96" s="2712"/>
      <c r="F96" s="2712"/>
      <c r="G96" s="2713"/>
      <c r="H96" s="2712"/>
      <c r="I96" s="2713"/>
      <c r="J96" s="2712"/>
      <c r="K96" s="2712"/>
      <c r="L96" s="2713"/>
      <c r="M96" s="2712"/>
      <c r="N96" s="2712"/>
      <c r="O96" s="2713"/>
      <c r="P96" s="2712"/>
      <c r="Q96" s="2712"/>
      <c r="R96" s="2714"/>
    </row>
    <row r="97" spans="2:18" s="907" customFormat="1">
      <c r="B97" s="2712"/>
      <c r="C97" s="2712"/>
      <c r="D97" s="2712"/>
      <c r="E97" s="2712"/>
      <c r="F97" s="2712"/>
      <c r="G97" s="2713"/>
      <c r="H97" s="2712"/>
      <c r="I97" s="2713"/>
      <c r="J97" s="2712"/>
      <c r="K97" s="2712"/>
      <c r="L97" s="2713"/>
      <c r="M97" s="2712"/>
      <c r="N97" s="2712"/>
      <c r="O97" s="2713"/>
      <c r="P97" s="2712"/>
      <c r="Q97" s="2712"/>
      <c r="R97" s="2714"/>
    </row>
    <row r="98" spans="2:18" s="907" customFormat="1">
      <c r="B98" s="2712"/>
      <c r="C98" s="2712"/>
      <c r="D98" s="2712"/>
      <c r="E98" s="2712"/>
      <c r="F98" s="2712"/>
      <c r="G98" s="2713"/>
      <c r="H98" s="2712"/>
      <c r="I98" s="2713"/>
      <c r="J98" s="2712"/>
      <c r="K98" s="2712"/>
      <c r="L98" s="2713"/>
      <c r="M98" s="2712"/>
      <c r="N98" s="2712"/>
      <c r="O98" s="2713"/>
      <c r="P98" s="2712"/>
      <c r="Q98" s="2712"/>
      <c r="R98" s="2714"/>
    </row>
    <row r="99" spans="2:18" s="907" customFormat="1">
      <c r="B99" s="2712"/>
      <c r="C99" s="2712"/>
      <c r="D99" s="2712"/>
      <c r="E99" s="2712"/>
      <c r="F99" s="2712"/>
      <c r="G99" s="2713"/>
      <c r="H99" s="2712"/>
      <c r="I99" s="2713"/>
      <c r="J99" s="2712"/>
      <c r="K99" s="2712"/>
      <c r="L99" s="2713"/>
      <c r="M99" s="2712"/>
      <c r="N99" s="2712"/>
      <c r="O99" s="2713"/>
      <c r="P99" s="2712"/>
      <c r="Q99" s="2712"/>
      <c r="R99" s="2714"/>
    </row>
    <row r="100" spans="2:18" s="907" customFormat="1">
      <c r="B100" s="2712"/>
      <c r="C100" s="2712"/>
      <c r="D100" s="2712"/>
      <c r="E100" s="2712"/>
      <c r="F100" s="2712"/>
      <c r="G100" s="2713"/>
      <c r="H100" s="2712"/>
      <c r="I100" s="2713"/>
      <c r="J100" s="2712"/>
      <c r="K100" s="2712"/>
      <c r="L100" s="2713"/>
      <c r="M100" s="2712"/>
      <c r="N100" s="2712"/>
      <c r="O100" s="2713"/>
      <c r="P100" s="2712"/>
      <c r="Q100" s="2712"/>
      <c r="R100" s="2714"/>
    </row>
    <row r="101" spans="2:18" s="907" customFormat="1">
      <c r="B101" s="2712"/>
      <c r="C101" s="2712"/>
      <c r="D101" s="2712"/>
      <c r="E101" s="2712"/>
      <c r="F101" s="2712"/>
      <c r="G101" s="2713"/>
      <c r="H101" s="2712"/>
      <c r="I101" s="2713"/>
      <c r="J101" s="2712"/>
      <c r="K101" s="2712"/>
      <c r="L101" s="2713"/>
      <c r="M101" s="2712"/>
      <c r="N101" s="2712"/>
      <c r="O101" s="2713"/>
      <c r="P101" s="2712"/>
      <c r="Q101" s="2712"/>
      <c r="R101" s="2714"/>
    </row>
    <row r="102" spans="2:18" s="907" customFormat="1">
      <c r="B102" s="2712"/>
      <c r="C102" s="2712"/>
      <c r="D102" s="2712"/>
      <c r="E102" s="2712"/>
      <c r="F102" s="2712"/>
      <c r="G102" s="2713"/>
      <c r="H102" s="2712"/>
      <c r="I102" s="2713"/>
      <c r="J102" s="2712"/>
      <c r="K102" s="2712"/>
      <c r="L102" s="2713"/>
      <c r="M102" s="2712"/>
      <c r="N102" s="2712"/>
      <c r="O102" s="2713"/>
      <c r="P102" s="2712"/>
      <c r="Q102" s="2712"/>
      <c r="R102" s="2714"/>
    </row>
    <row r="103" spans="2:18" s="907" customFormat="1">
      <c r="B103" s="2712"/>
      <c r="C103" s="2712"/>
      <c r="D103" s="2712"/>
      <c r="E103" s="2712"/>
      <c r="F103" s="2712"/>
      <c r="G103" s="2713"/>
      <c r="H103" s="2712"/>
      <c r="I103" s="2713"/>
      <c r="J103" s="2712"/>
      <c r="K103" s="2712"/>
      <c r="L103" s="2713"/>
      <c r="M103" s="2712"/>
      <c r="N103" s="2712"/>
      <c r="O103" s="2713"/>
      <c r="P103" s="2712"/>
      <c r="Q103" s="2712"/>
      <c r="R103" s="2714"/>
    </row>
    <row r="104" spans="2:18" s="907" customFormat="1">
      <c r="B104" s="2712"/>
      <c r="C104" s="2712"/>
      <c r="D104" s="2712"/>
      <c r="E104" s="2712"/>
      <c r="F104" s="2712"/>
      <c r="G104" s="2713"/>
      <c r="H104" s="2712"/>
      <c r="I104" s="2713"/>
      <c r="J104" s="2712"/>
      <c r="K104" s="2712"/>
      <c r="L104" s="2713"/>
      <c r="M104" s="2712"/>
      <c r="N104" s="2712"/>
      <c r="O104" s="2713"/>
      <c r="P104" s="2712"/>
      <c r="Q104" s="2712"/>
      <c r="R104" s="2714"/>
    </row>
    <row r="105" spans="2:18" s="907" customFormat="1">
      <c r="B105" s="2712"/>
      <c r="C105" s="2712"/>
      <c r="D105" s="2712"/>
      <c r="E105" s="2712"/>
      <c r="F105" s="2712"/>
      <c r="G105" s="2713"/>
      <c r="H105" s="2712"/>
      <c r="I105" s="2713"/>
      <c r="J105" s="2712"/>
      <c r="K105" s="2712"/>
      <c r="L105" s="2713"/>
      <c r="M105" s="2712"/>
      <c r="N105" s="2712"/>
      <c r="O105" s="2713"/>
      <c r="P105" s="2712"/>
      <c r="Q105" s="2712"/>
      <c r="R105" s="2714"/>
    </row>
    <row r="106" spans="2:18" s="907" customFormat="1">
      <c r="B106" s="2712"/>
      <c r="C106" s="2712"/>
      <c r="D106" s="2712"/>
      <c r="E106" s="2712"/>
      <c r="F106" s="2712"/>
      <c r="G106" s="2713"/>
      <c r="H106" s="2712"/>
      <c r="I106" s="2713"/>
      <c r="J106" s="2712"/>
      <c r="K106" s="2712"/>
      <c r="L106" s="2713"/>
      <c r="M106" s="2712"/>
      <c r="N106" s="2712"/>
      <c r="O106" s="2713"/>
      <c r="P106" s="2712"/>
      <c r="Q106" s="2712"/>
      <c r="R106" s="2714"/>
    </row>
    <row r="107" spans="2:18" s="907" customFormat="1">
      <c r="B107" s="2712"/>
      <c r="C107" s="2712"/>
      <c r="D107" s="2712"/>
      <c r="E107" s="2712"/>
      <c r="F107" s="2712"/>
      <c r="G107" s="2713"/>
      <c r="H107" s="2712"/>
      <c r="I107" s="2713"/>
      <c r="J107" s="2712"/>
      <c r="K107" s="2712"/>
      <c r="L107" s="2713"/>
      <c r="M107" s="2712"/>
      <c r="N107" s="2712"/>
      <c r="O107" s="2713"/>
      <c r="P107" s="2712"/>
      <c r="Q107" s="2712"/>
      <c r="R107" s="2714"/>
    </row>
    <row r="108" spans="2:18" s="907" customFormat="1">
      <c r="B108" s="2712"/>
      <c r="C108" s="2712"/>
      <c r="D108" s="2712"/>
      <c r="E108" s="2712"/>
      <c r="F108" s="2712"/>
      <c r="G108" s="2713"/>
      <c r="H108" s="2712"/>
      <c r="I108" s="2713"/>
      <c r="J108" s="2712"/>
      <c r="K108" s="2712"/>
      <c r="L108" s="2713"/>
      <c r="M108" s="2712"/>
      <c r="N108" s="2712"/>
      <c r="O108" s="2713"/>
      <c r="P108" s="2712"/>
      <c r="Q108" s="2712"/>
      <c r="R108" s="2714"/>
    </row>
    <row r="109" spans="2:18" s="907" customFormat="1">
      <c r="B109" s="2712"/>
      <c r="C109" s="2712"/>
      <c r="D109" s="2712"/>
      <c r="E109" s="2712"/>
      <c r="F109" s="2712"/>
      <c r="G109" s="2713"/>
      <c r="H109" s="2712"/>
      <c r="I109" s="2713"/>
      <c r="J109" s="2712"/>
      <c r="K109" s="2712"/>
      <c r="L109" s="2713"/>
      <c r="M109" s="2712"/>
      <c r="N109" s="2712"/>
      <c r="O109" s="2713"/>
      <c r="P109" s="2712"/>
      <c r="Q109" s="2712"/>
      <c r="R109" s="2714"/>
    </row>
    <row r="110" spans="2:18" s="907" customFormat="1">
      <c r="B110" s="2712"/>
      <c r="C110" s="2712"/>
      <c r="D110" s="2712"/>
      <c r="E110" s="2712"/>
      <c r="F110" s="2712"/>
      <c r="G110" s="2713"/>
      <c r="H110" s="2712"/>
      <c r="I110" s="2713"/>
      <c r="J110" s="2712"/>
      <c r="K110" s="2712"/>
      <c r="L110" s="2713"/>
      <c r="M110" s="2712"/>
      <c r="N110" s="2712"/>
      <c r="O110" s="2713"/>
      <c r="P110" s="2712"/>
      <c r="Q110" s="2712"/>
      <c r="R110" s="2714"/>
    </row>
    <row r="111" spans="2:18" s="907" customFormat="1">
      <c r="B111" s="2712"/>
      <c r="C111" s="2712"/>
      <c r="D111" s="2712"/>
      <c r="E111" s="2712"/>
      <c r="F111" s="2712"/>
      <c r="G111" s="2713"/>
      <c r="H111" s="2712"/>
      <c r="I111" s="2713"/>
      <c r="J111" s="2712"/>
      <c r="K111" s="2712"/>
      <c r="L111" s="2713"/>
      <c r="M111" s="2712"/>
      <c r="N111" s="2712"/>
      <c r="O111" s="2713"/>
      <c r="P111" s="2712"/>
      <c r="Q111" s="2712"/>
      <c r="R111" s="2714"/>
    </row>
    <row r="112" spans="2:18" s="907" customFormat="1">
      <c r="B112" s="2712"/>
      <c r="C112" s="2712"/>
      <c r="D112" s="2712"/>
      <c r="E112" s="2712"/>
      <c r="F112" s="2712"/>
      <c r="G112" s="2713"/>
      <c r="H112" s="2712"/>
      <c r="I112" s="2713"/>
      <c r="J112" s="2712"/>
      <c r="K112" s="2712"/>
      <c r="L112" s="2713"/>
      <c r="M112" s="2712"/>
      <c r="N112" s="2712"/>
      <c r="O112" s="2713"/>
      <c r="P112" s="2712"/>
      <c r="Q112" s="2712"/>
      <c r="R112" s="2714"/>
    </row>
    <row r="113" spans="2:18" s="907" customFormat="1">
      <c r="B113" s="2712"/>
      <c r="C113" s="2712"/>
      <c r="D113" s="2712"/>
      <c r="E113" s="2712"/>
      <c r="F113" s="2712"/>
      <c r="G113" s="2713"/>
      <c r="H113" s="2712"/>
      <c r="I113" s="2713"/>
      <c r="J113" s="2712"/>
      <c r="K113" s="2712"/>
      <c r="L113" s="2713"/>
      <c r="M113" s="2712"/>
      <c r="N113" s="2712"/>
      <c r="O113" s="2713"/>
      <c r="P113" s="2712"/>
      <c r="Q113" s="2712"/>
      <c r="R113" s="2714"/>
    </row>
    <row r="114" spans="2:18" s="907" customFormat="1">
      <c r="B114" s="2712"/>
      <c r="C114" s="2712"/>
      <c r="D114" s="2712"/>
      <c r="E114" s="2712"/>
      <c r="F114" s="2712"/>
      <c r="G114" s="2713"/>
      <c r="H114" s="2712"/>
      <c r="I114" s="2713"/>
      <c r="J114" s="2712"/>
      <c r="K114" s="2712"/>
      <c r="L114" s="2713"/>
      <c r="M114" s="2712"/>
      <c r="N114" s="2712"/>
      <c r="O114" s="2713"/>
      <c r="P114" s="2712"/>
      <c r="Q114" s="2712"/>
      <c r="R114" s="2714"/>
    </row>
    <row r="115" spans="2:18" s="907" customFormat="1">
      <c r="B115" s="2712"/>
      <c r="C115" s="2712"/>
      <c r="D115" s="2712"/>
      <c r="E115" s="2712"/>
      <c r="F115" s="2712"/>
      <c r="G115" s="2713"/>
      <c r="H115" s="2712"/>
      <c r="I115" s="2713"/>
      <c r="J115" s="2712"/>
      <c r="K115" s="2712"/>
      <c r="L115" s="2713"/>
      <c r="M115" s="2712"/>
      <c r="N115" s="2712"/>
      <c r="O115" s="2713"/>
      <c r="P115" s="2712"/>
      <c r="Q115" s="2712"/>
      <c r="R115" s="2714"/>
    </row>
    <row r="116" spans="2:18" s="907" customFormat="1">
      <c r="B116" s="2712"/>
      <c r="C116" s="2712"/>
      <c r="D116" s="2712"/>
      <c r="E116" s="2712"/>
      <c r="F116" s="2712"/>
      <c r="G116" s="2713"/>
      <c r="H116" s="2712"/>
      <c r="I116" s="2713"/>
      <c r="J116" s="2712"/>
      <c r="K116" s="2712"/>
      <c r="L116" s="2713"/>
      <c r="M116" s="2712"/>
      <c r="N116" s="2712"/>
      <c r="O116" s="2713"/>
      <c r="P116" s="2712"/>
      <c r="Q116" s="2712"/>
      <c r="R116" s="2714"/>
    </row>
    <row r="117" spans="2:18" s="907" customFormat="1">
      <c r="B117" s="2712"/>
      <c r="C117" s="2712"/>
      <c r="D117" s="2712"/>
      <c r="E117" s="2712"/>
      <c r="F117" s="2712"/>
      <c r="G117" s="2713"/>
      <c r="H117" s="2712"/>
      <c r="I117" s="2713"/>
      <c r="J117" s="2712"/>
      <c r="K117" s="2712"/>
      <c r="L117" s="2713"/>
      <c r="M117" s="2712"/>
      <c r="N117" s="2712"/>
      <c r="O117" s="2713"/>
      <c r="P117" s="2712"/>
      <c r="Q117" s="2712"/>
      <c r="R117" s="2714"/>
    </row>
    <row r="118" spans="2:18" s="907" customFormat="1">
      <c r="B118" s="2712"/>
      <c r="C118" s="2712"/>
      <c r="D118" s="2712"/>
      <c r="E118" s="2712"/>
      <c r="F118" s="2712"/>
      <c r="G118" s="2713"/>
      <c r="H118" s="2712"/>
      <c r="I118" s="2713"/>
      <c r="J118" s="2712"/>
      <c r="K118" s="2712"/>
      <c r="L118" s="2713"/>
      <c r="M118" s="2712"/>
      <c r="N118" s="2712"/>
      <c r="O118" s="2713"/>
      <c r="P118" s="2712"/>
      <c r="Q118" s="2712"/>
      <c r="R118" s="2714"/>
    </row>
    <row r="119" spans="2:18" s="907" customFormat="1">
      <c r="B119" s="2712"/>
      <c r="C119" s="2712"/>
      <c r="D119" s="2712"/>
      <c r="E119" s="2712"/>
      <c r="F119" s="2712"/>
      <c r="G119" s="2713"/>
      <c r="H119" s="2712"/>
      <c r="I119" s="2713"/>
      <c r="J119" s="2712"/>
      <c r="K119" s="2712"/>
      <c r="L119" s="2713"/>
      <c r="M119" s="2712"/>
      <c r="N119" s="2712"/>
      <c r="O119" s="2713"/>
      <c r="P119" s="2712"/>
      <c r="Q119" s="2712"/>
      <c r="R119" s="2714"/>
    </row>
    <row r="120" spans="2:18" s="907" customFormat="1">
      <c r="B120" s="2712"/>
      <c r="C120" s="2712"/>
      <c r="D120" s="2712"/>
      <c r="E120" s="2712"/>
      <c r="F120" s="2712"/>
      <c r="G120" s="2713"/>
      <c r="H120" s="2712"/>
      <c r="I120" s="2713"/>
      <c r="J120" s="2712"/>
      <c r="K120" s="2712"/>
      <c r="L120" s="2713"/>
      <c r="M120" s="2712"/>
      <c r="N120" s="2712"/>
      <c r="O120" s="2713"/>
      <c r="P120" s="2712"/>
      <c r="Q120" s="2712"/>
      <c r="R120" s="2714"/>
    </row>
    <row r="121" spans="2:18" s="907" customFormat="1">
      <c r="B121" s="2712"/>
      <c r="C121" s="2712"/>
      <c r="D121" s="2712"/>
      <c r="E121" s="2712"/>
      <c r="F121" s="2712"/>
      <c r="G121" s="2713"/>
      <c r="H121" s="2712"/>
      <c r="I121" s="2713"/>
      <c r="J121" s="2712"/>
      <c r="K121" s="2712"/>
      <c r="L121" s="2713"/>
      <c r="M121" s="2712"/>
      <c r="N121" s="2712"/>
      <c r="O121" s="2713"/>
      <c r="P121" s="2712"/>
      <c r="Q121" s="2712"/>
      <c r="R121" s="2714"/>
    </row>
    <row r="122" spans="2:18" s="907" customFormat="1">
      <c r="B122" s="2712"/>
      <c r="C122" s="2712"/>
      <c r="D122" s="2712"/>
      <c r="E122" s="2712"/>
      <c r="F122" s="2712"/>
      <c r="G122" s="2713"/>
      <c r="H122" s="2712"/>
      <c r="I122" s="2713"/>
      <c r="J122" s="2712"/>
      <c r="K122" s="2712"/>
      <c r="L122" s="2713"/>
      <c r="M122" s="2712"/>
      <c r="N122" s="2712"/>
      <c r="O122" s="2713"/>
      <c r="P122" s="2712"/>
      <c r="Q122" s="2712"/>
      <c r="R122" s="2714"/>
    </row>
    <row r="123" spans="2:18" s="907" customFormat="1">
      <c r="B123" s="2712"/>
      <c r="C123" s="2712"/>
      <c r="D123" s="2712"/>
      <c r="E123" s="2712"/>
      <c r="F123" s="2712"/>
      <c r="G123" s="2713"/>
      <c r="H123" s="2712"/>
      <c r="I123" s="2713"/>
      <c r="J123" s="2712"/>
      <c r="K123" s="2712"/>
      <c r="L123" s="2713"/>
      <c r="M123" s="2712"/>
      <c r="N123" s="2712"/>
      <c r="O123" s="2713"/>
      <c r="P123" s="2712"/>
      <c r="Q123" s="2712"/>
      <c r="R123" s="2714"/>
    </row>
    <row r="124" spans="2:18" s="907" customFormat="1">
      <c r="B124" s="2712"/>
      <c r="C124" s="2712"/>
      <c r="D124" s="2712"/>
      <c r="E124" s="2712"/>
      <c r="F124" s="2712"/>
      <c r="G124" s="2713"/>
      <c r="H124" s="2712"/>
      <c r="I124" s="2713"/>
      <c r="J124" s="2712"/>
      <c r="K124" s="2712"/>
      <c r="L124" s="2713"/>
      <c r="M124" s="2712"/>
      <c r="N124" s="2712"/>
      <c r="O124" s="2713"/>
      <c r="P124" s="2712"/>
      <c r="Q124" s="2712"/>
      <c r="R124" s="2714"/>
    </row>
    <row r="125" spans="2:18" s="907" customFormat="1">
      <c r="B125" s="2712"/>
      <c r="C125" s="2712"/>
      <c r="D125" s="2712"/>
      <c r="E125" s="2712"/>
      <c r="F125" s="2712"/>
      <c r="G125" s="2713"/>
      <c r="H125" s="2712"/>
      <c r="I125" s="2713"/>
      <c r="J125" s="2712"/>
      <c r="K125" s="2712"/>
      <c r="L125" s="2713"/>
      <c r="M125" s="2712"/>
      <c r="N125" s="2712"/>
      <c r="O125" s="2713"/>
      <c r="P125" s="2712"/>
      <c r="Q125" s="2712"/>
      <c r="R125" s="2714"/>
    </row>
    <row r="126" spans="2:18" s="907" customFormat="1">
      <c r="B126" s="2712"/>
      <c r="C126" s="2712"/>
      <c r="D126" s="2712"/>
      <c r="E126" s="2712"/>
      <c r="F126" s="2712"/>
      <c r="G126" s="2713"/>
      <c r="H126" s="2712"/>
      <c r="I126" s="2713"/>
      <c r="J126" s="2712"/>
      <c r="K126" s="2712"/>
      <c r="L126" s="2713"/>
      <c r="M126" s="2712"/>
      <c r="N126" s="2712"/>
      <c r="O126" s="2713"/>
      <c r="P126" s="2712"/>
      <c r="Q126" s="2712"/>
      <c r="R126" s="2714"/>
    </row>
    <row r="127" spans="2:18" s="907" customFormat="1">
      <c r="B127" s="2712"/>
      <c r="C127" s="2712"/>
      <c r="D127" s="2712"/>
      <c r="E127" s="2712"/>
      <c r="F127" s="2712"/>
      <c r="G127" s="2713"/>
      <c r="H127" s="2712"/>
      <c r="I127" s="2713"/>
      <c r="J127" s="2712"/>
      <c r="K127" s="2712"/>
      <c r="L127" s="2713"/>
      <c r="M127" s="2712"/>
      <c r="N127" s="2712"/>
      <c r="O127" s="2713"/>
      <c r="P127" s="2712"/>
      <c r="Q127" s="2712"/>
      <c r="R127" s="2714"/>
    </row>
    <row r="128" spans="2:18" s="907" customFormat="1">
      <c r="B128" s="2712"/>
      <c r="C128" s="2712"/>
      <c r="D128" s="2712"/>
      <c r="E128" s="2712"/>
      <c r="F128" s="2712"/>
      <c r="G128" s="2713"/>
      <c r="H128" s="2712"/>
      <c r="I128" s="2713"/>
      <c r="J128" s="2712"/>
      <c r="K128" s="2712"/>
      <c r="L128" s="2713"/>
      <c r="M128" s="2712"/>
      <c r="N128" s="2712"/>
      <c r="O128" s="2713"/>
      <c r="P128" s="2712"/>
      <c r="Q128" s="2712"/>
      <c r="R128" s="2714"/>
    </row>
    <row r="129" spans="2:18" s="907" customFormat="1">
      <c r="B129" s="2712"/>
      <c r="C129" s="2712"/>
      <c r="D129" s="2712"/>
      <c r="E129" s="2712"/>
      <c r="F129" s="2712"/>
      <c r="G129" s="2713"/>
      <c r="H129" s="2712"/>
      <c r="I129" s="2713"/>
      <c r="J129" s="2712"/>
      <c r="K129" s="2712"/>
      <c r="L129" s="2713"/>
      <c r="M129" s="2712"/>
      <c r="N129" s="2712"/>
      <c r="O129" s="2713"/>
      <c r="P129" s="2712"/>
      <c r="Q129" s="2712"/>
      <c r="R129" s="2714"/>
    </row>
    <row r="130" spans="2:18" s="907" customFormat="1">
      <c r="B130" s="2712"/>
      <c r="C130" s="2712"/>
      <c r="D130" s="2712"/>
      <c r="E130" s="2712"/>
      <c r="F130" s="2712"/>
      <c r="G130" s="2713"/>
      <c r="H130" s="2712"/>
      <c r="I130" s="2713"/>
      <c r="J130" s="2712"/>
      <c r="K130" s="2712"/>
      <c r="L130" s="2713"/>
      <c r="M130" s="2712"/>
      <c r="N130" s="2712"/>
      <c r="O130" s="2713"/>
      <c r="P130" s="2712"/>
      <c r="Q130" s="2712"/>
      <c r="R130" s="2714"/>
    </row>
    <row r="131" spans="2:18" s="907" customFormat="1">
      <c r="B131" s="2712"/>
      <c r="C131" s="2712"/>
      <c r="D131" s="2712"/>
      <c r="E131" s="2712"/>
      <c r="F131" s="2712"/>
      <c r="G131" s="2713"/>
      <c r="H131" s="2712"/>
      <c r="I131" s="2713"/>
      <c r="J131" s="2712"/>
      <c r="K131" s="2712"/>
      <c r="L131" s="2713"/>
      <c r="M131" s="2712"/>
      <c r="N131" s="2712"/>
      <c r="O131" s="2713"/>
      <c r="P131" s="2712"/>
      <c r="Q131" s="2712"/>
      <c r="R131" s="2714"/>
    </row>
    <row r="132" spans="2:18" s="907" customFormat="1">
      <c r="B132" s="2712"/>
      <c r="C132" s="2712"/>
      <c r="D132" s="2712"/>
      <c r="E132" s="2712"/>
      <c r="F132" s="2712"/>
      <c r="G132" s="2713"/>
      <c r="H132" s="2712"/>
      <c r="I132" s="2713"/>
      <c r="J132" s="2712"/>
      <c r="K132" s="2712"/>
      <c r="L132" s="2713"/>
      <c r="M132" s="2712"/>
      <c r="N132" s="2712"/>
      <c r="O132" s="2713"/>
      <c r="P132" s="2712"/>
      <c r="Q132" s="2712"/>
      <c r="R132" s="2714"/>
    </row>
    <row r="133" spans="2:18" s="907" customFormat="1">
      <c r="B133" s="2712"/>
      <c r="C133" s="2712"/>
      <c r="D133" s="2712"/>
      <c r="E133" s="2712"/>
      <c r="F133" s="2712"/>
      <c r="G133" s="2713"/>
      <c r="H133" s="2712"/>
      <c r="I133" s="2713"/>
      <c r="J133" s="2712"/>
      <c r="K133" s="2712"/>
      <c r="L133" s="2713"/>
      <c r="M133" s="2712"/>
      <c r="N133" s="2712"/>
      <c r="O133" s="2713"/>
      <c r="P133" s="2712"/>
      <c r="Q133" s="2712"/>
      <c r="R133" s="2714"/>
    </row>
    <row r="134" spans="2:18" s="907" customFormat="1">
      <c r="B134" s="2712"/>
      <c r="C134" s="2712"/>
      <c r="D134" s="2712"/>
      <c r="E134" s="2712"/>
      <c r="F134" s="2712"/>
      <c r="G134" s="2713"/>
      <c r="H134" s="2712"/>
      <c r="I134" s="2713"/>
      <c r="J134" s="2712"/>
      <c r="K134" s="2712"/>
      <c r="L134" s="2713"/>
      <c r="M134" s="2712"/>
      <c r="N134" s="2712"/>
      <c r="O134" s="2713"/>
      <c r="P134" s="2712"/>
      <c r="Q134" s="2712"/>
      <c r="R134" s="2714"/>
    </row>
    <row r="135" spans="2:18" s="907" customFormat="1">
      <c r="B135" s="2712"/>
      <c r="C135" s="2712"/>
      <c r="D135" s="2712"/>
      <c r="E135" s="2712"/>
      <c r="F135" s="2712"/>
      <c r="G135" s="2713"/>
      <c r="H135" s="2712"/>
      <c r="I135" s="2713"/>
      <c r="J135" s="2712"/>
      <c r="K135" s="2712"/>
      <c r="L135" s="2713"/>
      <c r="M135" s="2712"/>
      <c r="N135" s="2712"/>
      <c r="O135" s="2713"/>
      <c r="P135" s="2712"/>
      <c r="Q135" s="2712"/>
      <c r="R135" s="2714"/>
    </row>
    <row r="136" spans="2:18" s="907" customFormat="1">
      <c r="B136" s="2712"/>
      <c r="C136" s="2712"/>
      <c r="D136" s="2712"/>
      <c r="E136" s="2712"/>
      <c r="F136" s="2712"/>
      <c r="G136" s="2713"/>
      <c r="H136" s="2712"/>
      <c r="I136" s="2713"/>
      <c r="J136" s="2712"/>
      <c r="K136" s="2712"/>
      <c r="L136" s="2713"/>
      <c r="M136" s="2712"/>
      <c r="N136" s="2712"/>
      <c r="O136" s="2713"/>
      <c r="P136" s="2712"/>
      <c r="Q136" s="2712"/>
      <c r="R136" s="2714"/>
    </row>
    <row r="137" spans="2:18" s="907" customFormat="1">
      <c r="B137" s="2712"/>
      <c r="C137" s="2712"/>
      <c r="D137" s="2712"/>
      <c r="E137" s="2712"/>
      <c r="F137" s="2712"/>
      <c r="G137" s="2713"/>
      <c r="H137" s="2712"/>
      <c r="I137" s="2713"/>
      <c r="J137" s="2712"/>
      <c r="K137" s="2712"/>
      <c r="L137" s="2713"/>
      <c r="M137" s="2712"/>
      <c r="N137" s="2712"/>
      <c r="O137" s="2713"/>
      <c r="P137" s="2712"/>
      <c r="Q137" s="2712"/>
      <c r="R137" s="2714"/>
    </row>
    <row r="138" spans="2:18" s="907" customFormat="1">
      <c r="B138" s="2712"/>
      <c r="C138" s="2712"/>
      <c r="D138" s="2712"/>
      <c r="E138" s="2712"/>
      <c r="F138" s="2712"/>
      <c r="G138" s="2713"/>
      <c r="H138" s="2712"/>
      <c r="I138" s="2713"/>
      <c r="J138" s="2712"/>
      <c r="K138" s="2712"/>
      <c r="L138" s="2713"/>
      <c r="M138" s="2712"/>
      <c r="N138" s="2712"/>
      <c r="O138" s="2713"/>
      <c r="P138" s="2712"/>
      <c r="Q138" s="2712"/>
      <c r="R138" s="2714"/>
    </row>
    <row r="139" spans="2:18" s="907" customFormat="1">
      <c r="B139" s="2712"/>
      <c r="C139" s="2712"/>
      <c r="D139" s="2712"/>
      <c r="E139" s="2712"/>
      <c r="F139" s="2712"/>
      <c r="G139" s="2713"/>
      <c r="H139" s="2712"/>
      <c r="I139" s="2713"/>
      <c r="J139" s="2712"/>
      <c r="K139" s="2712"/>
      <c r="L139" s="2713"/>
      <c r="M139" s="2712"/>
      <c r="N139" s="2712"/>
      <c r="O139" s="2713"/>
      <c r="P139" s="2712"/>
      <c r="Q139" s="2712"/>
      <c r="R139" s="2714"/>
    </row>
    <row r="140" spans="2:18" s="907" customFormat="1">
      <c r="B140" s="2712"/>
      <c r="C140" s="2712"/>
      <c r="D140" s="2712"/>
      <c r="E140" s="2712"/>
      <c r="F140" s="2712"/>
      <c r="G140" s="2713"/>
      <c r="H140" s="2712"/>
      <c r="I140" s="2713"/>
      <c r="J140" s="2712"/>
      <c r="K140" s="2712"/>
      <c r="L140" s="2713"/>
      <c r="M140" s="2712"/>
      <c r="N140" s="2712"/>
      <c r="O140" s="2713"/>
      <c r="P140" s="2712"/>
      <c r="Q140" s="2712"/>
      <c r="R140" s="2714"/>
    </row>
    <row r="141" spans="2:18" s="907" customFormat="1">
      <c r="B141" s="2712"/>
      <c r="C141" s="2712"/>
      <c r="D141" s="2712"/>
      <c r="E141" s="2712"/>
      <c r="F141" s="2712"/>
      <c r="G141" s="2713"/>
      <c r="H141" s="2712"/>
      <c r="I141" s="2713"/>
      <c r="J141" s="2712"/>
      <c r="K141" s="2712"/>
      <c r="L141" s="2713"/>
      <c r="M141" s="2712"/>
      <c r="N141" s="2712"/>
      <c r="O141" s="2713"/>
      <c r="P141" s="2712"/>
      <c r="Q141" s="2712"/>
      <c r="R141" s="2714"/>
    </row>
    <row r="142" spans="2:18" s="907" customFormat="1">
      <c r="B142" s="2712"/>
      <c r="C142" s="2712"/>
      <c r="D142" s="2712"/>
      <c r="E142" s="2712"/>
      <c r="F142" s="2712"/>
      <c r="G142" s="2713"/>
      <c r="H142" s="2712"/>
      <c r="I142" s="2713"/>
      <c r="J142" s="2712"/>
      <c r="K142" s="2712"/>
      <c r="L142" s="2713"/>
      <c r="M142" s="2712"/>
      <c r="N142" s="2712"/>
      <c r="O142" s="2713"/>
      <c r="P142" s="2712"/>
      <c r="Q142" s="2712"/>
      <c r="R142" s="2714"/>
    </row>
    <row r="143" spans="2:18" s="907" customFormat="1">
      <c r="B143" s="2712"/>
      <c r="C143" s="2712"/>
      <c r="D143" s="2712"/>
      <c r="E143" s="2712"/>
      <c r="F143" s="2712"/>
      <c r="G143" s="2713"/>
      <c r="H143" s="2712"/>
      <c r="I143" s="2713"/>
      <c r="J143" s="2712"/>
      <c r="K143" s="2712"/>
      <c r="L143" s="2713"/>
      <c r="M143" s="2712"/>
      <c r="N143" s="2712"/>
      <c r="O143" s="2713"/>
      <c r="P143" s="2712"/>
      <c r="Q143" s="2712"/>
      <c r="R143" s="2714"/>
    </row>
    <row r="144" spans="2:18" s="907" customFormat="1">
      <c r="B144" s="2712"/>
      <c r="C144" s="2712"/>
      <c r="D144" s="2712"/>
      <c r="E144" s="2712"/>
      <c r="F144" s="2712"/>
      <c r="G144" s="2713"/>
      <c r="H144" s="2712"/>
      <c r="I144" s="2713"/>
      <c r="J144" s="2712"/>
      <c r="K144" s="2712"/>
      <c r="L144" s="2713"/>
      <c r="M144" s="2712"/>
      <c r="N144" s="2712"/>
      <c r="O144" s="2713"/>
      <c r="P144" s="2712"/>
      <c r="Q144" s="2712"/>
      <c r="R144" s="2714"/>
    </row>
    <row r="145" spans="2:18" s="907" customFormat="1">
      <c r="B145" s="2712"/>
      <c r="C145" s="2712"/>
      <c r="D145" s="2712"/>
      <c r="E145" s="2712"/>
      <c r="F145" s="2712"/>
      <c r="G145" s="2713"/>
      <c r="H145" s="2712"/>
      <c r="I145" s="2713"/>
      <c r="J145" s="2712"/>
      <c r="K145" s="2712"/>
      <c r="L145" s="2713"/>
      <c r="M145" s="2712"/>
      <c r="N145" s="2712"/>
      <c r="O145" s="2713"/>
      <c r="P145" s="2712"/>
      <c r="Q145" s="2712"/>
      <c r="R145" s="2714"/>
    </row>
    <row r="146" spans="2:18" s="907" customFormat="1">
      <c r="B146" s="2712"/>
      <c r="C146" s="2712"/>
      <c r="D146" s="2712"/>
      <c r="E146" s="2712"/>
      <c r="F146" s="2712"/>
      <c r="G146" s="2713"/>
      <c r="H146" s="2712"/>
      <c r="I146" s="2713"/>
      <c r="J146" s="2712"/>
      <c r="K146" s="2712"/>
      <c r="L146" s="2713"/>
      <c r="M146" s="2712"/>
      <c r="N146" s="2712"/>
      <c r="O146" s="2713"/>
      <c r="P146" s="2712"/>
      <c r="Q146" s="2712"/>
      <c r="R146" s="2714"/>
    </row>
    <row r="147" spans="2:18" s="907" customFormat="1">
      <c r="B147" s="2712"/>
      <c r="C147" s="2712"/>
      <c r="D147" s="2712"/>
      <c r="E147" s="2712"/>
      <c r="F147" s="2712"/>
      <c r="G147" s="2713"/>
      <c r="H147" s="2712"/>
      <c r="I147" s="2713"/>
      <c r="J147" s="2712"/>
      <c r="K147" s="2712"/>
      <c r="L147" s="2713"/>
      <c r="M147" s="2712"/>
      <c r="N147" s="2712"/>
      <c r="O147" s="2713"/>
      <c r="P147" s="2712"/>
      <c r="Q147" s="2712"/>
      <c r="R147" s="2714"/>
    </row>
    <row r="148" spans="2:18" s="907" customFormat="1">
      <c r="B148" s="2712"/>
      <c r="C148" s="2712"/>
      <c r="D148" s="2712"/>
      <c r="E148" s="2712"/>
      <c r="F148" s="2712"/>
      <c r="G148" s="2713"/>
      <c r="H148" s="2712"/>
      <c r="I148" s="2713"/>
      <c r="J148" s="2712"/>
      <c r="K148" s="2712"/>
      <c r="L148" s="2713"/>
      <c r="M148" s="2712"/>
      <c r="N148" s="2712"/>
      <c r="O148" s="2713"/>
      <c r="P148" s="2712"/>
      <c r="Q148" s="2712"/>
      <c r="R148" s="2714"/>
    </row>
    <row r="149" spans="2:18" s="907" customFormat="1">
      <c r="B149" s="2712"/>
      <c r="C149" s="2712"/>
      <c r="D149" s="2712"/>
      <c r="E149" s="2712"/>
      <c r="F149" s="2712"/>
      <c r="G149" s="2713"/>
      <c r="H149" s="2712"/>
      <c r="I149" s="2713"/>
      <c r="J149" s="2712"/>
      <c r="K149" s="2712"/>
      <c r="L149" s="2713"/>
      <c r="M149" s="2712"/>
      <c r="N149" s="2712"/>
      <c r="O149" s="2713"/>
      <c r="P149" s="2712"/>
      <c r="Q149" s="2712"/>
      <c r="R149" s="2714"/>
    </row>
    <row r="150" spans="2:18" s="907" customFormat="1">
      <c r="B150" s="2712"/>
      <c r="C150" s="2712"/>
      <c r="D150" s="2712"/>
      <c r="E150" s="2712"/>
      <c r="F150" s="2712"/>
      <c r="G150" s="2713"/>
      <c r="H150" s="2712"/>
      <c r="I150" s="2713"/>
      <c r="J150" s="2712"/>
      <c r="K150" s="2712"/>
      <c r="L150" s="2713"/>
      <c r="M150" s="2712"/>
      <c r="N150" s="2712"/>
      <c r="O150" s="2713"/>
      <c r="P150" s="2712"/>
      <c r="Q150" s="2712"/>
      <c r="R150" s="2714"/>
    </row>
    <row r="151" spans="2:18" s="907" customFormat="1">
      <c r="B151" s="2712"/>
      <c r="C151" s="2712"/>
      <c r="D151" s="2712"/>
      <c r="E151" s="2712"/>
      <c r="F151" s="2712"/>
      <c r="G151" s="2713"/>
      <c r="H151" s="2712"/>
      <c r="I151" s="2713"/>
      <c r="J151" s="2712"/>
      <c r="K151" s="2712"/>
      <c r="L151" s="2713"/>
      <c r="M151" s="2712"/>
      <c r="N151" s="2712"/>
      <c r="O151" s="2713"/>
      <c r="P151" s="2712"/>
      <c r="Q151" s="2712"/>
      <c r="R151" s="2714"/>
    </row>
    <row r="152" spans="2:18" s="907" customFormat="1">
      <c r="B152" s="2712"/>
      <c r="C152" s="2712"/>
      <c r="D152" s="2712"/>
      <c r="E152" s="2712"/>
      <c r="F152" s="2712"/>
      <c r="G152" s="2713"/>
      <c r="H152" s="2712"/>
      <c r="I152" s="2713"/>
      <c r="J152" s="2712"/>
      <c r="K152" s="2712"/>
      <c r="L152" s="2713"/>
      <c r="M152" s="2712"/>
      <c r="N152" s="2712"/>
      <c r="O152" s="2713"/>
      <c r="P152" s="2712"/>
      <c r="Q152" s="2712"/>
      <c r="R152" s="2714"/>
    </row>
    <row r="153" spans="2:18" s="907" customFormat="1">
      <c r="B153" s="2712"/>
      <c r="C153" s="2712"/>
      <c r="D153" s="2712"/>
      <c r="E153" s="2712"/>
      <c r="F153" s="2712"/>
      <c r="G153" s="2713"/>
      <c r="H153" s="2712"/>
      <c r="I153" s="2713"/>
      <c r="J153" s="2712"/>
      <c r="K153" s="2712"/>
      <c r="L153" s="2713"/>
      <c r="M153" s="2712"/>
      <c r="N153" s="2712"/>
      <c r="O153" s="2713"/>
      <c r="P153" s="2712"/>
      <c r="Q153" s="2712"/>
      <c r="R153" s="2714"/>
    </row>
    <row r="154" spans="2:18" s="907" customFormat="1">
      <c r="B154" s="2712"/>
      <c r="C154" s="2712"/>
      <c r="D154" s="2712"/>
      <c r="E154" s="2712"/>
      <c r="F154" s="2712"/>
      <c r="G154" s="2713"/>
      <c r="H154" s="2712"/>
      <c r="I154" s="2713"/>
      <c r="J154" s="2712"/>
      <c r="K154" s="2712"/>
      <c r="L154" s="2713"/>
      <c r="M154" s="2712"/>
      <c r="N154" s="2712"/>
      <c r="O154" s="2713"/>
      <c r="P154" s="2712"/>
      <c r="Q154" s="2712"/>
      <c r="R154" s="2714"/>
    </row>
    <row r="155" spans="2:18" s="907" customFormat="1">
      <c r="B155" s="2712"/>
      <c r="C155" s="2712"/>
      <c r="D155" s="2712"/>
      <c r="E155" s="2712"/>
      <c r="F155" s="2712"/>
      <c r="G155" s="2713"/>
      <c r="H155" s="2712"/>
      <c r="I155" s="2713"/>
      <c r="J155" s="2712"/>
      <c r="K155" s="2712"/>
      <c r="L155" s="2713"/>
      <c r="M155" s="2712"/>
      <c r="N155" s="2712"/>
      <c r="O155" s="2713"/>
      <c r="P155" s="2712"/>
      <c r="Q155" s="2712"/>
      <c r="R155" s="2714"/>
    </row>
    <row r="156" spans="2:18" s="907" customFormat="1">
      <c r="B156" s="2712"/>
      <c r="C156" s="2712"/>
      <c r="D156" s="2712"/>
      <c r="E156" s="2712"/>
      <c r="F156" s="2712"/>
      <c r="G156" s="2713"/>
      <c r="H156" s="2712"/>
      <c r="I156" s="2713"/>
      <c r="J156" s="2712"/>
      <c r="K156" s="2712"/>
      <c r="L156" s="2713"/>
      <c r="M156" s="2712"/>
      <c r="N156" s="2712"/>
      <c r="O156" s="2713"/>
      <c r="P156" s="2712"/>
      <c r="Q156" s="2712"/>
      <c r="R156" s="2714"/>
    </row>
    <row r="157" spans="2:18" s="907" customFormat="1">
      <c r="B157" s="2712"/>
      <c r="C157" s="2712"/>
      <c r="D157" s="2712"/>
      <c r="E157" s="2712"/>
      <c r="F157" s="2712"/>
      <c r="G157" s="2713"/>
      <c r="H157" s="2712"/>
      <c r="I157" s="2713"/>
      <c r="J157" s="2712"/>
      <c r="K157" s="2712"/>
      <c r="L157" s="2713"/>
      <c r="M157" s="2712"/>
      <c r="N157" s="2712"/>
      <c r="O157" s="2713"/>
      <c r="P157" s="2712"/>
      <c r="Q157" s="2712"/>
      <c r="R157" s="2714"/>
    </row>
    <row r="158" spans="2:18" s="907" customFormat="1">
      <c r="B158" s="2712"/>
      <c r="C158" s="2712"/>
      <c r="D158" s="2712"/>
      <c r="E158" s="2712"/>
      <c r="F158" s="2712"/>
      <c r="G158" s="2713"/>
      <c r="H158" s="2712"/>
      <c r="I158" s="2713"/>
      <c r="J158" s="2712"/>
      <c r="K158" s="2712"/>
      <c r="L158" s="2713"/>
      <c r="M158" s="2712"/>
      <c r="N158" s="2712"/>
      <c r="O158" s="2713"/>
      <c r="P158" s="2712"/>
      <c r="Q158" s="2712"/>
      <c r="R158" s="2714"/>
    </row>
    <row r="159" spans="2:18" s="907" customFormat="1">
      <c r="B159" s="2712"/>
      <c r="C159" s="2712"/>
      <c r="D159" s="2712"/>
      <c r="E159" s="2712"/>
      <c r="F159" s="2712"/>
      <c r="G159" s="2713"/>
      <c r="H159" s="2712"/>
      <c r="I159" s="2713"/>
      <c r="J159" s="2712"/>
      <c r="K159" s="2712"/>
      <c r="L159" s="2713"/>
      <c r="M159" s="2712"/>
      <c r="N159" s="2712"/>
      <c r="O159" s="2713"/>
      <c r="P159" s="2712"/>
      <c r="Q159" s="2712"/>
      <c r="R159" s="2714"/>
    </row>
    <row r="160" spans="2:18" s="907" customFormat="1">
      <c r="B160" s="2712"/>
      <c r="C160" s="2712"/>
      <c r="D160" s="2712"/>
      <c r="E160" s="2712"/>
      <c r="F160" s="2712"/>
      <c r="G160" s="2713"/>
      <c r="H160" s="2712"/>
      <c r="I160" s="2713"/>
      <c r="J160" s="2712"/>
      <c r="K160" s="2712"/>
      <c r="L160" s="2713"/>
      <c r="M160" s="2712"/>
      <c r="N160" s="2712"/>
      <c r="O160" s="2713"/>
      <c r="P160" s="2712"/>
      <c r="Q160" s="2712"/>
      <c r="R160" s="2714"/>
    </row>
    <row r="161" spans="2:18" s="907" customFormat="1">
      <c r="B161" s="2712"/>
      <c r="C161" s="2712"/>
      <c r="D161" s="2712"/>
      <c r="E161" s="2712"/>
      <c r="F161" s="2712"/>
      <c r="G161" s="2713"/>
      <c r="H161" s="2712"/>
      <c r="I161" s="2713"/>
      <c r="J161" s="2712"/>
      <c r="K161" s="2712"/>
      <c r="L161" s="2713"/>
      <c r="M161" s="2712"/>
      <c r="N161" s="2712"/>
      <c r="O161" s="2713"/>
      <c r="P161" s="2712"/>
      <c r="Q161" s="2712"/>
      <c r="R161" s="2714"/>
    </row>
    <row r="162" spans="2:18" s="907" customFormat="1">
      <c r="B162" s="2712"/>
      <c r="C162" s="2712"/>
      <c r="D162" s="2712"/>
      <c r="E162" s="2712"/>
      <c r="F162" s="2712"/>
      <c r="G162" s="2713"/>
      <c r="H162" s="2712"/>
      <c r="I162" s="2713"/>
      <c r="J162" s="2712"/>
      <c r="K162" s="2712"/>
      <c r="L162" s="2713"/>
      <c r="M162" s="2712"/>
      <c r="N162" s="2712"/>
      <c r="O162" s="2713"/>
      <c r="P162" s="2712"/>
      <c r="Q162" s="2712"/>
      <c r="R162" s="2714"/>
    </row>
    <row r="163" spans="2:18" s="907" customFormat="1">
      <c r="B163" s="2712"/>
      <c r="C163" s="2712"/>
      <c r="D163" s="2712"/>
      <c r="E163" s="2712"/>
      <c r="F163" s="2712"/>
      <c r="G163" s="2713"/>
      <c r="H163" s="2712"/>
      <c r="I163" s="2713"/>
      <c r="J163" s="2712"/>
      <c r="K163" s="2712"/>
      <c r="L163" s="2713"/>
      <c r="M163" s="2712"/>
      <c r="N163" s="2712"/>
      <c r="O163" s="2713"/>
      <c r="P163" s="2712"/>
      <c r="Q163" s="2712"/>
      <c r="R163" s="2714"/>
    </row>
    <row r="164" spans="2:18" s="907" customFormat="1">
      <c r="B164" s="2712"/>
      <c r="C164" s="2712"/>
      <c r="D164" s="2712"/>
      <c r="E164" s="2712"/>
      <c r="F164" s="2712"/>
      <c r="G164" s="2713"/>
      <c r="H164" s="2712"/>
      <c r="I164" s="2713"/>
      <c r="J164" s="2712"/>
      <c r="K164" s="2712"/>
      <c r="L164" s="2713"/>
      <c r="M164" s="2712"/>
      <c r="N164" s="2712"/>
      <c r="O164" s="2713"/>
      <c r="P164" s="2712"/>
      <c r="Q164" s="2712"/>
      <c r="R164" s="2714"/>
    </row>
    <row r="165" spans="2:18" s="907" customFormat="1">
      <c r="B165" s="2712"/>
      <c r="C165" s="2712"/>
      <c r="D165" s="2712"/>
      <c r="E165" s="2712"/>
      <c r="F165" s="2712"/>
      <c r="G165" s="2713"/>
      <c r="H165" s="2712"/>
      <c r="I165" s="2713"/>
      <c r="J165" s="2712"/>
      <c r="K165" s="2712"/>
      <c r="L165" s="2713"/>
      <c r="M165" s="2712"/>
      <c r="N165" s="2712"/>
      <c r="O165" s="2713"/>
      <c r="P165" s="2712"/>
      <c r="Q165" s="2712"/>
      <c r="R165" s="2714"/>
    </row>
    <row r="166" spans="2:18" s="907" customFormat="1">
      <c r="B166" s="2712"/>
      <c r="C166" s="2712"/>
      <c r="D166" s="2712"/>
      <c r="E166" s="2712"/>
      <c r="F166" s="2712"/>
      <c r="G166" s="2713"/>
      <c r="H166" s="2712"/>
      <c r="I166" s="2713"/>
      <c r="J166" s="2712"/>
      <c r="K166" s="2712"/>
      <c r="L166" s="2713"/>
      <c r="M166" s="2712"/>
      <c r="N166" s="2712"/>
      <c r="O166" s="2713"/>
      <c r="P166" s="2712"/>
      <c r="Q166" s="2712"/>
      <c r="R166" s="2714"/>
    </row>
    <row r="167" spans="2:18" s="907" customFormat="1">
      <c r="B167" s="2712"/>
      <c r="C167" s="2712"/>
      <c r="D167" s="2712"/>
      <c r="E167" s="2712"/>
      <c r="F167" s="2712"/>
      <c r="G167" s="2713"/>
      <c r="H167" s="2712"/>
      <c r="I167" s="2713"/>
      <c r="J167" s="2712"/>
      <c r="K167" s="2712"/>
      <c r="L167" s="2713"/>
      <c r="M167" s="2712"/>
      <c r="N167" s="2712"/>
      <c r="O167" s="2713"/>
      <c r="P167" s="2712"/>
      <c r="Q167" s="2712"/>
      <c r="R167" s="2714"/>
    </row>
    <row r="168" spans="2:18" s="907" customFormat="1">
      <c r="B168" s="2712"/>
      <c r="C168" s="2712"/>
      <c r="D168" s="2712"/>
      <c r="E168" s="2712"/>
      <c r="F168" s="2712"/>
      <c r="G168" s="2713"/>
      <c r="H168" s="2712"/>
      <c r="I168" s="2713"/>
      <c r="J168" s="2712"/>
      <c r="K168" s="2712"/>
      <c r="L168" s="2713"/>
      <c r="M168" s="2712"/>
      <c r="N168" s="2712"/>
      <c r="O168" s="2713"/>
      <c r="P168" s="2712"/>
      <c r="Q168" s="2712"/>
      <c r="R168" s="2714"/>
    </row>
    <row r="169" spans="2:18" s="907" customFormat="1">
      <c r="B169" s="2712"/>
      <c r="C169" s="2712"/>
      <c r="D169" s="2712"/>
      <c r="E169" s="2712"/>
      <c r="F169" s="2712"/>
      <c r="G169" s="2713"/>
      <c r="H169" s="2712"/>
      <c r="I169" s="2713"/>
      <c r="J169" s="2712"/>
      <c r="K169" s="2712"/>
      <c r="L169" s="2713"/>
      <c r="M169" s="2712"/>
      <c r="N169" s="2712"/>
      <c r="O169" s="2713"/>
      <c r="P169" s="2712"/>
      <c r="Q169" s="2712"/>
      <c r="R169" s="2714"/>
    </row>
    <row r="170" spans="2:18" s="907" customFormat="1">
      <c r="B170" s="2712"/>
      <c r="C170" s="2712"/>
      <c r="D170" s="2712"/>
      <c r="E170" s="2712"/>
      <c r="F170" s="2712"/>
      <c r="G170" s="2713"/>
      <c r="H170" s="2712"/>
      <c r="I170" s="2713"/>
      <c r="J170" s="2712"/>
      <c r="K170" s="2712"/>
      <c r="L170" s="2713"/>
      <c r="M170" s="2712"/>
      <c r="N170" s="2712"/>
      <c r="O170" s="2713"/>
      <c r="P170" s="2712"/>
      <c r="Q170" s="2712"/>
      <c r="R170" s="2714"/>
    </row>
    <row r="171" spans="2:18" s="907" customFormat="1">
      <c r="B171" s="2712"/>
      <c r="C171" s="2712"/>
      <c r="D171" s="2712"/>
      <c r="E171" s="2712"/>
      <c r="F171" s="2712"/>
      <c r="G171" s="2713"/>
      <c r="H171" s="2712"/>
      <c r="I171" s="2713"/>
      <c r="J171" s="2712"/>
      <c r="K171" s="2712"/>
      <c r="L171" s="2713"/>
      <c r="M171" s="2712"/>
      <c r="N171" s="2712"/>
      <c r="O171" s="2713"/>
      <c r="P171" s="2712"/>
      <c r="Q171" s="2712"/>
      <c r="R171" s="2714"/>
    </row>
    <row r="172" spans="2:18" s="907" customFormat="1">
      <c r="B172" s="2712"/>
      <c r="C172" s="2712"/>
      <c r="D172" s="2712"/>
      <c r="E172" s="2712"/>
      <c r="F172" s="2712"/>
      <c r="G172" s="2713"/>
      <c r="H172" s="2712"/>
      <c r="I172" s="2713"/>
      <c r="J172" s="2712"/>
      <c r="K172" s="2712"/>
      <c r="L172" s="2713"/>
      <c r="M172" s="2712"/>
      <c r="N172" s="2712"/>
      <c r="O172" s="2713"/>
      <c r="P172" s="2712"/>
      <c r="Q172" s="2712"/>
      <c r="R172" s="2714"/>
    </row>
    <row r="173" spans="2:18" s="907" customFormat="1">
      <c r="B173" s="2712"/>
      <c r="C173" s="2712"/>
      <c r="D173" s="2712"/>
      <c r="E173" s="2712"/>
      <c r="F173" s="2712"/>
      <c r="G173" s="2713"/>
      <c r="H173" s="2712"/>
      <c r="I173" s="2713"/>
      <c r="J173" s="2712"/>
      <c r="K173" s="2712"/>
      <c r="L173" s="2713"/>
      <c r="M173" s="2712"/>
      <c r="N173" s="2712"/>
      <c r="O173" s="2713"/>
      <c r="P173" s="2712"/>
      <c r="Q173" s="2712"/>
      <c r="R173" s="2714"/>
    </row>
    <row r="174" spans="2:18" s="907" customFormat="1">
      <c r="B174" s="2712"/>
      <c r="C174" s="2712"/>
      <c r="D174" s="2712"/>
      <c r="E174" s="2712"/>
      <c r="F174" s="2712"/>
      <c r="G174" s="2713"/>
      <c r="H174" s="2712"/>
      <c r="I174" s="2713"/>
      <c r="J174" s="2712"/>
      <c r="K174" s="2712"/>
      <c r="L174" s="2713"/>
      <c r="M174" s="2712"/>
      <c r="N174" s="2712"/>
      <c r="O174" s="2713"/>
      <c r="P174" s="2712"/>
      <c r="Q174" s="2712"/>
      <c r="R174" s="2714"/>
    </row>
    <row r="175" spans="2:18" s="907" customFormat="1">
      <c r="B175" s="2712"/>
      <c r="C175" s="2712"/>
      <c r="D175" s="2712"/>
      <c r="E175" s="2712"/>
      <c r="F175" s="2712"/>
      <c r="G175" s="2713"/>
      <c r="H175" s="2712"/>
      <c r="I175" s="2713"/>
      <c r="J175" s="2712"/>
      <c r="K175" s="2712"/>
      <c r="L175" s="2713"/>
      <c r="M175" s="2712"/>
      <c r="N175" s="2712"/>
      <c r="O175" s="2713"/>
      <c r="P175" s="2712"/>
      <c r="Q175" s="2712"/>
      <c r="R175" s="2714"/>
    </row>
    <row r="176" spans="2:18" s="907" customFormat="1">
      <c r="B176" s="2712"/>
      <c r="C176" s="2712"/>
      <c r="D176" s="2712"/>
      <c r="E176" s="2712"/>
      <c r="F176" s="2712"/>
      <c r="G176" s="2713"/>
      <c r="H176" s="2712"/>
      <c r="I176" s="2713"/>
      <c r="J176" s="2712"/>
      <c r="K176" s="2712"/>
      <c r="L176" s="2713"/>
      <c r="M176" s="2712"/>
      <c r="N176" s="2712"/>
      <c r="O176" s="2713"/>
      <c r="P176" s="2712"/>
      <c r="Q176" s="2712"/>
      <c r="R176" s="2714"/>
    </row>
    <row r="177" spans="1:18" s="907" customFormat="1">
      <c r="B177" s="2712"/>
      <c r="C177" s="2712"/>
      <c r="D177" s="2712"/>
      <c r="E177" s="2712"/>
      <c r="F177" s="2712"/>
      <c r="G177" s="2713"/>
      <c r="H177" s="2712"/>
      <c r="I177" s="2713"/>
      <c r="J177" s="2712"/>
      <c r="K177" s="2712"/>
      <c r="L177" s="2713"/>
      <c r="M177" s="2712"/>
      <c r="N177" s="2712"/>
      <c r="O177" s="2713"/>
      <c r="P177" s="2712"/>
      <c r="Q177" s="2712"/>
      <c r="R177" s="2714"/>
    </row>
    <row r="178" spans="1:18" s="907" customFormat="1">
      <c r="B178" s="2712"/>
      <c r="C178" s="2712"/>
      <c r="D178" s="2712"/>
      <c r="E178" s="2712"/>
      <c r="F178" s="2712"/>
      <c r="G178" s="2713"/>
      <c r="H178" s="2712"/>
      <c r="I178" s="2713"/>
      <c r="J178" s="2712"/>
      <c r="K178" s="2712"/>
      <c r="L178" s="2713"/>
      <c r="M178" s="2712"/>
      <c r="N178" s="2712"/>
      <c r="O178" s="2713"/>
      <c r="P178" s="2712"/>
      <c r="Q178" s="2712"/>
      <c r="R178" s="2714"/>
    </row>
    <row r="179" spans="1:18" s="907" customFormat="1">
      <c r="B179" s="2712"/>
      <c r="C179" s="2712"/>
      <c r="D179" s="2712"/>
      <c r="E179" s="2712"/>
      <c r="F179" s="2712"/>
      <c r="G179" s="2713"/>
      <c r="H179" s="2712"/>
      <c r="I179" s="2713"/>
      <c r="J179" s="2712"/>
      <c r="K179" s="2712"/>
      <c r="L179" s="2713"/>
      <c r="M179" s="2712"/>
      <c r="N179" s="2712"/>
      <c r="O179" s="2713"/>
      <c r="P179" s="2712"/>
      <c r="Q179" s="2712"/>
      <c r="R179" s="2714"/>
    </row>
    <row r="180" spans="1:18" s="907" customFormat="1">
      <c r="B180" s="2712"/>
      <c r="C180" s="2712"/>
      <c r="D180" s="2712"/>
      <c r="E180" s="2712"/>
      <c r="F180" s="2712"/>
      <c r="G180" s="2713"/>
      <c r="H180" s="2712"/>
      <c r="I180" s="2713"/>
      <c r="J180" s="2712"/>
      <c r="K180" s="2712"/>
      <c r="L180" s="2713"/>
      <c r="M180" s="2712"/>
      <c r="N180" s="2712"/>
      <c r="O180" s="2713"/>
      <c r="P180" s="2712"/>
      <c r="Q180" s="2712"/>
      <c r="R180" s="2714"/>
    </row>
    <row r="181" spans="1:18" s="907" customFormat="1">
      <c r="B181" s="2712"/>
      <c r="C181" s="2712"/>
      <c r="D181" s="2712"/>
      <c r="E181" s="2712"/>
      <c r="F181" s="2712"/>
      <c r="G181" s="2713"/>
      <c r="H181" s="2712"/>
      <c r="I181" s="2713"/>
      <c r="J181" s="2712"/>
      <c r="K181" s="2712"/>
      <c r="L181" s="2713"/>
      <c r="M181" s="2712"/>
      <c r="N181" s="2712"/>
      <c r="O181" s="2713"/>
      <c r="P181" s="2712"/>
      <c r="Q181" s="2712"/>
      <c r="R181" s="2714"/>
    </row>
    <row r="182" spans="1:18" s="907" customFormat="1">
      <c r="B182" s="2712"/>
      <c r="C182" s="2712"/>
      <c r="D182" s="2712"/>
      <c r="E182" s="2712"/>
      <c r="F182" s="2712"/>
      <c r="G182" s="2713"/>
      <c r="H182" s="2712"/>
      <c r="I182" s="2713"/>
      <c r="J182" s="2712"/>
      <c r="K182" s="2712"/>
      <c r="L182" s="2713"/>
      <c r="M182" s="2712"/>
      <c r="N182" s="2712"/>
      <c r="O182" s="2713"/>
      <c r="P182" s="2712"/>
      <c r="Q182" s="2712"/>
      <c r="R182" s="2714"/>
    </row>
    <row r="183" spans="1:18" s="907" customFormat="1">
      <c r="B183" s="2712"/>
      <c r="C183" s="2712"/>
      <c r="D183" s="2712"/>
      <c r="E183" s="2712"/>
      <c r="F183" s="2712"/>
      <c r="G183" s="2713"/>
      <c r="H183" s="2712"/>
      <c r="I183" s="2713"/>
      <c r="J183" s="2712"/>
      <c r="K183" s="2712"/>
      <c r="L183" s="2713"/>
      <c r="M183" s="2712"/>
      <c r="N183" s="2712"/>
      <c r="O183" s="2713"/>
      <c r="P183" s="2712"/>
      <c r="Q183" s="2712"/>
      <c r="R183" s="2714"/>
    </row>
    <row r="184" spans="1:18" s="907" customFormat="1">
      <c r="B184" s="2712"/>
      <c r="C184" s="2712"/>
      <c r="D184" s="2712"/>
      <c r="E184" s="2712"/>
      <c r="F184" s="2712"/>
      <c r="G184" s="2713"/>
      <c r="H184" s="2712"/>
      <c r="I184" s="2713"/>
      <c r="J184" s="2712"/>
      <c r="K184" s="2712"/>
      <c r="L184" s="2713"/>
      <c r="M184" s="2712"/>
      <c r="N184" s="2712"/>
      <c r="O184" s="2713"/>
      <c r="P184" s="2712"/>
      <c r="Q184" s="2712"/>
      <c r="R184" s="2714"/>
    </row>
    <row r="185" spans="1:18" s="907"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7"/>
      <c r="B186" s="2712"/>
      <c r="C186" s="2712"/>
      <c r="E186" s="2712"/>
      <c r="F186" s="2712"/>
      <c r="G186" s="2713"/>
    </row>
    <row r="187" spans="1:18">
      <c r="A187" s="907"/>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28660.61</v>
      </c>
      <c r="C1" s="2909"/>
      <c r="D1" s="2909"/>
      <c r="E1" s="2909"/>
      <c r="F1" s="2909"/>
      <c r="G1" s="2910"/>
      <c r="H1" s="2911"/>
      <c r="I1" s="2911"/>
      <c r="J1" s="2911"/>
      <c r="K1" s="2911"/>
    </row>
    <row r="2" spans="1:11" ht="16.5">
      <c r="A2" s="2733" t="s">
        <v>1319</v>
      </c>
      <c r="B2" s="2733">
        <f>SUM(C14:C23)</f>
        <v>166699.10999999999</v>
      </c>
      <c r="C2" s="2909"/>
      <c r="D2" s="2909"/>
      <c r="E2" s="2909"/>
      <c r="F2" s="2909"/>
      <c r="G2" s="2910"/>
      <c r="H2" s="2911"/>
      <c r="I2" s="2911"/>
      <c r="J2" s="2911"/>
      <c r="K2" s="2911"/>
    </row>
    <row r="3" spans="1:11" ht="16.5">
      <c r="A3" s="2733" t="s">
        <v>1328</v>
      </c>
      <c r="B3" s="2735">
        <f>项目基本情况!D3</f>
        <v>44454</v>
      </c>
      <c r="C3" s="2909"/>
      <c r="D3" s="2909"/>
      <c r="E3" s="2909"/>
      <c r="F3" s="2909"/>
      <c r="G3" s="2910"/>
      <c r="H3" s="2911"/>
      <c r="I3" s="2911"/>
      <c r="J3" s="2911"/>
      <c r="K3" s="2911"/>
    </row>
    <row r="4" spans="1:11" ht="33">
      <c r="A4" s="2733" t="s">
        <v>1327</v>
      </c>
      <c r="B4" s="2733" t="s">
        <v>1326</v>
      </c>
      <c r="C4" s="2733" t="s">
        <v>1325</v>
      </c>
      <c r="D4" s="2733" t="s">
        <v>1324</v>
      </c>
      <c r="E4" s="2909"/>
      <c r="F4" s="2910"/>
      <c r="G4" s="2910"/>
      <c r="H4" s="2911"/>
      <c r="I4" s="2911"/>
      <c r="J4" s="2911"/>
      <c r="K4" s="2911"/>
    </row>
    <row r="5" spans="1:11" ht="16.5">
      <c r="A5" s="2733" t="s">
        <v>1323</v>
      </c>
      <c r="B5" s="2733">
        <f ca="1">SUM(D14:D23)</f>
        <v>11597</v>
      </c>
      <c r="C5" s="2733">
        <f ca="1">ROUND(B5*10000/$B$1,0)</f>
        <v>4046</v>
      </c>
      <c r="D5" s="2733">
        <f ca="1">ROUND(B5*10000/$B$2,0)</f>
        <v>696</v>
      </c>
      <c r="E5" s="2909"/>
      <c r="F5" s="2910"/>
      <c r="G5" s="2910"/>
      <c r="H5" s="2911"/>
      <c r="I5" s="2911"/>
      <c r="J5" s="2911"/>
      <c r="K5" s="2911"/>
    </row>
    <row r="6" spans="1:11" ht="16.5">
      <c r="A6" s="2733" t="s">
        <v>1322</v>
      </c>
      <c r="B6" s="2733">
        <f ca="1">SUM(G14:G23)</f>
        <v>11597</v>
      </c>
      <c r="C6" s="2733">
        <f ca="1">ROUND(B6*10000/$B$1,0)</f>
        <v>4046</v>
      </c>
      <c r="D6" s="2733">
        <f ca="1">ROUND(B6*10000/$B$2,0)</f>
        <v>696</v>
      </c>
      <c r="E6" s="2909"/>
      <c r="F6" s="2910"/>
      <c r="G6" s="2910"/>
      <c r="H6" s="2911"/>
      <c r="I6" s="2911"/>
      <c r="J6" s="2911"/>
      <c r="K6" s="2911"/>
    </row>
    <row r="7" spans="1:11" ht="16.5">
      <c r="A7" s="2733" t="s">
        <v>1330</v>
      </c>
      <c r="B7" s="2733">
        <f>SUM(H14:H23)</f>
        <v>0</v>
      </c>
      <c r="C7" s="2733">
        <f>ROUND(B7*10000/$B$1,0)</f>
        <v>0</v>
      </c>
      <c r="D7" s="2733">
        <f>ROUND(B7*10000/$B$2,0)</f>
        <v>0</v>
      </c>
      <c r="E7" s="2909"/>
      <c r="F7" s="2910"/>
      <c r="G7" s="2910"/>
      <c r="H7" s="2911"/>
      <c r="I7" s="2911"/>
      <c r="J7" s="2911"/>
      <c r="K7" s="2911"/>
    </row>
    <row r="8" spans="1:11" ht="16.5">
      <c r="A8" s="2733" t="s">
        <v>1252</v>
      </c>
      <c r="B8" s="2733">
        <f>SUM(I14:I23)</f>
        <v>0</v>
      </c>
      <c r="C8" s="2733">
        <f>ROUND(B8*10000/$B$1,0)</f>
        <v>0</v>
      </c>
      <c r="D8" s="2733">
        <f>ROUND(B8*10000/$B$2,0)</f>
        <v>0</v>
      </c>
      <c r="E8" s="2909"/>
      <c r="F8" s="2910"/>
      <c r="G8" s="2910"/>
      <c r="H8" s="2911"/>
      <c r="I8" s="2911"/>
      <c r="J8" s="2911"/>
      <c r="K8" s="2911"/>
    </row>
    <row r="9" spans="1:11" ht="16.5">
      <c r="A9" s="2733" t="s">
        <v>1321</v>
      </c>
      <c r="B9" s="2741"/>
      <c r="C9" s="2909"/>
      <c r="D9" s="2909"/>
      <c r="E9" s="2909"/>
      <c r="F9" s="2910"/>
      <c r="G9" s="2910"/>
      <c r="H9" s="2911"/>
      <c r="I9" s="2911"/>
      <c r="J9" s="2911"/>
      <c r="K9" s="2911"/>
    </row>
    <row r="10" spans="1:11" ht="16.5">
      <c r="A10" s="2733" t="s">
        <v>1320</v>
      </c>
      <c r="B10" s="2741"/>
      <c r="C10" s="2909"/>
      <c r="D10" s="2909"/>
      <c r="E10" s="2909"/>
      <c r="F10" s="2910"/>
      <c r="G10" s="2910"/>
      <c r="H10" s="2911"/>
      <c r="I10" s="2911"/>
      <c r="J10" s="2911"/>
      <c r="K10" s="2911"/>
    </row>
    <row r="11" spans="1:11" ht="16.5">
      <c r="A11" s="2733" t="s">
        <v>1336</v>
      </c>
      <c r="B11" s="2741"/>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6" t="s">
        <v>1335</v>
      </c>
      <c r="B13" s="2737" t="s">
        <v>1332</v>
      </c>
      <c r="C13" s="2737" t="s">
        <v>1334</v>
      </c>
      <c r="D13" s="2737" t="s">
        <v>1333</v>
      </c>
      <c r="E13" s="2733" t="s">
        <v>1325</v>
      </c>
      <c r="F13" s="2733" t="s">
        <v>1324</v>
      </c>
      <c r="G13" s="2737" t="s">
        <v>1318</v>
      </c>
      <c r="H13" s="2737" t="s">
        <v>1329</v>
      </c>
      <c r="I13" s="2737" t="s">
        <v>1317</v>
      </c>
      <c r="J13" s="2910"/>
      <c r="K13" s="2911"/>
    </row>
    <row r="14" spans="1:11" ht="16.5">
      <c r="A14" s="2738" t="s">
        <v>1316</v>
      </c>
      <c r="B14" s="2739">
        <f>结果表!B118</f>
        <v>28660.61</v>
      </c>
      <c r="C14" s="2739">
        <f>结果表!C118</f>
        <v>166699.10999999999</v>
      </c>
      <c r="D14" s="2739">
        <f ca="1">结果表!H118</f>
        <v>11597</v>
      </c>
      <c r="E14" s="2739">
        <f ca="1">ROUND(D14*10000/B14,0)</f>
        <v>4046</v>
      </c>
      <c r="F14" s="2739">
        <f ca="1">ROUND(D14*10000/C14,0)</f>
        <v>696</v>
      </c>
      <c r="G14" s="2739">
        <f ca="1">结果表!D122</f>
        <v>11597</v>
      </c>
      <c r="H14" s="2739" t="str">
        <f>结果表!D124</f>
        <v>——</v>
      </c>
      <c r="I14" s="2739" t="str">
        <f>结果表!D126</f>
        <v>——</v>
      </c>
      <c r="J14" s="2910"/>
      <c r="K14" s="2911"/>
    </row>
    <row r="15" spans="1:11" ht="16.5">
      <c r="A15" s="2738" t="s">
        <v>1315</v>
      </c>
      <c r="B15" s="2740"/>
      <c r="C15" s="2740"/>
      <c r="D15" s="2740"/>
      <c r="E15" s="2739" t="e">
        <f t="shared" ref="E15:E23" si="0">ROUND(D15*10000/B15,0)</f>
        <v>#DIV/0!</v>
      </c>
      <c r="F15" s="2739" t="e">
        <f t="shared" ref="F15:F23" si="1">ROUND(D15*10000/C15,0)</f>
        <v>#DIV/0!</v>
      </c>
      <c r="G15" s="1500"/>
      <c r="H15" s="1500"/>
      <c r="I15" s="2740"/>
      <c r="J15" s="2910"/>
      <c r="K15" s="2911"/>
    </row>
    <row r="16" spans="1:11" ht="16.5">
      <c r="A16" s="2738" t="s">
        <v>1314</v>
      </c>
      <c r="B16" s="2740"/>
      <c r="C16" s="2740"/>
      <c r="D16" s="2740"/>
      <c r="E16" s="2739" t="e">
        <f t="shared" si="0"/>
        <v>#DIV/0!</v>
      </c>
      <c r="F16" s="2739" t="e">
        <f t="shared" si="1"/>
        <v>#DIV/0!</v>
      </c>
      <c r="G16" s="1500"/>
      <c r="H16" s="1500"/>
      <c r="I16" s="2740"/>
      <c r="J16" s="2911"/>
      <c r="K16" s="2911"/>
    </row>
    <row r="17" spans="1:11" ht="16.5">
      <c r="A17" s="2738" t="s">
        <v>1313</v>
      </c>
      <c r="B17" s="2740"/>
      <c r="C17" s="2740"/>
      <c r="D17" s="2740"/>
      <c r="E17" s="2739" t="e">
        <f t="shared" si="0"/>
        <v>#DIV/0!</v>
      </c>
      <c r="F17" s="2739" t="e">
        <f t="shared" si="1"/>
        <v>#DIV/0!</v>
      </c>
      <c r="G17" s="1500"/>
      <c r="H17" s="1500"/>
      <c r="I17" s="2740"/>
      <c r="J17" s="2911"/>
      <c r="K17" s="2911"/>
    </row>
    <row r="18" spans="1:11" ht="16.5">
      <c r="A18" s="2738" t="s">
        <v>1312</v>
      </c>
      <c r="B18" s="2740"/>
      <c r="C18" s="2740"/>
      <c r="D18" s="2740"/>
      <c r="E18" s="2739" t="e">
        <f t="shared" si="0"/>
        <v>#DIV/0!</v>
      </c>
      <c r="F18" s="2739" t="e">
        <f t="shared" si="1"/>
        <v>#DIV/0!</v>
      </c>
      <c r="G18" s="2740"/>
      <c r="H18" s="2740"/>
      <c r="I18" s="2740"/>
      <c r="J18" s="2911"/>
      <c r="K18" s="2911"/>
    </row>
    <row r="19" spans="1:11" ht="16.5">
      <c r="A19" s="2738" t="s">
        <v>1311</v>
      </c>
      <c r="B19" s="2740"/>
      <c r="C19" s="2740"/>
      <c r="D19" s="2740"/>
      <c r="E19" s="2739" t="e">
        <f t="shared" si="0"/>
        <v>#DIV/0!</v>
      </c>
      <c r="F19" s="2739" t="e">
        <f t="shared" si="1"/>
        <v>#DIV/0!</v>
      </c>
      <c r="G19" s="2740"/>
      <c r="H19" s="2740"/>
      <c r="I19" s="2740"/>
      <c r="J19" s="2911"/>
      <c r="K19" s="2911"/>
    </row>
    <row r="20" spans="1:11" ht="16.5">
      <c r="A20" s="2738" t="s">
        <v>1310</v>
      </c>
      <c r="B20" s="2740"/>
      <c r="C20" s="2740"/>
      <c r="D20" s="2740"/>
      <c r="E20" s="2739" t="e">
        <f t="shared" si="0"/>
        <v>#DIV/0!</v>
      </c>
      <c r="F20" s="2739" t="e">
        <f t="shared" si="1"/>
        <v>#DIV/0!</v>
      </c>
      <c r="G20" s="2740"/>
      <c r="H20" s="2740"/>
      <c r="I20" s="2740"/>
      <c r="J20" s="2911"/>
      <c r="K20" s="2911"/>
    </row>
    <row r="21" spans="1:11" ht="16.5">
      <c r="A21" s="2738" t="s">
        <v>1309</v>
      </c>
      <c r="B21" s="2740"/>
      <c r="C21" s="2740"/>
      <c r="D21" s="2740"/>
      <c r="E21" s="2739" t="e">
        <f t="shared" si="0"/>
        <v>#DIV/0!</v>
      </c>
      <c r="F21" s="2739" t="e">
        <f t="shared" si="1"/>
        <v>#DIV/0!</v>
      </c>
      <c r="G21" s="2740"/>
      <c r="H21" s="2740"/>
      <c r="I21" s="2740"/>
      <c r="J21" s="2911"/>
      <c r="K21" s="2911"/>
    </row>
    <row r="22" spans="1:11" ht="16.5">
      <c r="A22" s="2738" t="s">
        <v>1308</v>
      </c>
      <c r="B22" s="2740"/>
      <c r="C22" s="2740"/>
      <c r="D22" s="2740"/>
      <c r="E22" s="2739" t="e">
        <f t="shared" si="0"/>
        <v>#DIV/0!</v>
      </c>
      <c r="F22" s="2739" t="e">
        <f t="shared" si="1"/>
        <v>#DIV/0!</v>
      </c>
      <c r="G22" s="2740"/>
      <c r="H22" s="2740"/>
      <c r="I22" s="2740"/>
      <c r="J22" s="2911"/>
      <c r="K22" s="2911"/>
    </row>
    <row r="23" spans="1:11" ht="16.5">
      <c r="A23" s="2738" t="s">
        <v>1307</v>
      </c>
      <c r="B23" s="2740"/>
      <c r="C23" s="2740"/>
      <c r="D23" s="2740"/>
      <c r="E23" s="2741" t="e">
        <f t="shared" si="0"/>
        <v>#DIV/0!</v>
      </c>
      <c r="F23" s="2741" t="e">
        <f t="shared" si="1"/>
        <v>#DIV/0!</v>
      </c>
      <c r="G23" s="2740"/>
      <c r="H23" s="2740"/>
      <c r="I23" s="2740"/>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85" zoomScaleNormal="100" zoomScaleSheetLayoutView="85" zoomScalePageLayoutView="80" workbookViewId="0">
      <selection activeCell="D126" sqref="D126:I12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94" t="str">
        <f>项目基本情况!S2</f>
        <v>辽宁省朝阳市朝阳喀左经济开发区房地产</v>
      </c>
      <c r="B2" s="3195"/>
      <c r="C2" s="3195"/>
      <c r="D2" s="3195"/>
      <c r="E2" s="3195"/>
      <c r="F2" s="3195"/>
      <c r="G2" s="3195"/>
      <c r="H2" s="3195"/>
      <c r="I2" s="3196"/>
    </row>
    <row r="3" spans="1:12" ht="12.75">
      <c r="A3" s="3198" t="s">
        <v>1950</v>
      </c>
      <c r="B3" s="3199"/>
      <c r="C3" s="3199"/>
      <c r="D3" s="3199"/>
      <c r="E3" s="3199"/>
      <c r="F3" s="3199"/>
      <c r="G3" s="3199"/>
      <c r="H3" s="3199"/>
      <c r="I3" s="3199"/>
    </row>
    <row r="4" spans="1:12" ht="14.25">
      <c r="A4" s="1940" t="s">
        <v>1951</v>
      </c>
      <c r="B4" s="1941" t="s">
        <v>1952</v>
      </c>
      <c r="C4" s="1942" t="s">
        <v>3353</v>
      </c>
      <c r="D4" s="1942" t="s">
        <v>3354</v>
      </c>
      <c r="E4" s="3200" t="s">
        <v>1953</v>
      </c>
      <c r="F4" s="3201"/>
      <c r="G4" s="3201"/>
      <c r="H4" s="3201"/>
      <c r="I4" s="320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4" t="s">
        <v>1954</v>
      </c>
      <c r="B5" s="3161">
        <v>25</v>
      </c>
      <c r="C5" s="3177"/>
      <c r="D5" s="3197"/>
      <c r="E5" s="136" t="s">
        <v>1955</v>
      </c>
      <c r="F5" s="1943"/>
      <c r="G5" s="1943"/>
      <c r="H5" s="1943"/>
      <c r="I5" s="1557"/>
    </row>
    <row r="6" spans="1:12" ht="12.75">
      <c r="A6" s="3174"/>
      <c r="B6" s="3161"/>
      <c r="C6" s="3178"/>
      <c r="D6" s="3197"/>
      <c r="E6" s="136" t="s">
        <v>1956</v>
      </c>
      <c r="F6" s="1943"/>
      <c r="G6" s="1943"/>
      <c r="H6" s="1943"/>
      <c r="I6" s="1557"/>
    </row>
    <row r="7" spans="1:12" ht="12.75">
      <c r="A7" s="3174"/>
      <c r="B7" s="3161"/>
      <c r="C7" s="3179"/>
      <c r="D7" s="3197"/>
      <c r="E7" s="136" t="s">
        <v>1957</v>
      </c>
      <c r="F7" s="1943"/>
      <c r="G7" s="1943"/>
      <c r="H7" s="1943"/>
      <c r="I7" s="1557"/>
    </row>
    <row r="8" spans="1:12" ht="12.75">
      <c r="A8" s="3174" t="s">
        <v>1958</v>
      </c>
      <c r="B8" s="3161">
        <v>15</v>
      </c>
      <c r="C8" s="3177"/>
      <c r="D8" s="3197"/>
      <c r="E8" s="136" t="s">
        <v>1959</v>
      </c>
      <c r="F8" s="1943"/>
      <c r="G8" s="1943"/>
      <c r="H8" s="1943"/>
      <c r="I8" s="1557"/>
    </row>
    <row r="9" spans="1:12" ht="12.75">
      <c r="A9" s="3174"/>
      <c r="B9" s="3161"/>
      <c r="C9" s="3179"/>
      <c r="D9" s="3197"/>
      <c r="E9" s="136" t="s">
        <v>1960</v>
      </c>
      <c r="F9" s="1943"/>
      <c r="G9" s="1943"/>
      <c r="H9" s="1943"/>
      <c r="I9" s="1557"/>
    </row>
    <row r="10" spans="1:12" ht="12.75">
      <c r="A10" s="3174" t="s">
        <v>1961</v>
      </c>
      <c r="B10" s="3161">
        <v>15</v>
      </c>
      <c r="C10" s="3177"/>
      <c r="D10" s="3197"/>
      <c r="E10" s="136" t="s">
        <v>1962</v>
      </c>
      <c r="F10" s="1943"/>
      <c r="G10" s="1943"/>
      <c r="H10" s="1943"/>
      <c r="I10" s="1557"/>
    </row>
    <row r="11" spans="1:12" ht="12.75">
      <c r="A11" s="3174"/>
      <c r="B11" s="3161"/>
      <c r="C11" s="3179"/>
      <c r="D11" s="3197"/>
      <c r="E11" s="136" t="s">
        <v>1963</v>
      </c>
      <c r="F11" s="1943"/>
      <c r="G11" s="1943"/>
      <c r="H11" s="1943"/>
      <c r="I11" s="1557"/>
    </row>
    <row r="12" spans="1:12" ht="12.75">
      <c r="A12" s="3174" t="s">
        <v>1964</v>
      </c>
      <c r="B12" s="3161">
        <v>15</v>
      </c>
      <c r="C12" s="3177"/>
      <c r="D12" s="3197"/>
      <c r="E12" s="136" t="s">
        <v>1965</v>
      </c>
      <c r="F12" s="1943"/>
      <c r="G12" s="1943"/>
      <c r="H12" s="1943"/>
      <c r="I12" s="1557"/>
    </row>
    <row r="13" spans="1:12" ht="12.75">
      <c r="A13" s="3174"/>
      <c r="B13" s="3161"/>
      <c r="C13" s="3179"/>
      <c r="D13" s="3197"/>
      <c r="E13" s="136" t="s">
        <v>1966</v>
      </c>
      <c r="F13" s="1943"/>
      <c r="G13" s="1943"/>
      <c r="H13" s="1943"/>
      <c r="I13" s="1557"/>
    </row>
    <row r="14" spans="1:12" ht="12.75">
      <c r="A14" s="3174" t="s">
        <v>1967</v>
      </c>
      <c r="B14" s="3161">
        <v>30</v>
      </c>
      <c r="C14" s="3177">
        <v>5</v>
      </c>
      <c r="D14" s="3197">
        <v>5</v>
      </c>
      <c r="E14" s="136" t="s">
        <v>1968</v>
      </c>
      <c r="F14" s="1943"/>
      <c r="G14" s="1943"/>
      <c r="H14" s="1943"/>
      <c r="I14" s="1557"/>
    </row>
    <row r="15" spans="1:12" ht="12.75">
      <c r="A15" s="3174"/>
      <c r="B15" s="3161"/>
      <c r="C15" s="3178"/>
      <c r="D15" s="3197"/>
      <c r="E15" s="136" t="s">
        <v>1969</v>
      </c>
      <c r="F15" s="1943"/>
      <c r="G15" s="1943"/>
      <c r="H15" s="1943"/>
      <c r="I15" s="1557"/>
    </row>
    <row r="16" spans="1:12" ht="12.75">
      <c r="A16" s="3174"/>
      <c r="B16" s="3161"/>
      <c r="C16" s="3179"/>
      <c r="D16" s="3197"/>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184" t="s">
        <v>2873</v>
      </c>
      <c r="F18" s="3185"/>
      <c r="G18" s="3185"/>
      <c r="H18" s="3185"/>
      <c r="I18" s="3185"/>
      <c r="K18" s="308" t="s">
        <v>1975</v>
      </c>
      <c r="L18" s="308">
        <f>IF(C1="",'数据-汇总表'!E3,SUMIF(项目类型,C1,'数据-汇总表'!E17:E26)+SUMIF(项目类型,C1,'数据-汇总表'!I17:I26))</f>
        <v>28660.61</v>
      </c>
      <c r="M18" s="308">
        <f>IF(C1="",'数据-汇总表'!E3,SUMIF(项目类型,C1,'数据-汇总表'!E17:E26))</f>
        <v>28660.61</v>
      </c>
    </row>
    <row r="19" spans="1:36" ht="15">
      <c r="A19" s="1947" t="s">
        <v>1976</v>
      </c>
      <c r="B19" s="1948" t="s">
        <v>1977</v>
      </c>
      <c r="C19" s="139">
        <f ca="1">SUMIF(INDIRECT("'"&amp;C4&amp;"'"&amp;"!A:A"),结果表!B19,INDIRECT("'"&amp;C4&amp;"'"&amp;"!B:B"))</f>
        <v>11891</v>
      </c>
      <c r="D19" s="140">
        <f ca="1">SUMIF(INDIRECT("'"&amp;D4&amp;"'"&amp;"!A:A"),结果表!B19,INDIRECT("'"&amp;D4&amp;"'"&amp;"!B:B"))</f>
        <v>11303</v>
      </c>
      <c r="E19" s="1947" t="s">
        <v>1978</v>
      </c>
      <c r="F19" s="1948" t="s">
        <v>1977</v>
      </c>
      <c r="G19" s="141">
        <f ca="1">ROUND(C19*$C$18+D19*$D$18,0)</f>
        <v>11597</v>
      </c>
      <c r="H19" s="1949" t="s">
        <v>1979</v>
      </c>
      <c r="I19" s="134"/>
      <c r="K19" s="308" t="s">
        <v>1980</v>
      </c>
      <c r="L19" s="308">
        <f>IF(C1="",'数据-汇总表'!D3,SUMIF(项目类型,C1,'数据-汇总表'!D17:D26)+SUMIF(项目类型,C1,'数据-汇总表'!H17:H27))</f>
        <v>166699.10999999999</v>
      </c>
      <c r="M19" s="308">
        <f>IF(C1="",'数据-汇总表'!D3,SUMIF(项目类型,C1,'数据-汇总表'!D17:D26))</f>
        <v>166699.10999999999</v>
      </c>
    </row>
    <row r="20" spans="1:36" ht="15">
      <c r="A20" s="1950"/>
      <c r="B20" s="1157" t="s">
        <v>1981</v>
      </c>
      <c r="C20" s="142">
        <f ca="1">SUMIF(INDIRECT("'"&amp;C4&amp;"'"&amp;"!A:A"),结果表!B20,INDIRECT("'"&amp;C4&amp;"'"&amp;"!B:B"))</f>
        <v>4149</v>
      </c>
      <c r="D20" s="143">
        <f ca="1">SUMIF(INDIRECT("'"&amp;D4&amp;"'"&amp;"!A:A"),结果表!B20,INDIRECT("'"&amp;D4&amp;"'"&amp;"!B:B"))</f>
        <v>3944</v>
      </c>
      <c r="E20" s="1950"/>
      <c r="F20" s="1157" t="s">
        <v>1981</v>
      </c>
      <c r="G20" s="144">
        <f ca="1">ROUND(C20*$C$18+D20*$D$18,0)</f>
        <v>4047</v>
      </c>
      <c r="H20" s="917" t="s">
        <v>1982</v>
      </c>
      <c r="I20" s="134"/>
    </row>
    <row r="21" spans="1:36" ht="15" customHeight="1" thickBot="1">
      <c r="A21" s="937"/>
      <c r="B21" s="1951" t="s">
        <v>1983</v>
      </c>
      <c r="C21" s="728">
        <f ca="1">ROUND(C19*10000/L19,0)</f>
        <v>713</v>
      </c>
      <c r="D21" s="729">
        <f ca="1">ROUND(D19*10000/L19,0)</f>
        <v>678</v>
      </c>
      <c r="E21" s="937"/>
      <c r="F21" s="1951" t="s">
        <v>1983</v>
      </c>
      <c r="G21" s="145">
        <f ca="1">ROUND(G19*10000/L19,0)</f>
        <v>696</v>
      </c>
      <c r="H21" s="1952" t="s">
        <v>1982</v>
      </c>
      <c r="I21" s="134"/>
    </row>
    <row r="22" spans="1:36" ht="15" thickBot="1">
      <c r="A22" s="1874" t="s">
        <v>1984</v>
      </c>
      <c r="B22" s="1953"/>
      <c r="C22" s="1954"/>
      <c r="D22" s="730">
        <f ca="1">IF(C19&lt;D19,D19/C19-1,C19/D19-1)</f>
        <v>5.2021587189241769E-2</v>
      </c>
      <c r="E22" s="134"/>
      <c r="F22" s="134"/>
      <c r="G22" s="134"/>
      <c r="H22" s="134"/>
      <c r="I22" s="134"/>
    </row>
    <row r="23" spans="1:36" ht="13.5" thickBot="1">
      <c r="A23" s="1933"/>
      <c r="B23" s="1933"/>
      <c r="C23" s="1933"/>
      <c r="D23" s="1933"/>
      <c r="E23" s="134"/>
      <c r="F23" s="134"/>
      <c r="G23" s="134"/>
      <c r="H23" s="134"/>
      <c r="I23" s="134"/>
    </row>
    <row r="24" spans="1:36" ht="14.25">
      <c r="A24" s="3168" t="s">
        <v>1985</v>
      </c>
      <c r="B24" s="1948" t="s">
        <v>1977</v>
      </c>
      <c r="C24" s="141">
        <f>IF(B30=0,0,D30)</f>
        <v>0</v>
      </c>
      <c r="D24" s="1955"/>
      <c r="E24" s="134"/>
      <c r="F24" s="134"/>
      <c r="G24" s="134"/>
      <c r="H24" s="134"/>
      <c r="I24" s="134"/>
    </row>
    <row r="25" spans="1:36" ht="14.25">
      <c r="A25" s="316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2"/>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11597</v>
      </c>
      <c r="D32" s="1961" t="s">
        <v>3384</v>
      </c>
      <c r="E32" s="134"/>
      <c r="F32" s="134"/>
      <c r="G32" s="134"/>
      <c r="H32" s="134"/>
      <c r="I32" s="134"/>
    </row>
    <row r="33" spans="1:15" ht="15">
      <c r="A33" s="894" t="s">
        <v>1992</v>
      </c>
      <c r="B33" s="1962"/>
      <c r="C33" s="1963" t="s">
        <v>3385</v>
      </c>
      <c r="D33" s="1964"/>
      <c r="E33" s="1965" t="s">
        <v>1993</v>
      </c>
      <c r="F33" s="1966" t="str">
        <f>IF(D32="楼面单价","取值（单价）","取值（总价）")</f>
        <v>取值（总价）</v>
      </c>
      <c r="G33" s="134"/>
      <c r="H33" s="134"/>
      <c r="I33" s="134"/>
    </row>
    <row r="34" spans="1:15" ht="15">
      <c r="A34" s="1967"/>
      <c r="B34" s="1968" t="s">
        <v>1994</v>
      </c>
      <c r="C34" s="153">
        <f>IF(C33="自定义",F34,C32-C35)</f>
        <v>3701</v>
      </c>
      <c r="D34" s="970">
        <f ca="1">IF(C33="自定义",ROUND(C34/C32,3),IF(C33="收益比率",SUMIF(INDIRECT("'"&amp;D33&amp;"'"&amp;"!b:b"),"土地收益比率",INDIRECT("'"&amp;D33&amp;"'"&amp;"!c:c")),SUMIF(INDIRECT("'"&amp;D33&amp;"'"&amp;"!b:b"),"土地成本比率",INDIRECT("'"&amp;D33&amp;"'"&amp;"!c:c"))))</f>
        <v>0.31900000000000001</v>
      </c>
      <c r="E34" s="1969" t="s">
        <v>1995</v>
      </c>
      <c r="F34" s="1498">
        <f>'土地比较法-工业'!B2</f>
        <v>3701</v>
      </c>
      <c r="G34" s="134"/>
      <c r="H34" s="134"/>
      <c r="I34" s="134"/>
    </row>
    <row r="35" spans="1:15" ht="15.75" thickBot="1">
      <c r="A35" s="1970"/>
      <c r="B35" s="1971" t="s">
        <v>1996</v>
      </c>
      <c r="C35" s="1332">
        <f ca="1">IF(C33="自定义",F35,ROUND(C32*D35,0))</f>
        <v>7896</v>
      </c>
      <c r="D35" s="1333">
        <f ca="1">IF(C33="自定义",ROUND(C35/C32,3),IF(C33="收益比率",SUMIF(INDIRECT("'"&amp;D33&amp;"'"&amp;"!b:b"),"建筑物收益比率",INDIRECT("'"&amp;D33&amp;"'"&amp;"!c:c")),SUMIF(INDIRECT("'"&amp;D33&amp;"'"&amp;"!b:b"),"建筑物成本比率",INDIRECT("'"&amp;D33&amp;"'"&amp;"!c:c"))))</f>
        <v>0.68100000000000005</v>
      </c>
      <c r="E35" s="1972" t="s">
        <v>1997</v>
      </c>
      <c r="F35" s="159">
        <f ca="1">G19-F34</f>
        <v>7896</v>
      </c>
      <c r="G35" s="134"/>
      <c r="H35" s="134"/>
      <c r="I35" s="134"/>
    </row>
    <row r="36" spans="1:15" ht="15.75" thickBot="1">
      <c r="A36" s="3188" t="s">
        <v>1998</v>
      </c>
      <c r="B36" s="1973" t="s">
        <v>1999</v>
      </c>
      <c r="C36" s="150"/>
      <c r="D36" s="1974"/>
      <c r="E36" s="1975"/>
      <c r="F36" s="1976"/>
      <c r="G36" s="134"/>
      <c r="H36" s="134"/>
      <c r="I36" s="134"/>
    </row>
    <row r="37" spans="1:15" ht="15.75" thickBot="1">
      <c r="A37" s="3189"/>
      <c r="B37" s="1860" t="s">
        <v>2000</v>
      </c>
      <c r="C37" s="152"/>
      <c r="D37" s="1301"/>
      <c r="E37" s="1301"/>
      <c r="F37" s="1976"/>
      <c r="G37" s="134"/>
      <c r="H37" s="134"/>
      <c r="I37" s="134"/>
    </row>
    <row r="38" spans="1:15" ht="15.75" thickBot="1">
      <c r="A38" s="3190"/>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5" t="s">
        <v>2012</v>
      </c>
      <c r="B45" s="3166"/>
      <c r="C45" s="3167"/>
      <c r="D45" s="160">
        <f ca="1">ROUND(H101*F45,0)</f>
        <v>11597</v>
      </c>
      <c r="E45" s="161" t="s">
        <v>2013</v>
      </c>
      <c r="F45" s="162">
        <v>1</v>
      </c>
      <c r="G45" s="163" t="s">
        <v>2014</v>
      </c>
      <c r="H45" s="134"/>
      <c r="I45" s="134"/>
      <c r="J45" s="3246" t="s">
        <v>2015</v>
      </c>
      <c r="K45" s="3246"/>
      <c r="L45" s="3246"/>
      <c r="M45" s="3246"/>
      <c r="N45" s="3246"/>
      <c r="O45" s="3246"/>
    </row>
    <row r="46" spans="1:15" ht="14.25" customHeight="1">
      <c r="A46" s="3162" t="s">
        <v>2016</v>
      </c>
      <c r="B46" s="3163"/>
      <c r="C46" s="3163"/>
      <c r="D46" s="3163"/>
      <c r="E46" s="3163"/>
      <c r="F46" s="3163"/>
      <c r="G46" s="3164"/>
      <c r="H46" s="1992"/>
      <c r="I46" s="164"/>
      <c r="J46" s="2744">
        <v>1</v>
      </c>
      <c r="K46" s="3227" t="s">
        <v>2017</v>
      </c>
      <c r="L46" s="3227"/>
      <c r="M46" s="3247"/>
      <c r="N46" s="3247"/>
      <c r="O46" s="3247"/>
    </row>
    <row r="47" spans="1:15" ht="12" customHeight="1">
      <c r="A47" s="165" t="s">
        <v>2018</v>
      </c>
      <c r="B47" s="166"/>
      <c r="C47" s="167"/>
      <c r="D47" s="1247" t="s">
        <v>2019</v>
      </c>
      <c r="E47" s="308" t="s">
        <v>2020</v>
      </c>
      <c r="F47" s="168" t="s">
        <v>2021</v>
      </c>
      <c r="G47" s="2767" t="s">
        <v>2022</v>
      </c>
      <c r="H47" s="2768"/>
      <c r="I47" s="164"/>
      <c r="J47" s="2744">
        <v>2</v>
      </c>
      <c r="K47" s="3227" t="s">
        <v>2023</v>
      </c>
      <c r="L47" s="3227"/>
      <c r="M47" s="3248">
        <f>'数据-取费表'!B2</f>
        <v>44454</v>
      </c>
      <c r="N47" s="3248"/>
      <c r="O47" s="3248"/>
    </row>
    <row r="48" spans="1:15" ht="25.5">
      <c r="A48" s="3193" t="s">
        <v>2024</v>
      </c>
      <c r="B48" s="3176"/>
      <c r="C48" s="3176"/>
      <c r="D48" s="2547" t="b">
        <f>IF(H48="情况1",0,IF(H48="情况2",D52,IF(H48="情况3",D53,IF(H48="情况4",D54))))</f>
        <v>0</v>
      </c>
      <c r="E48" s="2557" t="str">
        <f>IF(H48="情况4","(销售额-原购置价)×税（费）率","销售额×税（费）率")</f>
        <v>销售额×税（费）率</v>
      </c>
      <c r="F48" s="2769">
        <f>IF(H48="情况1","免征",'数据-取费表'!B41)</f>
        <v>5.5000000000000007E-2</v>
      </c>
      <c r="G48" s="2770" t="s">
        <v>2025</v>
      </c>
      <c r="H48" s="2771"/>
      <c r="I48" s="1992"/>
      <c r="J48" s="2744">
        <v>3</v>
      </c>
      <c r="K48" s="3227" t="s">
        <v>2026</v>
      </c>
      <c r="L48" s="3227"/>
      <c r="M48" s="3249">
        <f ca="1">H101</f>
        <v>11597</v>
      </c>
      <c r="N48" s="3249"/>
      <c r="O48" s="3249"/>
    </row>
    <row r="49" spans="1:35" ht="25.5" customHeight="1">
      <c r="A49" s="2556" t="s">
        <v>2027</v>
      </c>
      <c r="B49" s="3160" t="s">
        <v>2028</v>
      </c>
      <c r="C49" s="3160"/>
      <c r="D49" s="1775">
        <v>0</v>
      </c>
      <c r="E49" s="330" t="s">
        <v>2029</v>
      </c>
      <c r="F49" s="2645" t="s">
        <v>34</v>
      </c>
      <c r="G49" s="3233"/>
      <c r="H49" s="2528" t="s">
        <v>2876</v>
      </c>
      <c r="I49" s="2529"/>
      <c r="J49" s="2744">
        <v>4</v>
      </c>
      <c r="K49" s="3227" t="str">
        <f>IF(项目基本情况!E8="房地产抵押价值","房地产抵押价值","抵押担保权已注销时的房地产抵押价值")</f>
        <v>房地产抵押价值</v>
      </c>
      <c r="L49" s="3227"/>
      <c r="M49" s="3249">
        <f ca="1">IF(项目基本情况!E8="房地产抵押价值",H107,H109)</f>
        <v>11597</v>
      </c>
      <c r="N49" s="3249"/>
      <c r="O49" s="3249"/>
    </row>
    <row r="50" spans="1:35" ht="25.5" customHeight="1">
      <c r="A50" s="2772"/>
      <c r="B50" s="3160" t="s">
        <v>2030</v>
      </c>
      <c r="C50" s="3160"/>
      <c r="D50" s="2773"/>
      <c r="E50" s="338"/>
      <c r="F50" s="2645"/>
      <c r="G50" s="3234"/>
      <c r="H50" s="2530" t="s">
        <v>2877</v>
      </c>
      <c r="I50" s="2529"/>
      <c r="J50" s="3246" t="s">
        <v>2031</v>
      </c>
      <c r="K50" s="3246"/>
      <c r="L50" s="3246"/>
      <c r="M50" s="3246"/>
      <c r="N50" s="3246"/>
      <c r="O50" s="3246"/>
    </row>
    <row r="51" spans="1:35" ht="20.45" customHeight="1">
      <c r="A51" s="2774"/>
      <c r="B51" s="3160" t="s">
        <v>2032</v>
      </c>
      <c r="C51" s="3160"/>
      <c r="D51" s="1247"/>
      <c r="E51" s="333"/>
      <c r="F51" s="2645"/>
      <c r="G51" s="3235"/>
      <c r="H51" s="2530" t="s">
        <v>2878</v>
      </c>
      <c r="I51" s="2529"/>
      <c r="J51" s="2745" t="s">
        <v>2033</v>
      </c>
      <c r="K51" s="3227" t="s">
        <v>2034</v>
      </c>
      <c r="L51" s="3227"/>
      <c r="M51" s="2745" t="s">
        <v>2035</v>
      </c>
      <c r="N51" s="2745" t="s">
        <v>2036</v>
      </c>
      <c r="O51" s="2745" t="s">
        <v>2037</v>
      </c>
    </row>
    <row r="52" spans="1:35" ht="24" customHeight="1">
      <c r="A52" s="2558" t="s">
        <v>2038</v>
      </c>
      <c r="B52" s="3160" t="s">
        <v>2039</v>
      </c>
      <c r="C52" s="3160"/>
      <c r="D52" s="1247">
        <f ca="1">ROUND(D45*'数据-取费表'!B41/(1+'数据-取费表'!C42),0)</f>
        <v>607</v>
      </c>
      <c r="E52" s="2557" t="s">
        <v>2040</v>
      </c>
      <c r="F52" s="2775">
        <f>'数据-取费表'!B41</f>
        <v>5.5000000000000007E-2</v>
      </c>
      <c r="G52" s="2776"/>
      <c r="H52" s="2765"/>
      <c r="I52" s="1993"/>
      <c r="J52" s="2744">
        <v>1</v>
      </c>
      <c r="K52" s="3228" t="s">
        <v>2041</v>
      </c>
      <c r="L52" s="3228"/>
      <c r="M52" s="2746" t="b">
        <f>D48</f>
        <v>0</v>
      </c>
      <c r="N52" s="2744" t="str">
        <f>E48</f>
        <v>销售额×税（费）率</v>
      </c>
      <c r="O52" s="2747">
        <f>F48</f>
        <v>5.5000000000000007E-2</v>
      </c>
    </row>
    <row r="53" spans="1:35" ht="12" customHeight="1">
      <c r="A53" s="2558" t="s">
        <v>2042</v>
      </c>
      <c r="B53" s="3186" t="s">
        <v>3037</v>
      </c>
      <c r="C53" s="3187"/>
      <c r="D53" s="1247">
        <f ca="1">ROUND(D45*'数据-取费表'!B41/(1+'数据-取费表'!C42),0)</f>
        <v>607</v>
      </c>
      <c r="E53" s="2557" t="s">
        <v>2040</v>
      </c>
      <c r="F53" s="2775">
        <f>'数据-取费表'!B41</f>
        <v>5.5000000000000007E-2</v>
      </c>
      <c r="G53" s="2776"/>
      <c r="H53" s="2765"/>
      <c r="I53" s="1993"/>
      <c r="J53" s="2744">
        <v>2</v>
      </c>
      <c r="K53" s="3228" t="s">
        <v>2043</v>
      </c>
      <c r="L53" s="3228"/>
      <c r="M53" s="2746">
        <f t="shared" ref="M53:O54" ca="1" si="0">D55</f>
        <v>6</v>
      </c>
      <c r="N53" s="2744" t="str">
        <f t="shared" si="0"/>
        <v>销售额×税（费）率</v>
      </c>
      <c r="O53" s="2747" t="str">
        <f t="shared" si="0"/>
        <v>免征</v>
      </c>
    </row>
    <row r="54" spans="1:35" ht="12" customHeight="1">
      <c r="A54" s="2558" t="s">
        <v>2044</v>
      </c>
      <c r="B54" s="3186" t="s">
        <v>3038</v>
      </c>
      <c r="C54" s="3187"/>
      <c r="D54" s="1247">
        <f ca="1">C68</f>
        <v>607</v>
      </c>
      <c r="E54" s="333" t="s">
        <v>2045</v>
      </c>
      <c r="F54" s="2775">
        <f>'数据-取费表'!B41</f>
        <v>5.5000000000000007E-2</v>
      </c>
      <c r="G54" s="2776"/>
      <c r="H54" s="2777"/>
      <c r="I54" s="1993"/>
      <c r="J54" s="2744">
        <v>3</v>
      </c>
      <c r="K54" s="3228" t="s">
        <v>2046</v>
      </c>
      <c r="L54" s="3228"/>
      <c r="M54" s="2746">
        <f t="shared" ca="1" si="0"/>
        <v>6575</v>
      </c>
      <c r="N54" s="2744" t="str">
        <f t="shared" si="0"/>
        <v>增值额×税（费）率</v>
      </c>
      <c r="O54" s="2748" t="str">
        <f t="shared" si="0"/>
        <v>免征</v>
      </c>
    </row>
    <row r="55" spans="1:35" ht="24" customHeight="1">
      <c r="A55" s="3175" t="s">
        <v>2047</v>
      </c>
      <c r="B55" s="3176"/>
      <c r="C55" s="3176"/>
      <c r="D55" s="2547">
        <f ca="1">IF(H55="个人住宅",0,ROUND(D45*I55,0))</f>
        <v>6</v>
      </c>
      <c r="E55" s="2557" t="s">
        <v>2048</v>
      </c>
      <c r="F55" s="2775" t="str">
        <f>IF(H55="正常",I55,"免征")</f>
        <v>免征</v>
      </c>
      <c r="G55" s="2776"/>
      <c r="H55" s="2771"/>
      <c r="I55" s="170">
        <f>'数据-取费表'!B49</f>
        <v>5.0000000000000001E-4</v>
      </c>
      <c r="J55" s="2744">
        <f>IF(H59="非个人房产","",4)</f>
        <v>4</v>
      </c>
      <c r="K55" s="3228" t="str">
        <f>IF(H59="非个人房产","——","个人所得税")</f>
        <v>个人所得税</v>
      </c>
      <c r="L55" s="3228"/>
      <c r="M55" s="2749">
        <f ca="1">D59</f>
        <v>110</v>
      </c>
      <c r="N55" s="2228" t="str">
        <f>E59</f>
        <v>差额计税</v>
      </c>
      <c r="O55" s="2750">
        <f>F59</f>
        <v>0.01</v>
      </c>
    </row>
    <row r="56" spans="1:35" ht="24.75">
      <c r="A56" s="3175" t="s">
        <v>2049</v>
      </c>
      <c r="B56" s="3176"/>
      <c r="C56" s="3176"/>
      <c r="D56" s="2547">
        <f ca="1">IF(H56="个人住宅",D57,D58)</f>
        <v>6575</v>
      </c>
      <c r="E56" s="2557" t="s">
        <v>2050</v>
      </c>
      <c r="F56" s="2775" t="str">
        <f>IF(H56="正常",F58,"免征")</f>
        <v>免征</v>
      </c>
      <c r="G56" s="2778" t="s">
        <v>2051</v>
      </c>
      <c r="H56" s="2779"/>
      <c r="I56" s="1994"/>
      <c r="J56" s="2744" t="str">
        <f>IF(项目基本情况!K6="上海银行",IF(J55="",4,J55+1),"")</f>
        <v/>
      </c>
      <c r="K56" s="3251" t="str">
        <f>IF(项目基本情况!K6="上海银行","其他处置费用","")</f>
        <v/>
      </c>
      <c r="L56" s="3252"/>
      <c r="M56" s="2746" t="str">
        <f>IF(项目基本情况!K6="上海银行",M69,"")</f>
        <v/>
      </c>
      <c r="N56" s="3251" t="str">
        <f>IF(项目基本情况!K6="上海银行","包含处置中涉及的律师、诉讼、拍卖、评估等费用","")</f>
        <v/>
      </c>
      <c r="O56" s="3254"/>
    </row>
    <row r="57" spans="1:35" ht="12.75">
      <c r="A57" s="2558" t="s">
        <v>2027</v>
      </c>
      <c r="B57" s="3186" t="s">
        <v>2052</v>
      </c>
      <c r="C57" s="3187"/>
      <c r="D57" s="1775">
        <v>0</v>
      </c>
      <c r="E57" s="330" t="s">
        <v>2029</v>
      </c>
      <c r="F57" s="308"/>
      <c r="G57" s="2776"/>
      <c r="H57" s="2780"/>
      <c r="I57" s="1994"/>
      <c r="J57" s="3228">
        <f>IF(AND(J55="",J56=""),4,IF(项目基本情况!K6="上海银行",结果表!J56+1,结果表!J55+1))</f>
        <v>5</v>
      </c>
      <c r="K57" s="3228" t="s">
        <v>2053</v>
      </c>
      <c r="L57" s="2751" t="s">
        <v>2054</v>
      </c>
      <c r="M57" s="2752"/>
      <c r="N57" s="2753">
        <f ca="1">SUMIF(M52:M56,"&lt;9e307")</f>
        <v>6691</v>
      </c>
      <c r="O57" s="2754"/>
      <c r="P57" s="2913">
        <f ca="1">N57/M49</f>
        <v>0.57695955850651026</v>
      </c>
    </row>
    <row r="58" spans="1:35" ht="24.75">
      <c r="A58" s="2558" t="s">
        <v>2038</v>
      </c>
      <c r="B58" s="3186" t="s">
        <v>2055</v>
      </c>
      <c r="C58" s="3160"/>
      <c r="D58" s="2547">
        <f ca="1">IF(H58="转让取得",C81,C97)</f>
        <v>6575</v>
      </c>
      <c r="E58" s="2557" t="s">
        <v>2050</v>
      </c>
      <c r="F58" s="308" t="s">
        <v>34</v>
      </c>
      <c r="G58" s="2776"/>
      <c r="H58" s="2779"/>
      <c r="I58" s="1994"/>
      <c r="J58" s="3228"/>
      <c r="K58" s="3228"/>
      <c r="L58" s="2751" t="s">
        <v>2056</v>
      </c>
      <c r="M58" s="2755"/>
      <c r="N58" s="2756" t="str">
        <f ca="1">NUMBERSTRING(INT(N57*10000),2)&amp;"元整"</f>
        <v>陆仟陆佰玖拾壹万元整</v>
      </c>
      <c r="O58" s="2757"/>
    </row>
    <row r="59" spans="1:35" ht="24.75" thickBot="1">
      <c r="A59" s="3231" t="s">
        <v>2057</v>
      </c>
      <c r="B59" s="3232"/>
      <c r="C59" s="3232"/>
      <c r="D59" s="2781">
        <f ca="1">IF(H59="非个人房产","——",IF(H59="个人住宅（满五唯一有凭证）",0,IF(H59="个人其他（无凭证）",ROUND(D45*F59,0),ROUND(C67*F59,0))))</f>
        <v>110</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2051</v>
      </c>
      <c r="H59" s="2532"/>
      <c r="I59" s="2531" t="s">
        <v>2879</v>
      </c>
      <c r="J59" s="3229">
        <f>J57+1</f>
        <v>6</v>
      </c>
      <c r="K59" s="3228" t="s">
        <v>2058</v>
      </c>
      <c r="L59" s="2744" t="s">
        <v>2054</v>
      </c>
      <c r="M59" s="2758"/>
      <c r="N59" s="2759">
        <f ca="1">M49-N57</f>
        <v>4906</v>
      </c>
      <c r="O59" s="2760"/>
    </row>
    <row r="60" spans="1:35" ht="12" customHeight="1">
      <c r="A60" s="1995"/>
      <c r="B60" s="1933"/>
      <c r="C60" s="1933"/>
      <c r="D60" s="1933"/>
      <c r="E60" s="1763"/>
      <c r="F60" s="1994"/>
      <c r="G60" s="1994"/>
      <c r="H60" s="1996"/>
      <c r="I60" s="134"/>
      <c r="J60" s="3230"/>
      <c r="K60" s="3228"/>
      <c r="L60" s="2751" t="s">
        <v>2056</v>
      </c>
      <c r="M60" s="2755"/>
      <c r="N60" s="2756" t="str">
        <f ca="1">NUMBERSTRING(INT(N59*10000),2)&amp;"元整"</f>
        <v>肆仟玖佰零陆万元整</v>
      </c>
      <c r="O60" s="2757"/>
    </row>
    <row r="61" spans="1:35" ht="13.5" thickBot="1">
      <c r="A61" s="3173" t="s">
        <v>2059</v>
      </c>
      <c r="B61" s="3173"/>
      <c r="C61" s="3173"/>
      <c r="D61" s="3173"/>
      <c r="E61" s="3173"/>
      <c r="F61" s="1994"/>
      <c r="G61" s="1994"/>
      <c r="H61" s="1996"/>
      <c r="I61" s="134"/>
      <c r="J61" s="2744">
        <f>J59+1</f>
        <v>7</v>
      </c>
      <c r="K61" s="3228" t="s">
        <v>2060</v>
      </c>
      <c r="L61" s="3228"/>
      <c r="M61" s="2761"/>
      <c r="N61" s="2762">
        <f ca="1">ROUND(N59*10000/'数据-汇总表'!E3,0)</f>
        <v>1712</v>
      </c>
      <c r="O61" s="2763"/>
    </row>
    <row r="62" spans="1:35" ht="12.75">
      <c r="A62" s="3191" t="s">
        <v>2061</v>
      </c>
      <c r="B62" s="3192"/>
      <c r="C62" s="2209"/>
      <c r="D62" s="2209" t="s">
        <v>2062</v>
      </c>
      <c r="E62" s="171" t="s">
        <v>2063</v>
      </c>
      <c r="F62" s="1994"/>
      <c r="G62" s="1994"/>
      <c r="H62" s="1996"/>
      <c r="I62" s="134"/>
    </row>
    <row r="63" spans="1:35" ht="12.75">
      <c r="A63" s="178" t="s">
        <v>775</v>
      </c>
      <c r="B63" s="172" t="s">
        <v>2064</v>
      </c>
      <c r="C63" s="2785">
        <f ca="1">ROUND((C64+C65)/(1+'数据-取费表'!C42),0)</f>
        <v>11045</v>
      </c>
      <c r="D63" s="172"/>
      <c r="E63" s="173"/>
      <c r="F63" s="1994"/>
      <c r="G63" s="1994"/>
      <c r="H63" s="1996"/>
      <c r="I63" s="134"/>
      <c r="J63" s="3253" t="s">
        <v>2065</v>
      </c>
      <c r="K63" s="1501" t="s">
        <v>2066</v>
      </c>
      <c r="L63" s="1501">
        <f ca="1">IF(M49&gt;10000,M49*0.5%,IF(AND(M49&gt;1000,M49&lt;=10000),M49*1%,IF(AND(M49&gt;100,M49&lt;=1000),M49*3%,IF(AND(M49&gt;10,M49&lt;=100),M49*5%,M49*8%))))</f>
        <v>57.984999999999999</v>
      </c>
      <c r="M63" s="308">
        <f ca="1">ROUND(L63,1)</f>
        <v>58</v>
      </c>
      <c r="N63" s="2764"/>
      <c r="Z63" s="1938"/>
      <c r="AI63" s="1939"/>
    </row>
    <row r="64" spans="1:35" ht="14.25" customHeight="1">
      <c r="A64" s="174" t="s">
        <v>770</v>
      </c>
      <c r="B64" s="175" t="s">
        <v>2067</v>
      </c>
      <c r="C64" s="2786">
        <f ca="1">D45</f>
        <v>11597</v>
      </c>
      <c r="D64" s="175" t="s">
        <v>32</v>
      </c>
      <c r="E64" s="177"/>
      <c r="F64" s="1994"/>
      <c r="G64" s="1994"/>
      <c r="H64" s="1996"/>
      <c r="I64" s="134"/>
      <c r="J64" s="3253"/>
      <c r="K64" s="1501" t="s">
        <v>2068</v>
      </c>
      <c r="L64" s="1501">
        <f ca="1">IF(M49&gt;2000,M49*0.5%,IF(AND(M49&gt;1000,M49&lt;=2000),M49*0.6%,IF(AND(M49&gt;500,M49&lt;=1000),M49*0.7%,IF(AND(M49&gt;200,M49&lt;=500),M49*0.8%,IF(AND(M49&gt;100,M49&lt;=200),M49*0.9%,IF(AND(M49&gt;50,M49&lt;=100),M49*1%,IF(AND(M49&gt;20,M49&lt;=50),M49*1.5%,IF(AND(M49&gt;10,M49&lt;=20),M49*2%,IF(AND(M49&gt;1,M49&lt;=10),M49*2.5%)))))))))</f>
        <v>57.984999999999999</v>
      </c>
      <c r="M64" s="308">
        <f t="shared" ref="M64:M65" ca="1" si="1">ROUND(L64,1)</f>
        <v>58</v>
      </c>
      <c r="N64" s="2765" t="s">
        <v>2069</v>
      </c>
      <c r="Z64" s="1938"/>
      <c r="AI64" s="1939"/>
    </row>
    <row r="65" spans="1:35" ht="14.25" customHeight="1">
      <c r="A65" s="174" t="s">
        <v>771</v>
      </c>
      <c r="B65" s="175" t="s">
        <v>2070</v>
      </c>
      <c r="C65" s="2787"/>
      <c r="D65" s="175"/>
      <c r="E65" s="177"/>
      <c r="F65" s="1994"/>
      <c r="G65" s="1994"/>
      <c r="H65" s="1996"/>
      <c r="I65" s="134"/>
      <c r="J65" s="3253"/>
      <c r="K65" s="1501" t="s">
        <v>2071</v>
      </c>
      <c r="L65" s="1501">
        <f ca="1">IF(M49&gt;1000,M49*0.1%,IF(AND(M49&gt;500,M49&lt;=1000),M49*0.5%,IF(AND(M49&gt;50,M49&lt;=500),M49*1%,IF(AND(M49&gt;1,M49&lt;=50),M49*1.5%))))</f>
        <v>11.597</v>
      </c>
      <c r="M65" s="308">
        <f t="shared" ca="1" si="1"/>
        <v>11.6</v>
      </c>
      <c r="N65" s="2765" t="s">
        <v>2069</v>
      </c>
      <c r="Z65" s="1938"/>
      <c r="AI65" s="1939"/>
    </row>
    <row r="66" spans="1:35" ht="14.25" customHeight="1">
      <c r="A66" s="178" t="s">
        <v>772</v>
      </c>
      <c r="B66" s="179" t="s">
        <v>2072</v>
      </c>
      <c r="C66" s="2788"/>
      <c r="D66" s="179" t="s">
        <v>32</v>
      </c>
      <c r="E66" s="1509" t="s">
        <v>1337</v>
      </c>
      <c r="F66" s="1994"/>
      <c r="G66" s="1994"/>
      <c r="H66" s="1996"/>
      <c r="I66" s="134"/>
      <c r="J66" s="3253"/>
      <c r="K66" s="1501" t="s">
        <v>2073</v>
      </c>
      <c r="L66" s="1501">
        <f ca="1">M49*0.5%</f>
        <v>57.984999999999999</v>
      </c>
      <c r="M66" s="308">
        <f ca="1">IF(L66&gt;0.5,0.5,ROUND(L66,0))</f>
        <v>0.5</v>
      </c>
      <c r="N66" s="2765" t="s">
        <v>2074</v>
      </c>
      <c r="Z66" s="1938"/>
      <c r="AI66" s="1939"/>
    </row>
    <row r="67" spans="1:35" ht="14.25" customHeight="1">
      <c r="A67" s="178" t="s">
        <v>773</v>
      </c>
      <c r="B67" s="179" t="s">
        <v>2075</v>
      </c>
      <c r="C67" s="2789">
        <f ca="1">C63-C66</f>
        <v>11045</v>
      </c>
      <c r="D67" s="175" t="s">
        <v>32</v>
      </c>
      <c r="E67" s="177"/>
      <c r="F67" s="1994"/>
      <c r="G67" s="1994"/>
      <c r="H67" s="1996"/>
      <c r="I67" s="134"/>
      <c r="J67" s="3253"/>
      <c r="K67" s="1501" t="s">
        <v>2076</v>
      </c>
      <c r="L67" s="1501">
        <f ca="1">IF(M49&gt;=10000,(8.25+(M49-10000)*0.01%),IF(AND(M49&gt;=8000,M49&lt;10000),(7.85+(M49-8000)*0.02%),IF(AND(M49&gt;=5000,M49&lt;8000),(6.65+(M49-5000)*0.04%),IF(AND(M49&gt;=2000,M49&lt;5000),(4.25+(PM49-2000)*0.08%),IF(AND(M49&gt;=1000,M49&lt;2000),(2.75+(M49-1000)*0.15%),IF(AND(M49&gt;=100,M49&lt;1000),(0.5+(M49-100)*0.25%),IF(AND(M49&gt;0,M49&lt;100),M49*0.5%)))))))</f>
        <v>8.4097000000000008</v>
      </c>
      <c r="M67" s="308">
        <f ca="1">ROUND(L67*0.9,1)</f>
        <v>7.6</v>
      </c>
      <c r="N67" s="2764"/>
      <c r="Z67" s="1938"/>
      <c r="AI67" s="1939"/>
    </row>
    <row r="68" spans="1:35" ht="14.25" customHeight="1" thickBot="1">
      <c r="A68" s="181" t="s">
        <v>774</v>
      </c>
      <c r="B68" s="182" t="s">
        <v>2077</v>
      </c>
      <c r="C68" s="2790">
        <f ca="1">IF(C67&lt;=0,0,ROUND(C67*D68,0))</f>
        <v>607</v>
      </c>
      <c r="D68" s="2791">
        <f>'数据-取费表'!B41</f>
        <v>5.5000000000000007E-2</v>
      </c>
      <c r="E68" s="184"/>
      <c r="F68" s="1994"/>
      <c r="G68" s="1994"/>
      <c r="H68" s="1996"/>
      <c r="I68" s="134"/>
      <c r="J68" s="3253"/>
      <c r="K68" s="1501" t="s">
        <v>2078</v>
      </c>
      <c r="L68" s="1501">
        <f ca="1">IF(M49&gt;10000,M49*0.5%,IF(AND(M49&gt;5000,M49&lt;=10000),M49*1%,IF(AND(M49&gt;1000,M49&lt;=5000),M49*2%,IF(AND(M49&gt;200,M49&lt;=1000),M49*3%,M49*5%))))</f>
        <v>57.984999999999999</v>
      </c>
      <c r="M68" s="308">
        <f ca="1">ROUND(L68,1)</f>
        <v>58</v>
      </c>
      <c r="N68" s="2764"/>
      <c r="Z68" s="1938"/>
      <c r="AI68" s="1939"/>
    </row>
    <row r="69" spans="1:35" s="1958" customFormat="1" ht="16.5" customHeight="1">
      <c r="A69" s="1997"/>
      <c r="B69" s="1998"/>
      <c r="C69" s="1999"/>
      <c r="D69" s="2000"/>
      <c r="E69" s="2001"/>
      <c r="F69" s="1763"/>
      <c r="G69" s="1763"/>
      <c r="H69" s="1762"/>
      <c r="I69" s="1933"/>
      <c r="J69" s="3253"/>
      <c r="K69" s="1501" t="s">
        <v>2079</v>
      </c>
      <c r="L69" s="1501"/>
      <c r="M69" s="308">
        <f ca="1">ROUND(SUM(M63:M68),0)</f>
        <v>194</v>
      </c>
      <c r="N69" s="2766">
        <f ca="1">M69/M49</f>
        <v>1.6728464257997757E-2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2" t="s">
        <v>2080</v>
      </c>
      <c r="B70" s="3213"/>
      <c r="C70" s="3213"/>
      <c r="D70" s="3213"/>
      <c r="E70" s="3213"/>
      <c r="F70" s="3213"/>
      <c r="G70" s="3213"/>
      <c r="H70" s="3213"/>
      <c r="I70" s="2002"/>
      <c r="J70" s="2914"/>
      <c r="K70" s="2914"/>
      <c r="L70" s="2914"/>
      <c r="M70" s="2914"/>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1" t="s">
        <v>2061</v>
      </c>
      <c r="B71" s="3192"/>
      <c r="C71" s="2209"/>
      <c r="D71" s="2209" t="s">
        <v>2062</v>
      </c>
      <c r="E71" s="185" t="s">
        <v>2063</v>
      </c>
      <c r="F71" s="186"/>
      <c r="G71" s="186"/>
      <c r="H71" s="187"/>
      <c r="I71" s="2006"/>
      <c r="J71" s="2914"/>
      <c r="K71" s="2914"/>
      <c r="L71" s="2914"/>
      <c r="M71" s="2914"/>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9">
        <f ca="1">ROUND(D45/(1+'数据-取费表'!C42),0)</f>
        <v>11045</v>
      </c>
      <c r="D72" s="175" t="s">
        <v>32</v>
      </c>
      <c r="E72" s="2554"/>
      <c r="F72" s="2553"/>
      <c r="G72" s="2553"/>
      <c r="H72" s="188"/>
      <c r="I72" s="2006"/>
      <c r="J72" s="2914"/>
      <c r="K72" s="2914"/>
      <c r="L72" s="2914"/>
      <c r="M72" s="2914"/>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9">
        <f ca="1">C74+C78</f>
        <v>55</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2"/>
      <c r="D75" s="175" t="s">
        <v>32</v>
      </c>
      <c r="E75" s="190" t="s">
        <v>2085</v>
      </c>
      <c r="F75" s="2793"/>
      <c r="G75" s="190" t="s">
        <v>2086</v>
      </c>
      <c r="H75" s="2794"/>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5">
        <v>0.05</v>
      </c>
      <c r="E76" s="3186" t="s">
        <v>2088</v>
      </c>
      <c r="F76" s="3160"/>
      <c r="G76" s="3160"/>
      <c r="H76" s="3211"/>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6">
        <f>'数据-取费表'!B48+'数据-取费表'!B49</f>
        <v>4.0500000000000001E-2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7">
        <f ca="1">ROUND(D45*D78/(1+'数据-取费表'!C42),0)</f>
        <v>55</v>
      </c>
      <c r="D78" s="2798">
        <f>'数据-取费表'!B43</f>
        <v>5.000000000000001E-3</v>
      </c>
      <c r="E78" s="3170" t="s">
        <v>2092</v>
      </c>
      <c r="F78" s="3171"/>
      <c r="G78" s="3171"/>
      <c r="H78" s="318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89">
        <f ca="1">C72-C73</f>
        <v>10990</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9">
        <f ca="1">IF(C79&lt;=0,0,C79/C73)</f>
        <v>199.81818181818181</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0">
        <f ca="1">ROUND(IF(C79&lt;=0,0,IF(C80&gt;=200%,C79*60%-C73*35%,IF(C80&gt;=100%,C79*50%-C73*15%,IF(C80&gt;=50%,C79*40%-C73*5%,IF(C80&lt;50%,C79*30%,0))))),0)</f>
        <v>6575</v>
      </c>
      <c r="D81" s="280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2" t="s">
        <v>2096</v>
      </c>
      <c r="B83" s="3213"/>
      <c r="C83" s="3213"/>
      <c r="D83" s="3213"/>
      <c r="E83" s="3213"/>
      <c r="F83" s="3213"/>
      <c r="G83" s="3213"/>
      <c r="H83" s="3213"/>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1" t="s">
        <v>2061</v>
      </c>
      <c r="B84" s="3192"/>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9">
        <f ca="1">ROUND(D45/(1+'数据-取费表'!C42),0)</f>
        <v>11045</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9">
        <f ca="1">IF(H88="仅含出让金",C87+C90+C91+C92+C93+C94,C87+C91+C92+C93+C94)</f>
        <v>55</v>
      </c>
      <c r="D86" s="2802"/>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7">
        <f>C88+C89</f>
        <v>0</v>
      </c>
      <c r="D87" s="2798"/>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3"/>
      <c r="D88" s="2798"/>
      <c r="E88" s="199" t="s">
        <v>2099</v>
      </c>
      <c r="F88" s="2550"/>
      <c r="G88" s="200" t="s">
        <v>2100</v>
      </c>
      <c r="H88" s="2010"/>
      <c r="I88" s="2007"/>
      <c r="J88" s="2742"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7">
        <f>ROUND(C88*D89,0)</f>
        <v>0</v>
      </c>
      <c r="D89" s="2798">
        <f>'数据-取费表'!B48+'数据-取费表'!B49</f>
        <v>4.0500000000000001E-2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3"/>
      <c r="D90" s="2798"/>
      <c r="E90" s="199" t="str">
        <f>IF(H88="-","土地取得成本中已包含该笔费用"," ")</f>
        <v xml:space="preserve"> </v>
      </c>
      <c r="F90" s="2550"/>
      <c r="G90" s="3255" t="s">
        <v>2871</v>
      </c>
      <c r="H90" s="3256"/>
      <c r="I90" s="2007"/>
      <c r="J90" s="2742"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7">
        <f>IF(H91="——",成本法!C33,I91)</f>
        <v>0</v>
      </c>
      <c r="D91" s="2798"/>
      <c r="E91" s="3170" t="s">
        <v>2105</v>
      </c>
      <c r="F91" s="3171"/>
      <c r="G91" s="317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7">
        <f>ROUND((C87+C90+C91)*D92,0)</f>
        <v>0</v>
      </c>
      <c r="D92" s="2804"/>
      <c r="E92" s="3170" t="s">
        <v>2108</v>
      </c>
      <c r="F92" s="3171"/>
      <c r="G92" s="3171"/>
      <c r="H92" s="3180"/>
      <c r="I92" s="2007"/>
      <c r="J92" s="2743"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7">
        <f ca="1">ROUND(D45*D93/(1+'数据-取费表'!C42),0)</f>
        <v>55</v>
      </c>
      <c r="D93" s="2798">
        <f>'数据-取费表'!B43</f>
        <v>5.000000000000001E-3</v>
      </c>
      <c r="E93" s="3170" t="s">
        <v>2092</v>
      </c>
      <c r="F93" s="3171"/>
      <c r="G93" s="3171"/>
      <c r="H93" s="318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3">
        <f>ROUND((C87+C90+C91)*D94,0)</f>
        <v>0</v>
      </c>
      <c r="D94" s="2798">
        <v>0.2</v>
      </c>
      <c r="E94" s="3181" t="s">
        <v>2112</v>
      </c>
      <c r="F94" s="3182"/>
      <c r="G94" s="3182"/>
      <c r="H94" s="318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89">
        <f ca="1">ROUND(C85-C86,0)</f>
        <v>10990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9">
        <f ca="1">IF(C95&lt;=0,0,C95/C86)</f>
        <v>199.81818181818181</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0">
        <f ca="1">ROUND(IF(C95&lt;=0,0,IF(C96&gt;=200%,C95*60%-C86*35%,IF(C96&gt;=100%,C95*50%-C86*15%,IF(C96&gt;=50%,C95*40%-C86*5%,IF(C96&lt;50%,C95*30%,0))))),0)</f>
        <v>6575</v>
      </c>
      <c r="D97" s="280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4" t="s">
        <v>2114</v>
      </c>
      <c r="B100" s="3155"/>
      <c r="C100" s="3155"/>
      <c r="D100" s="3172"/>
      <c r="E100" s="3155" t="s">
        <v>2115</v>
      </c>
      <c r="F100" s="3155"/>
      <c r="G100" s="3155"/>
      <c r="H100" s="3172"/>
      <c r="I100" s="134"/>
    </row>
    <row r="101" spans="1:35" ht="18.75" customHeight="1">
      <c r="A101" s="3236" t="s">
        <v>2116</v>
      </c>
      <c r="B101" s="3237"/>
      <c r="C101" s="2806" t="str">
        <f>C4</f>
        <v>成本法</v>
      </c>
      <c r="D101" s="2807" t="str">
        <f>D4</f>
        <v>收益法</v>
      </c>
      <c r="E101" s="3250" t="s">
        <v>2117</v>
      </c>
      <c r="F101" s="3204"/>
      <c r="G101" s="2013" t="s">
        <v>2118</v>
      </c>
      <c r="H101" s="2816">
        <f ca="1">H118</f>
        <v>11597</v>
      </c>
      <c r="I101" s="134"/>
    </row>
    <row r="102" spans="1:35" ht="18.75" customHeight="1">
      <c r="A102" s="3206" t="s">
        <v>2119</v>
      </c>
      <c r="B102" s="2805" t="s">
        <v>2118</v>
      </c>
      <c r="C102" s="2806">
        <f ca="1">C19</f>
        <v>11891</v>
      </c>
      <c r="D102" s="2807">
        <f ca="1">D19</f>
        <v>11303</v>
      </c>
      <c r="E102" s="3250"/>
      <c r="F102" s="3204"/>
      <c r="G102" s="2013" t="s">
        <v>2120</v>
      </c>
      <c r="H102" s="2776">
        <f ca="1">I118</f>
        <v>4046</v>
      </c>
      <c r="I102" s="134"/>
    </row>
    <row r="103" spans="1:35" ht="42.75" customHeight="1">
      <c r="A103" s="3206"/>
      <c r="B103" s="2805" t="s">
        <v>2120</v>
      </c>
      <c r="C103" s="2808">
        <f ca="1">C20</f>
        <v>4149</v>
      </c>
      <c r="D103" s="2809">
        <f ca="1">D20</f>
        <v>3944</v>
      </c>
      <c r="E103" s="3244" t="s">
        <v>2121</v>
      </c>
      <c r="F103" s="3245"/>
      <c r="G103" s="2014" t="s">
        <v>2122</v>
      </c>
      <c r="H103" s="2816">
        <f>IF(D36="正常操作",H104+H105+H106,H105+H106)</f>
        <v>0</v>
      </c>
      <c r="I103" s="134"/>
    </row>
    <row r="104" spans="1:35" ht="18.75" customHeight="1">
      <c r="A104" s="3206" t="s">
        <v>2123</v>
      </c>
      <c r="B104" s="2810" t="s">
        <v>2118</v>
      </c>
      <c r="C104" s="2811">
        <f ca="1">H118</f>
        <v>11597</v>
      </c>
      <c r="D104" s="2812"/>
      <c r="E104" s="1860" t="s">
        <v>2124</v>
      </c>
      <c r="F104" s="1851"/>
      <c r="G104" s="2014" t="s">
        <v>2122</v>
      </c>
      <c r="H104" s="2817">
        <f>IF(D36="同一抵押权人同一抵押物续贷",C36&amp;"（续贷，未扣减，详见特别提示）",C36)</f>
        <v>0</v>
      </c>
      <c r="I104" s="134"/>
    </row>
    <row r="105" spans="1:35" ht="18.75" customHeight="1" thickBot="1">
      <c r="A105" s="3207"/>
      <c r="B105" s="2813" t="s">
        <v>2120</v>
      </c>
      <c r="C105" s="2814">
        <f ca="1">I118</f>
        <v>4046</v>
      </c>
      <c r="D105" s="2815"/>
      <c r="E105" s="1860" t="s">
        <v>2125</v>
      </c>
      <c r="F105" s="1851"/>
      <c r="G105" s="2014" t="s">
        <v>2122</v>
      </c>
      <c r="H105" s="2818">
        <f>C37</f>
        <v>0</v>
      </c>
      <c r="I105" s="134"/>
    </row>
    <row r="106" spans="1:35" ht="18.75" customHeight="1">
      <c r="A106" s="1933" t="s">
        <v>2126</v>
      </c>
      <c r="B106" s="1933"/>
      <c r="C106" s="1933"/>
      <c r="D106" s="1933"/>
      <c r="E106" s="2015" t="s">
        <v>2127</v>
      </c>
      <c r="F106" s="1851"/>
      <c r="G106" s="2014" t="s">
        <v>2122</v>
      </c>
      <c r="H106" s="2818">
        <f>C38</f>
        <v>0</v>
      </c>
      <c r="I106" s="134"/>
    </row>
    <row r="107" spans="1:35" ht="18.75" customHeight="1">
      <c r="A107" s="134"/>
      <c r="B107" s="134"/>
      <c r="C107" s="134"/>
      <c r="D107" s="134"/>
      <c r="E107" s="3203" t="str">
        <f>IF(项目基本情况!E8="已注销","——","3.房地产抵押价值")</f>
        <v>3.房地产抵押价值</v>
      </c>
      <c r="F107" s="3204"/>
      <c r="G107" s="2013" t="s">
        <v>2118</v>
      </c>
      <c r="H107" s="2816">
        <f ca="1">IF(E107="——","——",H101-H103)</f>
        <v>11597</v>
      </c>
      <c r="I107" s="134"/>
    </row>
    <row r="108" spans="1:35" ht="18.75" customHeight="1">
      <c r="A108" s="134"/>
      <c r="B108" s="134"/>
      <c r="C108" s="134"/>
      <c r="D108" s="134"/>
      <c r="E108" s="3203"/>
      <c r="F108" s="3204"/>
      <c r="G108" s="2013" t="s">
        <v>2120</v>
      </c>
      <c r="H108" s="2776">
        <f ca="1">ROUND(H107*10000/'数据-汇总表'!E3,0)</f>
        <v>4046</v>
      </c>
      <c r="I108" s="134"/>
    </row>
    <row r="109" spans="1:35" ht="18.75" customHeight="1">
      <c r="A109" s="134"/>
      <c r="B109" s="134"/>
      <c r="C109" s="134"/>
      <c r="D109" s="134"/>
      <c r="E109" s="3203" t="str">
        <f>IF(项目基本情况!E8="已注销及未注销","4.抵押担保权已注销时的房地产抵押价值",IF(项目基本情况!E8="已注销","3.抵押担保权已注销时的房地产抵押价值","——"))</f>
        <v>——</v>
      </c>
      <c r="F109" s="3204"/>
      <c r="G109" s="2013" t="s">
        <v>2118</v>
      </c>
      <c r="H109" s="2819" t="str">
        <f>IF(E109="——","——",H101-H105-H106)</f>
        <v>——</v>
      </c>
      <c r="I109" s="134"/>
    </row>
    <row r="110" spans="1:35" ht="18.75" customHeight="1">
      <c r="A110" s="134"/>
      <c r="B110" s="134"/>
      <c r="C110" s="134"/>
      <c r="D110" s="134"/>
      <c r="E110" s="3203"/>
      <c r="F110" s="3204"/>
      <c r="G110" s="2013" t="s">
        <v>2120</v>
      </c>
      <c r="H110" s="2776" t="str">
        <f>IF(H109="——","——",ROUND(H109*10000/'数据-汇总表'!E3,0))</f>
        <v>——</v>
      </c>
      <c r="I110" s="134"/>
    </row>
    <row r="111" spans="1:35" ht="18.75" customHeight="1">
      <c r="A111" s="134"/>
      <c r="B111" s="134"/>
      <c r="C111" s="134"/>
      <c r="D111" s="134"/>
      <c r="E111" s="3238" t="str">
        <f>IF(项目基本情况!E9="抵押净值",IF(OR(项目基本情况!E8="已注销",项目基本情况!E8="房地产抵押价值"),"4.抵押净值","5.抵押净值"),"——")</f>
        <v>——</v>
      </c>
      <c r="F111" s="3205"/>
      <c r="G111" s="2013" t="s">
        <v>2118</v>
      </c>
      <c r="H111" s="2816" t="str">
        <f>IF(E111="——","——",N59)</f>
        <v>——</v>
      </c>
      <c r="I111" s="134"/>
    </row>
    <row r="112" spans="1:35" ht="18.75" customHeight="1" thickBot="1">
      <c r="A112" s="134"/>
      <c r="B112" s="134"/>
      <c r="C112" s="134"/>
      <c r="D112" s="134"/>
      <c r="E112" s="3239"/>
      <c r="F112" s="3240"/>
      <c r="G112" s="2016" t="s">
        <v>2120</v>
      </c>
      <c r="H112" s="2820" t="str">
        <f>IF(E111="——","——",N61)</f>
        <v>——</v>
      </c>
      <c r="I112" s="134"/>
    </row>
    <row r="113" spans="1:27" ht="18.75" customHeight="1">
      <c r="A113" s="134"/>
      <c r="B113" s="134"/>
      <c r="C113" s="134"/>
      <c r="D113" s="134"/>
      <c r="E113" s="3208" t="s">
        <v>2126</v>
      </c>
      <c r="F113" s="3208"/>
      <c r="G113" s="3208"/>
      <c r="H113" s="3208"/>
      <c r="I113" s="134"/>
    </row>
    <row r="114" spans="1:27" ht="3.75" customHeight="1">
      <c r="A114" s="1933"/>
      <c r="B114" s="1933"/>
      <c r="C114" s="1933"/>
      <c r="D114" s="1933"/>
      <c r="E114" s="1995"/>
      <c r="F114" s="1995"/>
      <c r="G114" s="1995"/>
      <c r="H114" s="1995"/>
      <c r="I114" s="1933"/>
    </row>
    <row r="115" spans="1:27" ht="18.75" customHeight="1">
      <c r="A115" s="3221" t="s">
        <v>2128</v>
      </c>
      <c r="B115" s="3222"/>
      <c r="C115" s="3222"/>
      <c r="D115" s="3222"/>
      <c r="E115" s="3222"/>
      <c r="F115" s="3222"/>
      <c r="G115" s="3222"/>
      <c r="H115" s="3222"/>
      <c r="I115" s="3223"/>
    </row>
    <row r="116" spans="1:27" ht="27" customHeight="1">
      <c r="A116" s="3174" t="s">
        <v>2129</v>
      </c>
      <c r="B116" s="3209" t="s">
        <v>2130</v>
      </c>
      <c r="C116" s="3209" t="s">
        <v>2131</v>
      </c>
      <c r="D116" s="3225" t="s">
        <v>2132</v>
      </c>
      <c r="E116" s="3226"/>
      <c r="F116" s="3217" t="s">
        <v>2133</v>
      </c>
      <c r="G116" s="3217"/>
      <c r="H116" s="3174" t="s">
        <v>2134</v>
      </c>
      <c r="I116" s="3174"/>
    </row>
    <row r="117" spans="1:27" ht="18.75" customHeight="1">
      <c r="A117" s="3174"/>
      <c r="B117" s="3210"/>
      <c r="C117" s="3210"/>
      <c r="D117" s="2552" t="s">
        <v>2135</v>
      </c>
      <c r="E117" s="2552" t="s">
        <v>2136</v>
      </c>
      <c r="F117" s="2552" t="s">
        <v>2135</v>
      </c>
      <c r="G117" s="2552" t="s">
        <v>2137</v>
      </c>
      <c r="H117" s="2552" t="s">
        <v>2135</v>
      </c>
      <c r="I117" s="2552" t="s">
        <v>2137</v>
      </c>
    </row>
    <row r="118" spans="1:27" ht="24.75" customHeight="1">
      <c r="A118" s="2821" t="str">
        <f>项目基本情况!S2</f>
        <v>辽宁省朝阳市朝阳喀左经济开发区房地产</v>
      </c>
      <c r="B118" s="2552">
        <f>M18</f>
        <v>28660.61</v>
      </c>
      <c r="C118" s="2552">
        <f>M19</f>
        <v>166699.10999999999</v>
      </c>
      <c r="D118" s="2552">
        <f>ROUND(IF(D32="总价",C34,E118*B118/10000),0)</f>
        <v>3701</v>
      </c>
      <c r="E118" s="2552">
        <f>ROUND(IF(C33="自定义",IF(D32="楼面单价",C34,D118*10000/B118),I118-G118),0)</f>
        <v>1291</v>
      </c>
      <c r="F118" s="2552">
        <f ca="1">ROUND(IF(D32="总价",C35,G118*B118/10000),0)</f>
        <v>7896</v>
      </c>
      <c r="G118" s="2552">
        <f ca="1">ROUND(IF(D32="楼面单价",C35,F118*10000/B118),0)</f>
        <v>2755</v>
      </c>
      <c r="H118" s="2552">
        <f ca="1">ROUND(IF(D32="总价",C32,I118*B118/10000),0)</f>
        <v>11597</v>
      </c>
      <c r="I118" s="2552">
        <f ca="1">ROUND(IF(D32="楼面单价",C32,H118*10000/B118),0)</f>
        <v>4046</v>
      </c>
    </row>
    <row r="119" spans="1:27" ht="18.75" customHeight="1">
      <c r="A119" s="3174" t="s">
        <v>2138</v>
      </c>
      <c r="B119" s="3174"/>
      <c r="C119" s="3174"/>
      <c r="D119" s="3214" t="str">
        <f>NUMBERSTRING(INT(D118*10000),2)&amp;"元整"</f>
        <v>叁仟柒佰零壹万元整</v>
      </c>
      <c r="E119" s="3216"/>
      <c r="F119" s="3214" t="str">
        <f ca="1">NUMBERSTRING(INT(F118*10000),2)&amp;"元整"</f>
        <v>柒仟捌佰玖拾陆万元整</v>
      </c>
      <c r="G119" s="3216"/>
      <c r="H119" s="3214" t="str">
        <f ca="1">NUMBERSTRING(INT(H118*10000),2)&amp;"元整"</f>
        <v>壹亿壹仟伍佰玖拾柒万元整</v>
      </c>
      <c r="I119" s="3216"/>
    </row>
    <row r="120" spans="1:27" ht="18.75" customHeight="1">
      <c r="A120" s="3241" t="str">
        <f>IF(项目基本情况!B9="房地产市场价值","",MID(E103,3,LEN(E103)-2))</f>
        <v>估价师知悉的法定优先受偿款</v>
      </c>
      <c r="B120" s="3242"/>
      <c r="C120" s="3243"/>
      <c r="D120" s="3241">
        <f>H103</f>
        <v>0</v>
      </c>
      <c r="E120" s="3242"/>
      <c r="F120" s="3242"/>
      <c r="G120" s="3242"/>
      <c r="H120" s="3242"/>
      <c r="I120" s="324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8" t="s">
        <v>2138</v>
      </c>
      <c r="B121" s="3219"/>
      <c r="C121" s="3220"/>
      <c r="D121" s="3214" t="str">
        <f>IF(D120=0,"零元整",NUMBERSTRING(INT(D120*10000),2)&amp;"元整")</f>
        <v>零元整</v>
      </c>
      <c r="E121" s="3215"/>
      <c r="F121" s="3215"/>
      <c r="G121" s="3215"/>
      <c r="H121" s="3215"/>
      <c r="I121" s="3216"/>
      <c r="AA121" s="734"/>
    </row>
    <row r="122" spans="1:27" ht="18.75" customHeight="1">
      <c r="A122" s="3205" t="str">
        <f>IF(项目基本情况!B9="房地产市场价值","",MID(E107,3,LEN(E107)-2))</f>
        <v>房地产抵押价值</v>
      </c>
      <c r="B122" s="3205"/>
      <c r="C122" s="3205"/>
      <c r="D122" s="3241">
        <f ca="1">H107</f>
        <v>11597</v>
      </c>
      <c r="E122" s="3242"/>
      <c r="F122" s="3242"/>
      <c r="G122" s="3242"/>
      <c r="H122" s="3242"/>
      <c r="I122" s="3243"/>
      <c r="AA122" s="734"/>
    </row>
    <row r="123" spans="1:27" ht="18.75" customHeight="1">
      <c r="A123" s="3174" t="s">
        <v>2138</v>
      </c>
      <c r="B123" s="3174"/>
      <c r="C123" s="3174"/>
      <c r="D123" s="3214" t="str">
        <f ca="1">NUMBERSTRING(INT(D122*10000),2)&amp;"元整"</f>
        <v>壹亿壹仟伍佰玖拾柒万元整</v>
      </c>
      <c r="E123" s="3215"/>
      <c r="F123" s="3215"/>
      <c r="G123" s="3215"/>
      <c r="H123" s="3215"/>
      <c r="I123" s="3216"/>
      <c r="AA123" s="734"/>
    </row>
    <row r="124" spans="1:27" ht="18.75" customHeight="1">
      <c r="A124" s="3205" t="str">
        <f>IF(项目基本情况!B9="房地产市场价值","",MID(E109,3,LEN(E109)-2))</f>
        <v/>
      </c>
      <c r="B124" s="3205"/>
      <c r="C124" s="3205"/>
      <c r="D124" s="3241" t="str">
        <f>H109</f>
        <v>——</v>
      </c>
      <c r="E124" s="3242"/>
      <c r="F124" s="3242"/>
      <c r="G124" s="3242"/>
      <c r="H124" s="3242"/>
      <c r="I124" s="3243"/>
      <c r="AA124" s="734"/>
    </row>
    <row r="125" spans="1:27" ht="18.75" customHeight="1">
      <c r="A125" s="3174" t="s">
        <v>2138</v>
      </c>
      <c r="B125" s="3174"/>
      <c r="C125" s="3174"/>
      <c r="D125" s="3214" t="e">
        <f>NUMBERSTRING(INT(D124*10000),2)&amp;"元整"</f>
        <v>#VALUE!</v>
      </c>
      <c r="E125" s="3215"/>
      <c r="F125" s="3215"/>
      <c r="G125" s="3215"/>
      <c r="H125" s="3215"/>
      <c r="I125" s="3216"/>
      <c r="AA125" s="734"/>
    </row>
    <row r="126" spans="1:27" ht="18.75" customHeight="1">
      <c r="A126" s="3205" t="str">
        <f>IF(项目基本情况!B9="房地产市场价值","",MID(E111,3,LEN(E111)-2))</f>
        <v/>
      </c>
      <c r="B126" s="3205"/>
      <c r="C126" s="3205"/>
      <c r="D126" s="3241" t="str">
        <f>H111</f>
        <v>——</v>
      </c>
      <c r="E126" s="3242"/>
      <c r="F126" s="3242"/>
      <c r="G126" s="3242"/>
      <c r="H126" s="3242"/>
      <c r="I126" s="3243"/>
      <c r="AA126" s="734"/>
    </row>
    <row r="127" spans="1:27" ht="18.75" customHeight="1">
      <c r="A127" s="3174" t="s">
        <v>2138</v>
      </c>
      <c r="B127" s="3174"/>
      <c r="C127" s="3174"/>
      <c r="D127" s="3214" t="e">
        <f>NUMBERSTRING(INT(D126*10000),2)&amp;"元整"</f>
        <v>#VALUE!</v>
      </c>
      <c r="E127" s="3215"/>
      <c r="F127" s="3215"/>
      <c r="G127" s="3215"/>
      <c r="H127" s="3215"/>
      <c r="I127" s="3216"/>
      <c r="AA127" s="734"/>
    </row>
    <row r="128" spans="1:27" ht="21.75" customHeight="1">
      <c r="A128" s="3224" t="s">
        <v>2139</v>
      </c>
      <c r="B128" s="3224"/>
      <c r="C128" s="3224"/>
      <c r="D128" s="3224"/>
      <c r="E128" s="3224"/>
      <c r="F128" s="3224"/>
      <c r="G128" s="3224"/>
      <c r="H128" s="3224"/>
      <c r="I128" s="3224"/>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8" t="str">
        <f>项目基本情况!B1</f>
        <v>辽宁省朝阳市朝阳喀左经济开发区房地产抵押价值预评估</v>
      </c>
      <c r="C37" s="3068"/>
      <c r="D37" s="3068"/>
      <c r="E37" s="3068"/>
      <c r="F37" s="3068"/>
      <c r="G37" s="3068"/>
      <c r="H37" s="3068"/>
      <c r="I37" s="3068"/>
    </row>
    <row r="38" spans="1:9">
      <c r="A38" s="953"/>
      <c r="B38" s="953"/>
    </row>
    <row r="39" spans="1:9">
      <c r="A39" s="951" t="s">
        <v>818</v>
      </c>
      <c r="B39" s="951" t="s">
        <v>820</v>
      </c>
    </row>
    <row r="40" spans="1:9">
      <c r="A40" s="951"/>
      <c r="B40" s="1659" t="str">
        <f>项目基本情况!B5</f>
        <v>北京通美晶体技术有限公司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11891</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4149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4181</v>
      </c>
      <c r="D5" s="217" t="s">
        <v>2155</v>
      </c>
      <c r="E5" s="218" t="s">
        <v>2156</v>
      </c>
      <c r="F5" s="218" t="s">
        <v>2157</v>
      </c>
      <c r="G5" s="219"/>
    </row>
    <row r="6" spans="1:9" s="220" customFormat="1" ht="13.5" customHeight="1">
      <c r="A6" s="886" t="s">
        <v>2158</v>
      </c>
      <c r="B6" s="221" t="s">
        <v>2159</v>
      </c>
      <c r="C6" s="222">
        <f>'土地比较法-工业'!B2</f>
        <v>3701</v>
      </c>
      <c r="D6" s="223"/>
      <c r="E6" s="224"/>
      <c r="F6" s="224"/>
      <c r="G6" s="225"/>
    </row>
    <row r="7" spans="1:9" s="220" customFormat="1" ht="13.5" customHeight="1">
      <c r="A7" s="886" t="s">
        <v>2160</v>
      </c>
      <c r="B7" s="221" t="s">
        <v>2161</v>
      </c>
      <c r="C7" s="226">
        <f>ROUND(C6*F7,0)</f>
        <v>150</v>
      </c>
      <c r="D7" s="226"/>
      <c r="E7" s="224"/>
      <c r="F7" s="227">
        <f>IF(项目基本情况!B8="出让",0,'数据-取费表'!B48+'数据-取费表'!B49)</f>
        <v>4.0500000000000001E-2</v>
      </c>
      <c r="G7" s="225"/>
    </row>
    <row r="8" spans="1:9" s="229" customFormat="1">
      <c r="A8" s="886" t="s">
        <v>2162</v>
      </c>
      <c r="B8" s="221" t="s">
        <v>2163</v>
      </c>
      <c r="C8" s="226">
        <f>IF(G8="已包含在土地购买价格中","0",IF(B1="",'数据-取费表'!B29,IF(G9="全部缴纳",C9+C10,H9)))</f>
        <v>330</v>
      </c>
      <c r="D8" s="228"/>
      <c r="E8" s="226"/>
      <c r="F8" s="227"/>
      <c r="G8" s="2042" t="s">
        <v>3376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115</v>
      </c>
      <c r="F9" s="227"/>
      <c r="G9" s="2043"/>
      <c r="H9" s="1299"/>
      <c r="I9" s="2044" t="s">
        <v>2165</v>
      </c>
    </row>
    <row r="10" spans="1:9" s="220" customFormat="1" ht="13.5" customHeight="1">
      <c r="A10" s="887" t="s">
        <v>801</v>
      </c>
      <c r="B10" s="230" t="s">
        <v>2166</v>
      </c>
      <c r="C10" s="231">
        <f ca="1">ROUND(D10*E10/10000,0)</f>
        <v>330</v>
      </c>
      <c r="D10" s="954">
        <f ca="1">IF(B1="",'数据-汇总表'!E6,IF(INDIRECT("'数据-取费表'!c"&amp;$G$1)="住宅",INDIRECT("'数据-取费表'!s"&amp;$G$1),INDIRECT("'数据-取费表'!k"&amp;$G$1)+INDIRECT("'数据-取费表'!s"&amp;$G$1)))</f>
        <v>28660.61</v>
      </c>
      <c r="E10" s="231">
        <f>'数据-取费表'!B28</f>
        <v>115</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28660.61</v>
      </c>
      <c r="E19" s="217">
        <f>'数据-取费表'!B31</f>
        <v>180</v>
      </c>
      <c r="F19" s="237"/>
      <c r="G19" s="2042" t="s">
        <v>3377</v>
      </c>
    </row>
    <row r="20" spans="1:7" s="220" customFormat="1" ht="13.5" customHeight="1">
      <c r="A20" s="261" t="s">
        <v>2179</v>
      </c>
      <c r="B20" s="216" t="s">
        <v>2180</v>
      </c>
      <c r="C20" s="238">
        <f>ROUND((C5+C19)*F20,0)</f>
        <v>84</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331</v>
      </c>
      <c r="D22" s="241">
        <f ca="1">C26</f>
        <v>8.0000000000000004E-4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328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v>
      </c>
      <c r="D25" s="244"/>
      <c r="E25" s="247"/>
      <c r="F25" s="245"/>
      <c r="G25" s="248" t="s">
        <v>2196</v>
      </c>
    </row>
    <row r="26" spans="1:7" s="220" customFormat="1">
      <c r="A26" s="888" t="s">
        <v>795</v>
      </c>
      <c r="B26" s="221" t="s">
        <v>2197</v>
      </c>
      <c r="C26" s="244">
        <f ca="1">ROUND(IF('数据-取费表'!B22&lt;=1,F21*F22*'数据-取费表'!B23/2,F21*(POWER((1+F22),'数据-取费表'!B23/2)-1)),4)</f>
        <v>8.0000000000000004E-4</v>
      </c>
      <c r="D26" s="244"/>
      <c r="E26" s="247"/>
      <c r="F26" s="245"/>
      <c r="G26" s="249"/>
    </row>
    <row r="27" spans="1:7" s="220" customFormat="1" ht="24.75">
      <c r="A27" s="261" t="s">
        <v>2198</v>
      </c>
      <c r="B27" s="250" t="s">
        <v>2199</v>
      </c>
      <c r="C27" s="251">
        <f ca="1">C28</f>
        <v>213</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213</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5194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5757</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5016</v>
      </c>
      <c r="D34" s="223"/>
      <c r="E34" s="226"/>
      <c r="F34" s="263">
        <f ca="1">IF('数据-取费表'!B24=0,1,IF(B1="",'数据-取费表'!N16,INDIRECT("'数据-取费表'!n"&amp;$G$1)))</f>
        <v>1</v>
      </c>
      <c r="G34" s="225" t="s">
        <v>2212</v>
      </c>
    </row>
    <row r="35" spans="1:7" ht="13.5" customHeight="1">
      <c r="A35" s="888" t="s">
        <v>796</v>
      </c>
      <c r="B35" s="221" t="s">
        <v>2213</v>
      </c>
      <c r="C35" s="226">
        <f ca="1">ROUND(C34*F35,0)</f>
        <v>150</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516</v>
      </c>
      <c r="D37" s="223">
        <f ca="1">D19</f>
        <v>28660.61</v>
      </c>
      <c r="E37" s="255">
        <f>'数据-取费表'!B35</f>
        <v>180</v>
      </c>
      <c r="F37" s="265"/>
      <c r="G37" s="267" t="s">
        <v>2218</v>
      </c>
    </row>
    <row r="38" spans="1:7" ht="13.5" customHeight="1">
      <c r="A38" s="888" t="s">
        <v>799</v>
      </c>
      <c r="B38" s="221" t="s">
        <v>2219</v>
      </c>
      <c r="C38" s="226">
        <f ca="1">ROUND(C34*F38,0)</f>
        <v>75</v>
      </c>
      <c r="D38" s="226"/>
      <c r="E38" s="226"/>
      <c r="F38" s="265">
        <f>'数据-取费表'!B36</f>
        <v>1.4999999999999999E-2</v>
      </c>
      <c r="G38" s="225" t="s">
        <v>2214</v>
      </c>
    </row>
    <row r="39" spans="1:7" s="220" customFormat="1" ht="13.5" customHeight="1">
      <c r="A39" s="261" t="s">
        <v>2220</v>
      </c>
      <c r="B39" s="216" t="s">
        <v>2221</v>
      </c>
      <c r="C39" s="238">
        <f ca="1">ROUND(C33*F20,0)</f>
        <v>115</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226</v>
      </c>
      <c r="D41" s="241">
        <f ca="1">C44</f>
        <v>8.0000000000000004E-4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222</v>
      </c>
      <c r="D42" s="244"/>
      <c r="E42" s="244"/>
      <c r="F42" s="245"/>
      <c r="G42" s="3257" t="s">
        <v>2230</v>
      </c>
    </row>
    <row r="43" spans="1:7" ht="13.5" customHeight="1">
      <c r="A43" s="888" t="s">
        <v>792</v>
      </c>
      <c r="B43" s="221" t="s">
        <v>2231</v>
      </c>
      <c r="C43" s="244">
        <f ca="1">ROUND(IF('数据-取费表'!B22&lt;=1,C39*F22*'数据-取费表'!B21/2,C39*(POWER((1+F22),'数据-取费表'!B21/2)-1)),0)</f>
        <v>4</v>
      </c>
      <c r="D43" s="244"/>
      <c r="E43" s="244"/>
      <c r="F43" s="245"/>
      <c r="G43" s="3258"/>
    </row>
    <row r="44" spans="1:7" ht="13.5" customHeight="1">
      <c r="A44" s="888" t="s">
        <v>793</v>
      </c>
      <c r="B44" s="221" t="s">
        <v>2232</v>
      </c>
      <c r="C44" s="244">
        <f ca="1">ROUND(IF('数据-取费表'!B22&lt;=1,C40*F22*'数据-取费表'!B21/2,C40*(POWER((1+F22),'数据-取费表'!B21/2)-1)),4)</f>
        <v>8.0000000000000004E-4</v>
      </c>
      <c r="D44" s="244"/>
      <c r="E44" s="244"/>
      <c r="F44" s="245"/>
      <c r="G44" s="3259"/>
    </row>
    <row r="45" spans="1:7" s="220" customFormat="1" ht="13.5" customHeight="1">
      <c r="A45" s="261" t="s">
        <v>2233</v>
      </c>
      <c r="B45" s="250" t="s">
        <v>2199</v>
      </c>
      <c r="C45" s="251">
        <f ca="1">C46</f>
        <v>294</v>
      </c>
      <c r="D45" s="241">
        <f ca="1">C47</f>
        <v>1E-3</v>
      </c>
      <c r="E45" s="242" t="s">
        <v>2225</v>
      </c>
      <c r="F45" s="2537">
        <f ca="1">F27</f>
        <v>0.05</v>
      </c>
      <c r="G45" s="253" t="s">
        <v>2234</v>
      </c>
    </row>
    <row r="46" spans="1:7" s="220" customFormat="1" ht="13.5" customHeight="1">
      <c r="A46" s="888" t="s">
        <v>791</v>
      </c>
      <c r="B46" s="254" t="s">
        <v>2235</v>
      </c>
      <c r="C46" s="255">
        <f ca="1">ROUND((C33+C39)*F27,0)</f>
        <v>294</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6904</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6697</v>
      </c>
      <c r="D51" s="238"/>
      <c r="E51" s="238"/>
      <c r="F51" s="270"/>
      <c r="G51" s="240" t="s">
        <v>2246</v>
      </c>
    </row>
    <row r="52" spans="1:7" s="214" customFormat="1" ht="16.5" thickBot="1">
      <c r="A52" s="271" t="s">
        <v>2247</v>
      </c>
      <c r="B52" s="272"/>
      <c r="C52" s="273">
        <f ca="1">C31+C51</f>
        <v>11891</v>
      </c>
      <c r="D52" s="272"/>
      <c r="E52" s="272"/>
      <c r="F52" s="272"/>
      <c r="G52" s="274"/>
    </row>
    <row r="55" spans="1:7" ht="15">
      <c r="B55" s="276" t="s">
        <v>2248</v>
      </c>
      <c r="C55" s="277"/>
    </row>
    <row r="56" spans="1:7">
      <c r="B56" s="279" t="s">
        <v>1478</v>
      </c>
      <c r="C56" s="281">
        <f ca="1">1-C57</f>
        <v>0.43700000000000006</v>
      </c>
    </row>
    <row r="57" spans="1:7">
      <c r="B57" s="279" t="s">
        <v>1479</v>
      </c>
      <c r="C57" s="280">
        <f ca="1">ROUND(C51/C52,3)</f>
        <v>0.56299999999999994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7748</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2703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3295970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4.0500000000000001E-2</v>
      </c>
      <c r="G7" s="225"/>
    </row>
    <row r="8" spans="1:8" s="229" customFormat="1">
      <c r="A8" s="886" t="s">
        <v>2162</v>
      </c>
      <c r="B8" s="221" t="s">
        <v>2163</v>
      </c>
      <c r="C8" s="226">
        <f ca="1">IF(G8="已包含在土地购买价格中",0,C9+C10)</f>
        <v>3295970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115</v>
      </c>
      <c r="F9" s="227"/>
      <c r="G9" s="232"/>
    </row>
    <row r="10" spans="1:8" s="220" customFormat="1" ht="13.5" customHeight="1">
      <c r="A10" s="887" t="s">
        <v>801</v>
      </c>
      <c r="B10" s="230" t="s">
        <v>2166</v>
      </c>
      <c r="C10" s="231">
        <f ca="1">ROUND(D10*E10,0)</f>
        <v>3295970</v>
      </c>
      <c r="D10" s="954">
        <f ca="1">IF(B1="",'数据-汇总表'!E6,IF(INDIRECT("'数据-取费表'!c"&amp;$G$1)="住宅",INDIRECT("'数据-取费表'!s"&amp;$G$1),INDIRECT("'数据-取费表'!k"&amp;$G$1)+INDIRECT("'数据-取费表'!s"&amp;$G$1)))</f>
        <v>28660.61</v>
      </c>
      <c r="E10" s="231">
        <f>'数据-取费表'!B28</f>
        <v>115</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5158910</v>
      </c>
      <c r="D19" s="958">
        <f ca="1">D9+D10</f>
        <v>28660.61</v>
      </c>
      <c r="E19" s="217">
        <f>'数据-取费表'!B31</f>
        <v>180</v>
      </c>
      <c r="F19" s="237"/>
      <c r="G19" s="2042"/>
    </row>
    <row r="20" spans="1:7" s="220" customFormat="1" ht="13.5" customHeight="1">
      <c r="A20" s="261" t="s">
        <v>2260</v>
      </c>
      <c r="B20" s="216" t="s">
        <v>2261</v>
      </c>
      <c r="C20" s="238">
        <f ca="1">ROUND((C5+C19)*F20,0)</f>
        <v>169098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670068</v>
      </c>
      <c r="D22" s="241">
        <f ca="1">C26</f>
        <v>8.0000000000000004E-4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258675</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404883</v>
      </c>
      <c r="D24" s="244"/>
      <c r="E24" s="244"/>
      <c r="F24" s="245"/>
      <c r="G24" s="246" t="s">
        <v>2272</v>
      </c>
    </row>
    <row r="25" spans="1:7" s="220" customFormat="1" ht="24">
      <c r="A25" s="888" t="s">
        <v>2162</v>
      </c>
      <c r="B25" s="221" t="s">
        <v>2273</v>
      </c>
      <c r="C25" s="1290">
        <f ca="1">ROUND(IF('数据-取费表'!B22&lt;=1,C20*F22*'数据-取费表'!B22/2,C20*(POWER((1+F22),'数据-取费表'!B22/2)-1)),0)</f>
        <v>6510</v>
      </c>
      <c r="D25" s="244"/>
      <c r="E25" s="247"/>
      <c r="F25" s="245"/>
      <c r="G25" s="248" t="s">
        <v>2274</v>
      </c>
    </row>
    <row r="26" spans="1:7" s="220" customFormat="1">
      <c r="A26" s="888" t="s">
        <v>795</v>
      </c>
      <c r="B26" s="221" t="s">
        <v>2197</v>
      </c>
      <c r="C26" s="244">
        <f ca="1">ROUND(IF('数据-取费表'!B22&lt;=1,F21*F22*'数据-取费表'!B22/2,F21*(POWER((1+F22),'数据-取费表'!B22/2)-1)),4)</f>
        <v>8.0000000000000004E-4</v>
      </c>
      <c r="D26" s="244"/>
      <c r="E26" s="247"/>
      <c r="F26" s="245"/>
      <c r="G26" s="249"/>
    </row>
    <row r="27" spans="1:7" s="220" customFormat="1" ht="24.75">
      <c r="A27" s="261" t="s">
        <v>2198</v>
      </c>
      <c r="B27" s="250" t="s">
        <v>2199</v>
      </c>
      <c r="C27" s="251">
        <f ca="1">C28</f>
        <v>431199</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ROUND((C5+C19+C20)*F27,0)</f>
        <v>431199</v>
      </c>
      <c r="D28" s="241"/>
      <c r="E28" s="242"/>
      <c r="F28" s="252"/>
      <c r="G28" s="253"/>
    </row>
    <row r="29" spans="1:7" s="220" customFormat="1" ht="13.5" customHeight="1">
      <c r="A29" s="888" t="s">
        <v>792</v>
      </c>
      <c r="B29" s="254" t="s">
        <v>2203</v>
      </c>
      <c r="C29" s="244">
        <f ca="1">ROUND(C21*F27,4)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10504693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57572001</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50156068</v>
      </c>
      <c r="D34" s="223"/>
      <c r="E34" s="226"/>
      <c r="F34" s="263"/>
      <c r="G34" s="225"/>
    </row>
    <row r="35" spans="1:7" ht="13.5" customHeight="1">
      <c r="A35" s="888" t="s">
        <v>796</v>
      </c>
      <c r="B35" s="221" t="s">
        <v>2213</v>
      </c>
      <c r="C35" s="226">
        <f ca="1">ROUND(C34*F35,0)</f>
        <v>1504682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5158910</v>
      </c>
      <c r="D37" s="223">
        <f ca="1">D19</f>
        <v>28660.61</v>
      </c>
      <c r="E37" s="255">
        <f>'数据-取费表'!B35</f>
        <v>180</v>
      </c>
      <c r="F37" s="265"/>
      <c r="G37" s="267"/>
    </row>
    <row r="38" spans="1:7" ht="13.5" customHeight="1">
      <c r="A38" s="888" t="s">
        <v>799</v>
      </c>
      <c r="B38" s="221" t="s">
        <v>2219</v>
      </c>
      <c r="C38" s="226">
        <f ca="1">ROUND(C34*F38,0)</f>
        <v>752341</v>
      </c>
      <c r="D38" s="226"/>
      <c r="E38" s="226"/>
      <c r="F38" s="265">
        <f>'数据-取费表'!B36</f>
        <v>1.4999999999999999E-2</v>
      </c>
      <c r="G38" s="225" t="s">
        <v>2214</v>
      </c>
    </row>
    <row r="39" spans="1:7" s="220" customFormat="1" ht="13.5" customHeight="1">
      <c r="A39" s="261" t="s">
        <v>2220</v>
      </c>
      <c r="B39" s="216" t="s">
        <v>2221</v>
      </c>
      <c r="C39" s="238">
        <f ca="1">ROUND(C33*F20,0)</f>
        <v>1151440</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2260852</v>
      </c>
      <c r="D41" s="241">
        <f ca="1">C44</f>
        <v>8.0000000000000004E-4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2216522</v>
      </c>
      <c r="D42" s="244"/>
      <c r="E42" s="244"/>
      <c r="F42" s="245"/>
      <c r="G42" s="3257" t="s">
        <v>2277</v>
      </c>
    </row>
    <row r="43" spans="1:7" ht="13.5" customHeight="1">
      <c r="A43" s="888" t="s">
        <v>792</v>
      </c>
      <c r="B43" s="221" t="s">
        <v>2231</v>
      </c>
      <c r="C43" s="244">
        <f ca="1">ROUND(IF('数据-取费表'!B22&lt;=1,C39*F22*'数据-取费表'!B20/2,C39*(POWER((1+F22),'数据-取费表'!B20/2)-1)),0)</f>
        <v>44330</v>
      </c>
      <c r="D43" s="244"/>
      <c r="E43" s="244"/>
      <c r="F43" s="245"/>
      <c r="G43" s="3258"/>
    </row>
    <row r="44" spans="1:7" ht="13.5" customHeight="1">
      <c r="A44" s="888" t="s">
        <v>793</v>
      </c>
      <c r="B44" s="221" t="s">
        <v>2232</v>
      </c>
      <c r="C44" s="244">
        <f ca="1">ROUND(IF('数据-取费表'!B22&lt;=1,C40*F22*'数据-取费表'!B20/2,C40*(POWER((1+F22),'数据-取费表'!B20/2)-1)),4)</f>
        <v>8.0000000000000004E-4</v>
      </c>
      <c r="D44" s="244"/>
      <c r="E44" s="244"/>
      <c r="F44" s="245"/>
      <c r="G44" s="3259"/>
    </row>
    <row r="45" spans="1:7" s="220" customFormat="1" ht="13.5" customHeight="1">
      <c r="A45" s="261" t="s">
        <v>2233</v>
      </c>
      <c r="B45" s="250" t="s">
        <v>2199</v>
      </c>
      <c r="C45" s="251">
        <f ca="1">C46</f>
        <v>2936172</v>
      </c>
      <c r="D45" s="241">
        <f ca="1">C47</f>
        <v>1E-3</v>
      </c>
      <c r="E45" s="242" t="s">
        <v>2225</v>
      </c>
      <c r="F45" s="2537">
        <f ca="1">F27</f>
        <v>0.05</v>
      </c>
      <c r="G45" s="253" t="s">
        <v>2234</v>
      </c>
    </row>
    <row r="46" spans="1:7" s="220" customFormat="1" ht="13.5" customHeight="1">
      <c r="A46" s="888" t="s">
        <v>791</v>
      </c>
      <c r="B46" s="254" t="s">
        <v>2235</v>
      </c>
      <c r="C46" s="255">
        <f ca="1">ROUND((C33+C39)*F27,0)</f>
        <v>2936172</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69043492</v>
      </c>
      <c r="D49" s="238"/>
      <c r="E49" s="238"/>
      <c r="F49" s="270"/>
      <c r="G49" s="240" t="s">
        <v>2240</v>
      </c>
    </row>
    <row r="50" spans="1:7" s="264" customFormat="1">
      <c r="A50" s="261" t="s">
        <v>2241</v>
      </c>
      <c r="B50" s="216" t="s">
        <v>2242</v>
      </c>
      <c r="C50" s="238"/>
      <c r="D50" s="238"/>
      <c r="E50" s="238"/>
      <c r="F50" s="270">
        <f>IF('数据-取费表'!B24=0,'数据-取费表'!N16,1)</f>
        <v>0.97</v>
      </c>
      <c r="G50" s="253"/>
    </row>
    <row r="51" spans="1:7" ht="16.5" customHeight="1">
      <c r="A51" s="261" t="s">
        <v>2244</v>
      </c>
      <c r="B51" s="216" t="s">
        <v>2279</v>
      </c>
      <c r="C51" s="238">
        <f ca="1">ROUND(C49*F50,0)</f>
        <v>66972187</v>
      </c>
      <c r="D51" s="238"/>
      <c r="E51" s="238"/>
      <c r="F51" s="270"/>
      <c r="G51" s="240" t="s">
        <v>2246</v>
      </c>
    </row>
    <row r="52" spans="1:7" s="214" customFormat="1" ht="16.5" thickBot="1">
      <c r="A52" s="271" t="s">
        <v>2247</v>
      </c>
      <c r="B52" s="272"/>
      <c r="C52" s="273">
        <f ca="1">C31+C51</f>
        <v>77476880</v>
      </c>
      <c r="D52" s="272"/>
      <c r="E52" s="272"/>
      <c r="F52" s="272"/>
      <c r="G52" s="274"/>
    </row>
    <row r="55" spans="1:7" ht="15">
      <c r="B55" s="276" t="s">
        <v>2248</v>
      </c>
      <c r="C55" s="277"/>
    </row>
    <row r="56" spans="1:7">
      <c r="B56" s="279" t="s">
        <v>1478</v>
      </c>
      <c r="C56" s="281">
        <f ca="1">1-C57</f>
        <v>0.13600000000000001</v>
      </c>
    </row>
    <row r="57" spans="1:7">
      <c r="B57" s="279" t="s">
        <v>1479</v>
      </c>
      <c r="C57" s="280">
        <f ca="1">ROUND(C51/C52,3)</f>
        <v>0.86399999999999999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1"/>
      <c r="F1" s="3031"/>
      <c r="G1" s="2894"/>
      <c r="H1" s="3031"/>
      <c r="I1" s="3031"/>
      <c r="J1" s="3031"/>
      <c r="K1" s="3032">
        <f>MATCH(C1,'数据-取费表'!A6:A16,0)+5</f>
        <v>7</v>
      </c>
    </row>
    <row r="2" spans="1:33" ht="18" customHeight="1">
      <c r="A2" s="207" t="s">
        <v>2148</v>
      </c>
      <c r="B2" s="210">
        <f ca="1">C32</f>
        <v>0</v>
      </c>
      <c r="C2" s="282" t="s">
        <v>2281</v>
      </c>
      <c r="D2" s="282"/>
      <c r="E2" s="3031"/>
      <c r="F2" s="3031"/>
      <c r="G2" s="3031"/>
      <c r="H2" s="3031"/>
      <c r="I2" s="3031"/>
      <c r="J2" s="3031"/>
      <c r="K2" s="3031"/>
    </row>
    <row r="3" spans="1:33" ht="18" customHeight="1" thickBot="1">
      <c r="A3" s="209" t="s">
        <v>2150</v>
      </c>
      <c r="B3" s="210">
        <f ca="1">ROUND(B2*10000/IF(C1="",'数据-汇总表'!E3,INDIRECT("'数据-取费表'!K"&amp;$K$1)),0)</f>
        <v>0</v>
      </c>
      <c r="C3" s="282" t="s">
        <v>2282</v>
      </c>
      <c r="D3" s="282"/>
      <c r="E3" s="3031"/>
      <c r="F3" s="3031"/>
      <c r="G3" s="3031"/>
      <c r="H3" s="3031"/>
      <c r="I3" s="3031"/>
      <c r="J3" s="3031"/>
      <c r="K3" s="3031"/>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28660.61</v>
      </c>
      <c r="E14" s="24">
        <f>'数据-取费表'!B35</f>
        <v>180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28660.61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115</v>
      </c>
      <c r="F19" s="913"/>
      <c r="G19" s="15"/>
      <c r="H19" s="1351"/>
      <c r="I19" s="918"/>
      <c r="J19" s="918"/>
      <c r="K19" s="919"/>
    </row>
    <row r="20" spans="1:33" s="912" customFormat="1" ht="13.5" customHeight="1">
      <c r="A20" s="908" t="s">
        <v>806</v>
      </c>
      <c r="B20" s="909" t="s">
        <v>2316</v>
      </c>
      <c r="C20" s="24">
        <f ca="1">ROUND(D20*E20/10000,0)</f>
        <v>330</v>
      </c>
      <c r="D20" s="955">
        <f ca="1">IF(C1="",'数据-汇总表'!E6,IF(INDIRECT("'数据-取费表'!c"&amp;$K$1)="住宅",INDIRECT("'数据-取费表'!s"&amp;$K$1),INDIRECT("'数据-取费表'!k"&amp;$K$1)+INDIRECT("'数据-取费表'!s"&amp;$K$1)))</f>
        <v>28660.61</v>
      </c>
      <c r="E20" s="24">
        <f>'数据-取费表'!B28</f>
        <v>115</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3.8600000000000002E-2</v>
      </c>
      <c r="D24" s="287" t="s">
        <v>15</v>
      </c>
      <c r="E24" s="287"/>
      <c r="F24" s="925">
        <f>IF(项目基本情况!B8="出让",0,'数据-取费表'!B48+'数据-取费表'!B49)</f>
        <v>4.0500000000000001E-2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C6" sqref="C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70</v>
      </c>
      <c r="E1" s="1547" t="s">
        <v>1352</v>
      </c>
      <c r="F1" s="1193">
        <f ca="1">J53</f>
        <v>45.96</v>
      </c>
      <c r="G1" s="1562">
        <f>MATCH(C1,'数据-取费表'!A6:A16,0)+5</f>
        <v>6</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11303</v>
      </c>
      <c r="C2" s="1571" t="s">
        <v>1481</v>
      </c>
      <c r="D2" s="1571"/>
      <c r="E2" s="1572"/>
      <c r="F2" s="1573"/>
      <c r="G2" s="2929"/>
      <c r="H2" s="2918"/>
      <c r="I2" s="2918"/>
      <c r="J2" s="2918"/>
      <c r="K2" s="2919"/>
      <c r="L2" s="2918"/>
      <c r="M2" s="2918"/>
    </row>
    <row r="3" spans="1:37" ht="18" customHeight="1" thickBot="1">
      <c r="A3" s="1574" t="s">
        <v>1482</v>
      </c>
      <c r="B3" s="1575">
        <f ca="1">IF(ISERROR(B2*10000/F43),0,ROUND(B2*10000/F43,0))</f>
        <v>3944</v>
      </c>
      <c r="C3" s="1571" t="s">
        <v>1483</v>
      </c>
      <c r="D3" s="1571"/>
      <c r="E3" s="1572"/>
      <c r="F3" s="1573"/>
      <c r="G3" s="2929"/>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723</v>
      </c>
      <c r="D5" s="1548" t="s">
        <v>1367</v>
      </c>
      <c r="E5" s="1203"/>
      <c r="F5" s="1204"/>
      <c r="G5" s="1568"/>
      <c r="H5" s="305">
        <v>1</v>
      </c>
      <c r="I5" s="306" t="s">
        <v>1366</v>
      </c>
      <c r="J5" s="1202">
        <f ca="1">J6+J10+J12</f>
        <v>0</v>
      </c>
      <c r="K5" s="1548" t="s">
        <v>1367</v>
      </c>
      <c r="L5" s="1203"/>
      <c r="M5" s="1204"/>
    </row>
    <row r="6" spans="1:37" ht="18" customHeight="1">
      <c r="A6" s="1201" t="s">
        <v>1003</v>
      </c>
      <c r="B6" s="3262" t="s">
        <v>1368</v>
      </c>
      <c r="C6" s="1206">
        <f ca="1">ROUND(F6*F8*F7*(1-F9)/10000,0)</f>
        <v>722</v>
      </c>
      <c r="D6" s="160" t="s">
        <v>2850</v>
      </c>
      <c r="E6" s="308" t="s">
        <v>1370</v>
      </c>
      <c r="F6" s="309">
        <f ca="1">INDIRECT("'数据-取费表'!u"&amp;$G$1)</f>
        <v>8025342</v>
      </c>
      <c r="G6" s="1568"/>
      <c r="H6" s="1201" t="s">
        <v>1003</v>
      </c>
      <c r="I6" s="3262" t="s">
        <v>1368</v>
      </c>
      <c r="J6" s="307">
        <f ca="1">ROUND(M6*M8*M7*(1-M9)/10000,0)</f>
        <v>0</v>
      </c>
      <c r="K6" s="160" t="s">
        <v>2849</v>
      </c>
      <c r="L6" s="308" t="s">
        <v>1370</v>
      </c>
      <c r="M6" s="309">
        <f ca="1">INDIRECT("'数据-取费表'!z"&amp;$G$1)</f>
        <v>0</v>
      </c>
    </row>
    <row r="7" spans="1:37" ht="18" customHeight="1">
      <c r="A7" s="1205"/>
      <c r="B7" s="3263"/>
      <c r="C7" s="1207"/>
      <c r="D7" s="313"/>
      <c r="E7" s="1208" t="s">
        <v>1371</v>
      </c>
      <c r="F7" s="309">
        <f ca="1">IF(INDIRECT("'数据-取费表'!ah"&amp;$G$1)="",INDIRECT("'数据-取费表'!k"&amp;$G$1),INDIRECT("'数据-取费表'!ah"&amp;$G$1))</f>
        <v>1</v>
      </c>
      <c r="G7" s="1568"/>
      <c r="H7" s="310"/>
      <c r="I7" s="3263"/>
      <c r="J7" s="312"/>
      <c r="K7" s="313"/>
      <c r="L7" s="308" t="s">
        <v>1371</v>
      </c>
      <c r="M7" s="309">
        <f ca="1">F7</f>
        <v>1</v>
      </c>
    </row>
    <row r="8" spans="1:37" ht="18" customHeight="1">
      <c r="A8" s="310"/>
      <c r="B8" s="3263"/>
      <c r="C8" s="312"/>
      <c r="D8" s="313"/>
      <c r="E8" s="308" t="s">
        <v>1372</v>
      </c>
      <c r="F8" s="309">
        <f ca="1">INDIRECT("'数据-取费表'!ai"&amp;$G$1)</f>
        <v>1</v>
      </c>
      <c r="G8" s="1568"/>
      <c r="H8" s="310"/>
      <c r="I8" s="3263"/>
      <c r="J8" s="312"/>
      <c r="K8" s="313"/>
      <c r="L8" s="308" t="s">
        <v>1372</v>
      </c>
      <c r="M8" s="309">
        <f ca="1">INDIRECT("'数据-取费表'!ai"&amp;$G$1)</f>
        <v>1</v>
      </c>
    </row>
    <row r="9" spans="1:37" ht="18" customHeight="1">
      <c r="A9" s="310"/>
      <c r="B9" s="3264"/>
      <c r="C9" s="312"/>
      <c r="D9" s="313"/>
      <c r="E9" s="308" t="s">
        <v>1373</v>
      </c>
      <c r="F9" s="318">
        <f ca="1">INDIRECT("'数据-取费表'!w"&amp;$G$1)</f>
        <v>0.1</v>
      </c>
      <c r="G9" s="1568"/>
      <c r="H9" s="310"/>
      <c r="I9" s="3264"/>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2858</v>
      </c>
      <c r="E10" s="319" t="s">
        <v>1375</v>
      </c>
      <c r="F10" s="1276" t="s">
        <v>3372</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6697</v>
      </c>
      <c r="D13" s="1241" t="s">
        <v>1380</v>
      </c>
      <c r="E13" s="1241" t="s">
        <v>1381</v>
      </c>
      <c r="F13" s="1242">
        <f ca="1">INDIRECT("'数据-取费表'!y"&amp;$G$1)</f>
        <v>0.97</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5016</v>
      </c>
      <c r="D14" s="1529" t="s">
        <v>1383</v>
      </c>
      <c r="E14" s="1526"/>
      <c r="F14" s="325"/>
      <c r="G14" s="1568"/>
      <c r="H14" s="1113" t="s">
        <v>1003</v>
      </c>
      <c r="I14" s="308" t="s">
        <v>1384</v>
      </c>
      <c r="J14" s="24">
        <f ca="1">C29</f>
        <v>6904</v>
      </c>
      <c r="K14" s="15"/>
      <c r="L14" s="916"/>
      <c r="M14" s="917"/>
    </row>
    <row r="15" spans="1:37" s="1581" customFormat="1" ht="18" customHeight="1" thickBot="1">
      <c r="A15" s="1113" t="s">
        <v>1004</v>
      </c>
      <c r="B15" s="308" t="s">
        <v>1385</v>
      </c>
      <c r="C15" s="24">
        <f ca="1">ROUND(C14*F15,0)</f>
        <v>150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222</v>
      </c>
      <c r="K16" s="1247" t="s">
        <v>1390</v>
      </c>
      <c r="L16" s="1248"/>
      <c r="M16" s="1204"/>
    </row>
    <row r="17" spans="1:37" s="1581" customFormat="1" ht="18" customHeight="1">
      <c r="A17" s="1113" t="s">
        <v>1355</v>
      </c>
      <c r="B17" s="308" t="s">
        <v>1391</v>
      </c>
      <c r="C17" s="24">
        <f ca="1">ROUND(F17*(F43+INDIRECT("'数据-取费表'!S"&amp;$G$1))/10000,0)</f>
        <v>516</v>
      </c>
      <c r="D17" s="308" t="s">
        <v>1392</v>
      </c>
      <c r="E17" s="308" t="s">
        <v>1393</v>
      </c>
      <c r="F17" s="26">
        <f>'数据-取费表'!B35</f>
        <v>180</v>
      </c>
      <c r="G17" s="1580"/>
      <c r="H17" s="1113" t="s">
        <v>1003</v>
      </c>
      <c r="I17" s="308" t="s">
        <v>1394</v>
      </c>
      <c r="J17" s="2534">
        <f ca="1">ROUND(IF(AND(项目基本情况!B11="自然人",项目基本情况!B10="北京市"),J6*M17/(1+'数据-取费表'!C42),J18+J19+J20),0)</f>
        <v>118</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75</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5757</v>
      </c>
      <c r="D19" s="136" t="s">
        <v>1401</v>
      </c>
      <c r="E19" s="1544"/>
      <c r="F19" s="26"/>
      <c r="G19" s="1568"/>
      <c r="H19" s="1113" t="s">
        <v>1004</v>
      </c>
      <c r="I19" s="308" t="s">
        <v>1402</v>
      </c>
      <c r="J19" s="24">
        <f ca="1">IF(K19="按租金收入计税",ROUND(J6*M19/(1+'数据-取费表'!C42),2),ROUND(C29*M19*0.7,2))</f>
        <v>57.99</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115</v>
      </c>
      <c r="D20" s="329" t="s">
        <v>1405</v>
      </c>
      <c r="E20" s="308" t="s">
        <v>1387</v>
      </c>
      <c r="F20" s="328">
        <f>'数据-取费表'!B37</f>
        <v>0.02</v>
      </c>
      <c r="G20" s="1580"/>
      <c r="H20" s="1113" t="s">
        <v>1354</v>
      </c>
      <c r="I20" s="160" t="s">
        <v>1406</v>
      </c>
      <c r="J20" s="25">
        <f ca="1">ROUND(M20*M21/10000,2)</f>
        <v>60.01</v>
      </c>
      <c r="K20" s="330" t="s">
        <v>1407</v>
      </c>
      <c r="L20" s="308" t="s">
        <v>1408</v>
      </c>
      <c r="M20" s="331">
        <f>'数据-取费表'!B52</f>
        <v>3.6</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166699.10999999999</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103.6</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226</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-222</v>
      </c>
      <c r="K25" s="1255" t="s">
        <v>1429</v>
      </c>
      <c r="L25" s="1256"/>
      <c r="M25" s="1257"/>
    </row>
    <row r="26" spans="1:37">
      <c r="A26" s="1113" t="s">
        <v>1002</v>
      </c>
      <c r="B26" s="308" t="s">
        <v>1430</v>
      </c>
      <c r="C26" s="24">
        <f ca="1">ROUND((C19+C20)*F26,0)</f>
        <v>294</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6904</v>
      </c>
      <c r="D29" s="1252"/>
      <c r="E29" s="1250"/>
      <c r="F29" s="1253"/>
      <c r="G29" s="1580"/>
      <c r="H29" s="340" t="s">
        <v>1001</v>
      </c>
      <c r="I29" s="341" t="s">
        <v>1444</v>
      </c>
      <c r="J29" s="342">
        <f ca="1">ROUND(J26/(1+F40)^F41,0)</f>
        <v>0</v>
      </c>
      <c r="K29" s="343" t="s">
        <v>1445</v>
      </c>
      <c r="L29" s="344"/>
      <c r="M29" s="345">
        <f ca="1">INDIRECT("'数据-取费表'!k"&amp;$G$1)</f>
        <v>28660.61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301</v>
      </c>
      <c r="D30" s="1247" t="s">
        <v>1390</v>
      </c>
      <c r="E30" s="1248"/>
      <c r="F30" s="1204"/>
      <c r="G30" s="1568"/>
      <c r="H30" s="2920"/>
      <c r="I30" s="1582"/>
      <c r="J30" s="1583"/>
      <c r="K30" s="2696"/>
      <c r="L30" s="2921"/>
      <c r="M30" s="2922"/>
    </row>
    <row r="31" spans="1:37" ht="18" customHeight="1">
      <c r="A31" s="1113" t="s">
        <v>1003</v>
      </c>
      <c r="B31" s="308" t="s">
        <v>1394</v>
      </c>
      <c r="C31" s="2534">
        <f ca="1">ROUND(IF(AND(项目基本情况!B11="自然人",项目基本情况!B10="北京市"),C6*F31/(1+'数据-取费表'!C42),C32+C33+C34),0)</f>
        <v>180</v>
      </c>
      <c r="D31" s="1529" t="s">
        <v>1395</v>
      </c>
      <c r="E31" s="1528" t="s">
        <v>1446</v>
      </c>
      <c r="F31" s="2533" t="str">
        <f>IF(项目基本情况!B11="企业","——",IF('数据-取费表'!B10="住宅",IF(F6*F7*F8/12/(1+'数据-取费表'!F30)&gt;100000,4%,2.5%),IF(F6*F7*F8/12/(1+'数据-取费表'!F30)&gt;100000,12%,7%)))</f>
        <v>——</v>
      </c>
      <c r="G31" s="1568"/>
      <c r="H31" s="3033" t="s">
        <v>3057</v>
      </c>
      <c r="I31" s="1582"/>
      <c r="J31" s="1583"/>
      <c r="K31" s="2696"/>
      <c r="L31" s="2921"/>
      <c r="M31" s="2922"/>
    </row>
    <row r="32" spans="1:37" ht="18" customHeight="1">
      <c r="A32" s="1113" t="s">
        <v>1002</v>
      </c>
      <c r="B32" s="308" t="s">
        <v>1398</v>
      </c>
      <c r="C32" s="24">
        <f ca="1">IF(项目基本情况!B11="自然人","——",ROUND(C6*F32/(1+'数据-取费表'!C42),2))</f>
        <v>37.82</v>
      </c>
      <c r="D32" s="1528" t="s">
        <v>1399</v>
      </c>
      <c r="E32" s="308" t="s">
        <v>1387</v>
      </c>
      <c r="F32" s="337">
        <f>'数据-取费表'!B41</f>
        <v>5.5000000000000007E-2</v>
      </c>
      <c r="G32" s="1568"/>
      <c r="H32" s="2920"/>
      <c r="I32" s="1582"/>
      <c r="J32" s="1583"/>
      <c r="K32" s="2696"/>
      <c r="L32" s="2921"/>
      <c r="M32" s="2922"/>
    </row>
    <row r="33" spans="1:18" ht="18" customHeight="1">
      <c r="A33" s="1113" t="s">
        <v>1004</v>
      </c>
      <c r="B33" s="308" t="s">
        <v>1402</v>
      </c>
      <c r="C33" s="24">
        <f ca="1">IF(项目基本情况!B11="自然人","——",IF(D33="按租金收入计税",ROUND(C6*F33/(1+'数据-取费表'!C42),2),IF(D33="按房产原值计税",ROUND(C29*F33*0.7,2),INDIRECT("'数据-取费表'!Aj"&amp;$G$1))))</f>
        <v>82.51</v>
      </c>
      <c r="D33" s="1554" t="s">
        <v>3373</v>
      </c>
      <c r="E33" s="308" t="s">
        <v>1387</v>
      </c>
      <c r="F33" s="328">
        <f>IF(D33="按票据","——",IF(D33="按租金收入计税",'数据-取费表'!B51,'数据-取费表'!B50))</f>
        <v>0.12</v>
      </c>
      <c r="G33" s="1568"/>
      <c r="H33" s="2923"/>
      <c r="I33" s="1582"/>
      <c r="J33" s="1583"/>
      <c r="K33" s="2924"/>
      <c r="L33" s="2923"/>
      <c r="M33" s="2923"/>
    </row>
    <row r="34" spans="1:18" ht="18" customHeight="1">
      <c r="A34" s="1201" t="s">
        <v>1354</v>
      </c>
      <c r="B34" s="160" t="s">
        <v>1406</v>
      </c>
      <c r="C34" s="25">
        <f ca="1">IF(项目基本情况!B11="自然人","——",ROUND(F34*F35/10000,2))</f>
        <v>60.01</v>
      </c>
      <c r="D34" s="330" t="s">
        <v>1407</v>
      </c>
      <c r="E34" s="308" t="s">
        <v>1408</v>
      </c>
      <c r="F34" s="331">
        <f>'数据-取费表'!B52</f>
        <v>3.6</v>
      </c>
      <c r="G34" s="1568"/>
      <c r="H34" s="2920"/>
      <c r="I34" s="1582"/>
      <c r="J34" s="1583"/>
      <c r="K34" s="2925"/>
      <c r="L34" s="2926"/>
      <c r="M34" s="2926"/>
    </row>
    <row r="35" spans="1:18" ht="18" customHeight="1">
      <c r="A35" s="1263"/>
      <c r="B35" s="1261"/>
      <c r="C35" s="29"/>
      <c r="D35" s="333"/>
      <c r="E35" s="308" t="s">
        <v>1412</v>
      </c>
      <c r="F35" s="309">
        <f ca="1">INDIRECT("'数据-取费表'!r"&amp;$G$1)</f>
        <v>166699.10999999999</v>
      </c>
      <c r="G35" s="1568"/>
      <c r="H35" s="2920"/>
      <c r="I35" s="1582"/>
      <c r="J35" s="1583"/>
      <c r="K35" s="2924"/>
      <c r="L35" s="2923"/>
      <c r="M35" s="2923"/>
    </row>
    <row r="36" spans="1:18" ht="18" customHeight="1">
      <c r="A36" s="1262" t="s">
        <v>1007</v>
      </c>
      <c r="B36" s="308" t="s">
        <v>1414</v>
      </c>
      <c r="C36" s="24">
        <f ca="1">ROUND(C29*F36,1)</f>
        <v>103.6</v>
      </c>
      <c r="D36" s="1528" t="s">
        <v>1447</v>
      </c>
      <c r="E36" s="308" t="s">
        <v>1387</v>
      </c>
      <c r="F36" s="334">
        <f ca="1">INDIRECT("'数据-取费表'!Ak"&amp;$G$1)</f>
        <v>1.4999999999999999E-2</v>
      </c>
      <c r="G36" s="1568"/>
      <c r="H36" s="2923"/>
      <c r="I36" s="1582"/>
      <c r="J36" s="1583"/>
      <c r="K36" s="2765"/>
      <c r="L36" s="2923"/>
      <c r="M36" s="2923"/>
    </row>
    <row r="37" spans="1:18" ht="18" customHeight="1">
      <c r="A37" s="1113" t="s">
        <v>1043</v>
      </c>
      <c r="B37" s="308" t="s">
        <v>1418</v>
      </c>
      <c r="C37" s="24">
        <f ca="1">ROUND(C13*F37,1)</f>
        <v>10</v>
      </c>
      <c r="D37" s="1528" t="s">
        <v>1419</v>
      </c>
      <c r="E37" s="308" t="s">
        <v>1420</v>
      </c>
      <c r="F37" s="336">
        <f ca="1">INDIRECT("'数据-取费表'!Al"&amp;$G$1)</f>
        <v>1.5E-3</v>
      </c>
      <c r="G37" s="1568"/>
      <c r="H37" s="2923"/>
      <c r="I37" s="1582"/>
      <c r="J37" s="1583"/>
      <c r="K37" s="2765"/>
      <c r="L37" s="2923"/>
      <c r="M37" s="2923"/>
    </row>
    <row r="38" spans="1:18" ht="18" customHeight="1" thickBot="1">
      <c r="A38" s="1249" t="s">
        <v>1358</v>
      </c>
      <c r="B38" s="1250" t="s">
        <v>1404</v>
      </c>
      <c r="C38" s="1251">
        <f ca="1">ROUND(C5*F38,1)</f>
        <v>7.2</v>
      </c>
      <c r="D38" s="1252" t="s">
        <v>1424</v>
      </c>
      <c r="E38" s="1250" t="s">
        <v>1420</v>
      </c>
      <c r="F38" s="1246">
        <f ca="1">INDIRECT("'数据-取费表'!Am"&amp;$G$1)</f>
        <v>0.01</v>
      </c>
      <c r="G38" s="1568"/>
      <c r="H38" s="2923"/>
      <c r="I38" s="1582"/>
      <c r="J38" s="1583"/>
      <c r="K38" s="2927"/>
      <c r="L38" s="2923"/>
      <c r="M38" s="2923"/>
    </row>
    <row r="39" spans="1:18" ht="24.6" customHeight="1" thickTop="1">
      <c r="A39" s="1239" t="s">
        <v>999</v>
      </c>
      <c r="B39" s="1254" t="s">
        <v>1448</v>
      </c>
      <c r="C39" s="316">
        <f ca="1">C5-C30</f>
        <v>422</v>
      </c>
      <c r="D39" s="1255" t="s">
        <v>1449</v>
      </c>
      <c r="E39" s="1256"/>
      <c r="F39" s="1257"/>
      <c r="G39" s="1568"/>
      <c r="H39" s="2923"/>
      <c r="I39" s="1582"/>
      <c r="J39" s="1583"/>
      <c r="K39" s="2927"/>
      <c r="L39" s="2923"/>
      <c r="M39" s="2923"/>
    </row>
    <row r="40" spans="1:18" ht="18" customHeight="1">
      <c r="A40" s="305" t="s">
        <v>1000</v>
      </c>
      <c r="B40" s="306" t="s">
        <v>1450</v>
      </c>
      <c r="C40" s="307">
        <f ca="1">ROUND(C39*(1-((1+F42)/(1+F40))^F41)/(F40-F42),0)</f>
        <v>11303</v>
      </c>
      <c r="D40" s="330" t="s">
        <v>1434</v>
      </c>
      <c r="E40" s="308" t="s">
        <v>1435</v>
      </c>
      <c r="F40" s="318">
        <f ca="1">INDIRECT("'数据-取费表'!I"&amp;$G$1)</f>
        <v>0.05</v>
      </c>
      <c r="G40" s="1568"/>
      <c r="H40" s="1645"/>
      <c r="I40" s="1582"/>
      <c r="J40" s="1583"/>
      <c r="K40" s="2927"/>
      <c r="L40" s="1645"/>
      <c r="M40" s="1645"/>
    </row>
    <row r="41" spans="1:18" ht="18" customHeight="1">
      <c r="A41" s="310"/>
      <c r="B41" s="311"/>
      <c r="C41" s="312"/>
      <c r="D41" s="338" t="s">
        <v>1451</v>
      </c>
      <c r="E41" s="308" t="s">
        <v>1439</v>
      </c>
      <c r="F41" s="339">
        <f ca="1">IF(INDIRECT("'数据-取费表'!af"&amp;$G$1)=0,INDIRECT("'数据-取费表'!ae"&amp;$G$1),INDIRECT("'数据-取费表'!af"&amp;$G$1))</f>
        <v>45.96</v>
      </c>
      <c r="G41" s="1568"/>
      <c r="H41" s="1353"/>
      <c r="I41" s="1582"/>
      <c r="J41" s="1583"/>
      <c r="K41" s="2765"/>
      <c r="L41" s="1353"/>
      <c r="M41" s="1353"/>
    </row>
    <row r="42" spans="1:18" ht="18" customHeight="1">
      <c r="A42" s="314"/>
      <c r="B42" s="315"/>
      <c r="C42" s="316"/>
      <c r="D42" s="333"/>
      <c r="E42" s="308" t="s">
        <v>1442</v>
      </c>
      <c r="F42" s="318">
        <f ca="1">INDIRECT("'数据-取费表'!v"&amp;$G$1)</f>
        <v>2.5000000000000001E-2</v>
      </c>
      <c r="G42" s="1568"/>
      <c r="H42" s="1353"/>
      <c r="I42" s="1582"/>
      <c r="J42" s="1583"/>
      <c r="K42" s="2765"/>
      <c r="L42" s="1353"/>
      <c r="M42" s="1353"/>
    </row>
    <row r="43" spans="1:18" ht="18" customHeight="1" thickBot="1">
      <c r="A43" s="340" t="s">
        <v>1001</v>
      </c>
      <c r="B43" s="341" t="s">
        <v>1452</v>
      </c>
      <c r="C43" s="342">
        <f ca="1">ROUND(C40*10000/F43,0)</f>
        <v>3944</v>
      </c>
      <c r="D43" s="343" t="s">
        <v>1453</v>
      </c>
      <c r="E43" s="344" t="s">
        <v>1454</v>
      </c>
      <c r="F43" s="345">
        <f ca="1">INDIRECT("'数据-取费表'!k"&amp;$G$1)</f>
        <v>28660.61</v>
      </c>
      <c r="G43" s="1568"/>
      <c r="H43" s="1353"/>
      <c r="I43" s="1353"/>
      <c r="J43" s="1353"/>
      <c r="K43" s="2765"/>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8" t="s">
        <v>1484</v>
      </c>
      <c r="P45" s="1645"/>
      <c r="Q45" s="1645"/>
      <c r="R45" s="1645"/>
    </row>
    <row r="46" spans="1:18" s="1568" customFormat="1" ht="13.5" thickBot="1">
      <c r="A46" s="1588" t="s">
        <v>1485</v>
      </c>
      <c r="C46" s="1589">
        <f ca="1">C68-C40</f>
        <v>-24781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3374</v>
      </c>
      <c r="K47" s="1600" t="s">
        <v>1492</v>
      </c>
      <c r="L47" s="1601">
        <f ca="1">INDIRECT("'数据-取费表'!d"&amp;$G$1)</f>
        <v>50</v>
      </c>
      <c r="M47" s="1564" t="str">
        <f>IF(ISNUMBER(FIND("住宅",C1)),"住宅","非住宅")</f>
        <v>非住宅</v>
      </c>
      <c r="O47" s="1602" t="s">
        <v>1008</v>
      </c>
      <c r="P47" s="1603" t="s">
        <v>1493</v>
      </c>
      <c r="Q47" s="1604">
        <f ca="1">C40+J29</f>
        <v>11303</v>
      </c>
      <c r="R47" s="1604" t="s">
        <v>1494</v>
      </c>
    </row>
    <row r="48" spans="1:18" s="1568" customFormat="1" ht="28.5" thickBot="1">
      <c r="A48" s="1270" t="s">
        <v>1103</v>
      </c>
      <c r="B48" s="306" t="s">
        <v>1366</v>
      </c>
      <c r="C48" s="1543">
        <f ca="1">C49+C53+C55</f>
        <v>0</v>
      </c>
      <c r="D48" s="1272"/>
      <c r="E48" s="1273"/>
      <c r="F48" s="1093"/>
      <c r="G48" s="731"/>
      <c r="H48" s="732"/>
      <c r="I48" s="1605" t="s">
        <v>1495</v>
      </c>
      <c r="J48" s="1606" t="s">
        <v>3375</v>
      </c>
      <c r="K48" s="1607" t="s">
        <v>1496</v>
      </c>
      <c r="L48" s="1608">
        <f ca="1">INDIRECT("'数据-取费表'!f"&amp;$G$1)</f>
        <v>45.96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2019</v>
      </c>
      <c r="K49" s="1607" t="s">
        <v>1500</v>
      </c>
      <c r="L49" s="1611"/>
      <c r="O49" s="1612" t="s">
        <v>1010</v>
      </c>
      <c r="P49" s="1603" t="s">
        <v>1501</v>
      </c>
      <c r="Q49" s="1604">
        <f ca="1">C29</f>
        <v>6904</v>
      </c>
      <c r="R49" s="1604" t="s">
        <v>1494</v>
      </c>
    </row>
    <row r="50" spans="1:18" s="1568" customFormat="1" ht="13.5" thickBot="1">
      <c r="A50" s="1107"/>
      <c r="B50" s="1110"/>
      <c r="C50" s="1278"/>
      <c r="D50" s="1084"/>
      <c r="E50" s="1187" t="s">
        <v>1371</v>
      </c>
      <c r="F50" s="1188">
        <f ca="1">F7</f>
        <v>1</v>
      </c>
      <c r="H50" s="732"/>
      <c r="I50" s="1605" t="s">
        <v>1502</v>
      </c>
      <c r="J50" s="1613">
        <f>SUMPRODUCT((I63:I65=J47)*(J62:L62=J48)*(J63:L65))</f>
        <v>70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68</v>
      </c>
      <c r="K51" s="1618" t="s">
        <v>1506</v>
      </c>
      <c r="L51" s="1619">
        <f ca="1">ROUND(-PV(INDIRECT("'数据-取费表'!h"&amp;$G$1),J51,(C39-C13*C76),0),0)</f>
        <v>-3108</v>
      </c>
      <c r="M51" s="1620"/>
      <c r="O51" s="1612" t="s">
        <v>1012</v>
      </c>
      <c r="P51" s="1603" t="s">
        <v>1507</v>
      </c>
      <c r="Q51" s="1615">
        <f>J52</f>
        <v>6.5000000000000002E-2</v>
      </c>
      <c r="R51" s="1604"/>
    </row>
    <row r="52" spans="1:18" s="1568" customFormat="1" ht="13.5" thickBot="1">
      <c r="A52" s="1108"/>
      <c r="B52" s="1110"/>
      <c r="C52" s="1111"/>
      <c r="D52" s="1084"/>
      <c r="E52" s="1112" t="s">
        <v>1373</v>
      </c>
      <c r="F52" s="1185"/>
      <c r="I52" s="1621" t="s">
        <v>1508</v>
      </c>
      <c r="J52" s="1622">
        <v>6.5000000000000002E-2</v>
      </c>
      <c r="K52" s="1621" t="s">
        <v>1509</v>
      </c>
      <c r="L52" s="1622"/>
      <c r="O52" s="1612" t="s">
        <v>1013</v>
      </c>
      <c r="P52" s="1603" t="s">
        <v>1510</v>
      </c>
      <c r="Q52" s="1604">
        <f ca="1">J53</f>
        <v>45.96</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45.96</v>
      </c>
      <c r="K53" s="3260" t="s">
        <v>1513</v>
      </c>
      <c r="L53" s="3261"/>
      <c r="O53" s="1602" t="s">
        <v>1014</v>
      </c>
      <c r="P53" s="1603" t="s">
        <v>1514</v>
      </c>
      <c r="Q53" s="1604">
        <f ca="1">Q47+Q48</f>
        <v>11303</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6697</v>
      </c>
      <c r="D56" s="1631"/>
      <c r="E56" s="1632"/>
      <c r="F56" s="1624"/>
      <c r="I56" s="1633" t="s">
        <v>1519</v>
      </c>
      <c r="J56" s="1634" t="s">
        <v>3345</v>
      </c>
      <c r="K56" s="1605" t="s">
        <v>1520</v>
      </c>
      <c r="L56" s="1608" t="str">
        <f ca="1">IF(L48&lt;J51,"——",L48-J53)</f>
        <v>——</v>
      </c>
      <c r="O56" s="1602" t="s">
        <v>1008</v>
      </c>
      <c r="P56" s="1603" t="s">
        <v>1493</v>
      </c>
      <c r="Q56" s="1604">
        <f ca="1">C40+J29</f>
        <v>11303</v>
      </c>
      <c r="R56" s="1604" t="s">
        <v>1494</v>
      </c>
    </row>
    <row r="57" spans="1:18" s="1568" customFormat="1" ht="24.75" thickBot="1">
      <c r="A57" s="1635"/>
      <c r="B57" s="1081" t="s">
        <v>1443</v>
      </c>
      <c r="C57" s="244">
        <f ca="1">C29</f>
        <v>6904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754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640</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579.94000000000005</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60.01</v>
      </c>
      <c r="D62" s="1096" t="s">
        <v>1462</v>
      </c>
      <c r="E62" s="1081" t="s">
        <v>1463</v>
      </c>
      <c r="F62" s="331">
        <f t="shared" si="0"/>
        <v>3.6</v>
      </c>
      <c r="I62" s="1646" t="s">
        <v>1535</v>
      </c>
      <c r="J62" s="1647" t="s">
        <v>1536</v>
      </c>
      <c r="K62" s="1647" t="s">
        <v>1537</v>
      </c>
      <c r="L62" s="1647" t="s">
        <v>1538</v>
      </c>
      <c r="M62" s="1648" t="s">
        <v>1539</v>
      </c>
      <c r="O62" s="1602" t="s">
        <v>1014</v>
      </c>
      <c r="P62" s="1603" t="s">
        <v>1540</v>
      </c>
      <c r="Q62" s="1604">
        <f ca="1">Q56+Q57</f>
        <v>11303</v>
      </c>
      <c r="R62" s="1604" t="s">
        <v>1015</v>
      </c>
    </row>
    <row r="63" spans="1:18" s="1568" customFormat="1" ht="13.5" thickBot="1">
      <c r="A63" s="332"/>
      <c r="B63" s="1087"/>
      <c r="C63" s="29"/>
      <c r="D63" s="1097"/>
      <c r="E63" s="1081" t="s">
        <v>1464</v>
      </c>
      <c r="F63" s="309">
        <f t="shared" ca="1" si="0"/>
        <v>166699.10999999999</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103.6</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10</v>
      </c>
      <c r="D65" s="1095" t="s">
        <v>1419</v>
      </c>
      <c r="E65" s="1081" t="s">
        <v>1420</v>
      </c>
      <c r="F65" s="336">
        <f t="shared" ca="1" si="0"/>
        <v>1.5E-3</v>
      </c>
      <c r="I65" s="1646" t="s">
        <v>1544</v>
      </c>
      <c r="J65" s="1647">
        <v>40</v>
      </c>
      <c r="K65" s="1647">
        <v>30</v>
      </c>
      <c r="L65" s="1647">
        <v>50</v>
      </c>
      <c r="M65" s="1649">
        <v>0.02</v>
      </c>
      <c r="O65" s="1602" t="s">
        <v>1008</v>
      </c>
      <c r="P65" s="1603" t="s">
        <v>1545</v>
      </c>
      <c r="Q65" s="1604">
        <f ca="1">C40+J29</f>
        <v>11303</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-754</v>
      </c>
      <c r="D67" s="1094" t="s">
        <v>1429</v>
      </c>
      <c r="E67" s="1099"/>
      <c r="F67" s="1100"/>
      <c r="O67" s="1612" t="s">
        <v>1010</v>
      </c>
      <c r="P67" s="1603" t="s">
        <v>1527</v>
      </c>
      <c r="Q67" s="1650">
        <f ca="1">L51</f>
        <v>-3108</v>
      </c>
      <c r="R67" s="1604" t="s">
        <v>1547</v>
      </c>
    </row>
    <row r="68" spans="1:18" s="1568" customFormat="1" ht="16.5" thickBot="1">
      <c r="A68" s="1078" t="s">
        <v>1000</v>
      </c>
      <c r="B68" s="1079" t="s">
        <v>1450</v>
      </c>
      <c r="C68" s="307">
        <f ca="1">ROUND(C67*(1-((1+F70)/(1+F68))^F69)/(F68-F70),0)</f>
        <v>-13478</v>
      </c>
      <c r="D68" s="1096" t="s">
        <v>1434</v>
      </c>
      <c r="E68" s="1081" t="s">
        <v>1435</v>
      </c>
      <c r="F68" s="318">
        <f ca="1">F40</f>
        <v>0.05</v>
      </c>
      <c r="O68" s="1612" t="s">
        <v>1011</v>
      </c>
      <c r="P68" s="1651" t="s">
        <v>1548</v>
      </c>
      <c r="Q68" s="1604">
        <f ca="1">ROUND(Q69-Q70*Q71,0)</f>
        <v>-147</v>
      </c>
      <c r="R68" s="1604" t="s">
        <v>1019</v>
      </c>
    </row>
    <row r="69" spans="1:18" s="1568" customFormat="1" ht="13.5" thickBot="1">
      <c r="A69" s="1082"/>
      <c r="B69" s="1083"/>
      <c r="C69" s="312"/>
      <c r="D69" s="1101" t="s">
        <v>1438</v>
      </c>
      <c r="E69" s="1081" t="s">
        <v>1439</v>
      </c>
      <c r="F69" s="339">
        <f ca="1">F41</f>
        <v>45.96</v>
      </c>
      <c r="O69" s="1612" t="s">
        <v>1016</v>
      </c>
      <c r="P69" s="1651" t="s">
        <v>1549</v>
      </c>
      <c r="Q69" s="1604">
        <f ca="1">C39</f>
        <v>422</v>
      </c>
      <c r="R69" s="1604" t="s">
        <v>1494</v>
      </c>
    </row>
    <row r="70" spans="1:18" s="1568" customFormat="1" ht="13.5" thickBot="1">
      <c r="A70" s="1085"/>
      <c r="B70" s="1086"/>
      <c r="C70" s="316"/>
      <c r="D70" s="1097"/>
      <c r="E70" s="1081" t="s">
        <v>1442</v>
      </c>
      <c r="F70" s="1185"/>
      <c r="O70" s="1612" t="s">
        <v>1017</v>
      </c>
      <c r="P70" s="1651" t="s">
        <v>1550</v>
      </c>
      <c r="Q70" s="1604">
        <f ca="1">C13</f>
        <v>6697</v>
      </c>
      <c r="R70" s="1604" t="s">
        <v>1494</v>
      </c>
    </row>
    <row r="71" spans="1:18" s="1568" customFormat="1" ht="13.5" thickBot="1">
      <c r="A71" s="1102" t="s">
        <v>1001</v>
      </c>
      <c r="B71" s="1103" t="s">
        <v>1452</v>
      </c>
      <c r="C71" s="342">
        <f ca="1">ROUND(C68*10000/F71,0)</f>
        <v>-4703</v>
      </c>
      <c r="D71" s="1104" t="s">
        <v>1453</v>
      </c>
      <c r="E71" s="1105" t="s">
        <v>1454</v>
      </c>
      <c r="F71" s="345">
        <f ca="1">F43</f>
        <v>28660.61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569</v>
      </c>
      <c r="D75" s="1568"/>
      <c r="E75" s="1568"/>
      <c r="F75" s="1568"/>
      <c r="K75" s="1586"/>
      <c r="L75" s="1568"/>
      <c r="O75" s="1602" t="s">
        <v>1014</v>
      </c>
      <c r="P75" s="1603" t="s">
        <v>1514</v>
      </c>
      <c r="Q75" s="1604">
        <f ca="1">Q65+Q66</f>
        <v>11303</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-0.34800000000000009</v>
      </c>
    </row>
    <row r="80" spans="1:18">
      <c r="B80" s="346" t="s">
        <v>1476</v>
      </c>
      <c r="C80" s="280">
        <f ca="1">ROUND(C75/C39,3)</f>
        <v>1.3480000000000001</v>
      </c>
    </row>
    <row r="81" spans="2:3">
      <c r="B81" s="276" t="s">
        <v>1477</v>
      </c>
      <c r="C81" s="244"/>
    </row>
    <row r="82" spans="2:3">
      <c r="B82" s="279" t="s">
        <v>1478</v>
      </c>
      <c r="C82" s="281">
        <f ca="1">1-C83</f>
        <v>0.40800000000000003</v>
      </c>
    </row>
    <row r="83" spans="2:3">
      <c r="B83" s="279" t="s">
        <v>1479</v>
      </c>
      <c r="C83" s="280">
        <f ca="1">ROUND(C13/C40,3)</f>
        <v>0.59199999999999997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9"/>
      <c r="H2" s="2918"/>
      <c r="I2" s="2918"/>
      <c r="J2" s="2918"/>
      <c r="K2" s="2919"/>
      <c r="L2" s="2918"/>
      <c r="M2" s="2918"/>
    </row>
    <row r="3" spans="1:37" ht="18" customHeight="1" thickBot="1">
      <c r="A3" s="1574" t="s">
        <v>1558</v>
      </c>
      <c r="B3" s="1575">
        <f ca="1">IF(ISERROR(D2/F43),0,ROUND(D2/F43,0))</f>
        <v>0</v>
      </c>
      <c r="C3" s="1571" t="s">
        <v>1559</v>
      </c>
      <c r="D3" s="1571"/>
      <c r="E3" s="1572"/>
      <c r="F3" s="1573"/>
      <c r="G3" s="2929"/>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62" t="s">
        <v>1368</v>
      </c>
      <c r="C6" s="1206">
        <f ca="1">ROUND(F6*F8*F7*(1-F9),0)</f>
        <v>0</v>
      </c>
      <c r="D6" s="160" t="s">
        <v>2847</v>
      </c>
      <c r="E6" s="308" t="s">
        <v>1370</v>
      </c>
      <c r="F6" s="309">
        <f ca="1">INDIRECT("'数据-取费表'!u"&amp;$G$1)</f>
        <v>0</v>
      </c>
      <c r="G6" s="1568"/>
      <c r="H6" s="1201" t="s">
        <v>1003</v>
      </c>
      <c r="I6" s="3262" t="s">
        <v>1368</v>
      </c>
      <c r="J6" s="307">
        <f ca="1">ROUND(M6*M8*M7*(1-M9),0)</f>
        <v>0</v>
      </c>
      <c r="K6" s="1560" t="s">
        <v>2848</v>
      </c>
      <c r="L6" s="308" t="s">
        <v>1370</v>
      </c>
      <c r="M6" s="309">
        <f ca="1">INDIRECT("'数据-取费表'!z"&amp;$G$1)</f>
        <v>0</v>
      </c>
    </row>
    <row r="7" spans="1:37" ht="18" customHeight="1">
      <c r="A7" s="1205"/>
      <c r="B7" s="3263"/>
      <c r="C7" s="1207"/>
      <c r="D7" s="313"/>
      <c r="E7" s="1208" t="s">
        <v>1371</v>
      </c>
      <c r="F7" s="309">
        <f ca="1">IF(INDIRECT("'数据-取费表'!ah"&amp;$G$1)="",INDIRECT("'数据-取费表'!k"&amp;$G$1),INDIRECT("'数据-取费表'!ah"&amp;$G$1))</f>
        <v>0</v>
      </c>
      <c r="G7" s="1568"/>
      <c r="H7" s="310"/>
      <c r="I7" s="3263"/>
      <c r="J7" s="312"/>
      <c r="K7" s="313"/>
      <c r="L7" s="308" t="s">
        <v>1371</v>
      </c>
      <c r="M7" s="309">
        <f ca="1">F7</f>
        <v>0</v>
      </c>
    </row>
    <row r="8" spans="1:37" ht="18" customHeight="1">
      <c r="A8" s="310"/>
      <c r="B8" s="3263"/>
      <c r="C8" s="312"/>
      <c r="D8" s="313"/>
      <c r="E8" s="308" t="s">
        <v>1372</v>
      </c>
      <c r="F8" s="309">
        <f ca="1">INDIRECT("'数据-取费表'!ai"&amp;$G$1)</f>
        <v>0</v>
      </c>
      <c r="G8" s="1568"/>
      <c r="H8" s="310"/>
      <c r="I8" s="3263"/>
      <c r="J8" s="312"/>
      <c r="K8" s="313"/>
      <c r="L8" s="308" t="s">
        <v>1372</v>
      </c>
      <c r="M8" s="309">
        <f ca="1">INDIRECT("'数据-取费表'!ai"&amp;$G$1)</f>
        <v>0</v>
      </c>
    </row>
    <row r="9" spans="1:37" ht="18" customHeight="1">
      <c r="A9" s="310"/>
      <c r="B9" s="3264"/>
      <c r="C9" s="312"/>
      <c r="D9" s="313"/>
      <c r="E9" s="308" t="s">
        <v>1373</v>
      </c>
      <c r="F9" s="318">
        <f ca="1">INDIRECT("'数据-取费表'!w"&amp;$G$1)</f>
        <v>0</v>
      </c>
      <c r="G9" s="1568"/>
      <c r="H9" s="310"/>
      <c r="I9" s="326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180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3.6</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0"/>
      <c r="I30" s="1582"/>
      <c r="J30" s="1583"/>
      <c r="K30" s="2696"/>
      <c r="L30" s="2921"/>
      <c r="M30" s="2922"/>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3" t="s">
        <v>3057</v>
      </c>
      <c r="I31" s="1582"/>
      <c r="J31" s="1583"/>
      <c r="K31" s="2696"/>
      <c r="L31" s="2921"/>
      <c r="M31" s="2922"/>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0"/>
      <c r="I32" s="1582"/>
      <c r="J32" s="1583"/>
      <c r="K32" s="2696"/>
      <c r="L32" s="2921"/>
      <c r="M32" s="2922"/>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3"/>
      <c r="I33" s="1582"/>
      <c r="J33" s="1583"/>
      <c r="K33" s="2924"/>
      <c r="L33" s="2923"/>
      <c r="M33" s="2923"/>
    </row>
    <row r="34" spans="1:18" ht="18" customHeight="1">
      <c r="A34" s="1201" t="s">
        <v>1354</v>
      </c>
      <c r="B34" s="160" t="s">
        <v>1406</v>
      </c>
      <c r="C34" s="25">
        <f ca="1">IF(项目基本情况!B11="自然人","——",ROUND(F34*F35,))</f>
        <v>0</v>
      </c>
      <c r="D34" s="330" t="s">
        <v>1407</v>
      </c>
      <c r="E34" s="308" t="s">
        <v>1408</v>
      </c>
      <c r="F34" s="331">
        <f>'数据-取费表'!B52</f>
        <v>3.6</v>
      </c>
      <c r="G34" s="1568"/>
      <c r="H34" s="2920"/>
      <c r="I34" s="1582"/>
      <c r="J34" s="1583"/>
      <c r="K34" s="2925"/>
      <c r="L34" s="2926"/>
      <c r="M34" s="2926"/>
    </row>
    <row r="35" spans="1:18" ht="18" customHeight="1">
      <c r="A35" s="1263"/>
      <c r="B35" s="1261"/>
      <c r="C35" s="29"/>
      <c r="D35" s="333"/>
      <c r="E35" s="308" t="s">
        <v>1412</v>
      </c>
      <c r="F35" s="309">
        <f ca="1">INDIRECT("'数据-取费表'!r"&amp;$G$1)</f>
        <v>0</v>
      </c>
      <c r="G35" s="1568"/>
      <c r="H35" s="2920"/>
      <c r="I35" s="1582"/>
      <c r="J35" s="1583"/>
      <c r="K35" s="2924"/>
      <c r="L35" s="2923"/>
      <c r="M35" s="2923"/>
    </row>
    <row r="36" spans="1:18" ht="18" customHeight="1">
      <c r="A36" s="1262" t="s">
        <v>1007</v>
      </c>
      <c r="B36" s="308" t="s">
        <v>1414</v>
      </c>
      <c r="C36" s="24">
        <f ca="1">ROUND(C29*F36,0)</f>
        <v>0</v>
      </c>
      <c r="D36" s="1528" t="s">
        <v>1447</v>
      </c>
      <c r="E36" s="308" t="s">
        <v>1387</v>
      </c>
      <c r="F36" s="334">
        <f ca="1">INDIRECT("'数据-取费表'!Ak"&amp;$G$1)</f>
        <v>0</v>
      </c>
      <c r="G36" s="1568"/>
      <c r="H36" s="2923"/>
      <c r="I36" s="1582"/>
      <c r="J36" s="1583"/>
      <c r="K36" s="2765"/>
      <c r="L36" s="2923"/>
      <c r="M36" s="2923"/>
    </row>
    <row r="37" spans="1:18" ht="18" customHeight="1">
      <c r="A37" s="1113" t="s">
        <v>1043</v>
      </c>
      <c r="B37" s="308" t="s">
        <v>1418</v>
      </c>
      <c r="C37" s="24">
        <f ca="1">ROUND(C13*F37,0)</f>
        <v>0</v>
      </c>
      <c r="D37" s="1528" t="s">
        <v>1419</v>
      </c>
      <c r="E37" s="308" t="s">
        <v>1420</v>
      </c>
      <c r="F37" s="336">
        <f ca="1">INDIRECT("'数据-取费表'!Al"&amp;$G$1)</f>
        <v>0</v>
      </c>
      <c r="G37" s="1568"/>
      <c r="H37" s="2923"/>
      <c r="I37" s="1582"/>
      <c r="J37" s="1583"/>
      <c r="K37" s="2765"/>
      <c r="L37" s="2923"/>
      <c r="M37" s="2923"/>
    </row>
    <row r="38" spans="1:18" ht="18" customHeight="1" thickBot="1">
      <c r="A38" s="1249" t="s">
        <v>1358</v>
      </c>
      <c r="B38" s="1250" t="s">
        <v>1404</v>
      </c>
      <c r="C38" s="1251">
        <f ca="1">ROUND(C5*F38,1)</f>
        <v>0</v>
      </c>
      <c r="D38" s="1252" t="s">
        <v>1424</v>
      </c>
      <c r="E38" s="1250" t="s">
        <v>1420</v>
      </c>
      <c r="F38" s="1246">
        <f ca="1">INDIRECT("'数据-取费表'!Am"&amp;$G$1)</f>
        <v>0</v>
      </c>
      <c r="G38" s="1568"/>
      <c r="H38" s="2923"/>
      <c r="I38" s="1582"/>
      <c r="J38" s="1583"/>
      <c r="K38" s="2927"/>
      <c r="L38" s="2923"/>
      <c r="M38" s="2923"/>
    </row>
    <row r="39" spans="1:18" ht="24.6" customHeight="1" thickTop="1">
      <c r="A39" s="1239" t="s">
        <v>999</v>
      </c>
      <c r="B39" s="1254" t="s">
        <v>1448</v>
      </c>
      <c r="C39" s="316">
        <f ca="1">C5-C30</f>
        <v>0</v>
      </c>
      <c r="D39" s="1255" t="s">
        <v>1449</v>
      </c>
      <c r="E39" s="1256"/>
      <c r="F39" s="1257"/>
      <c r="G39" s="1568"/>
      <c r="H39" s="2923"/>
      <c r="I39" s="1582"/>
      <c r="J39" s="1583"/>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7"/>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5"/>
      <c r="L41" s="1353"/>
      <c r="M41" s="1353"/>
    </row>
    <row r="42" spans="1:18" ht="18" customHeight="1">
      <c r="A42" s="314"/>
      <c r="B42" s="315"/>
      <c r="C42" s="316"/>
      <c r="D42" s="333"/>
      <c r="E42" s="308" t="s">
        <v>1442</v>
      </c>
      <c r="F42" s="318">
        <f ca="1">INDIRECT("'数据-取费表'!v"&amp;$G$1)</f>
        <v>0</v>
      </c>
      <c r="G42" s="1568"/>
      <c r="H42" s="1353"/>
      <c r="I42" s="1582"/>
      <c r="J42" s="1583"/>
      <c r="K42" s="2765"/>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5"/>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60" t="s">
        <v>1513</v>
      </c>
      <c r="L53" s="3261"/>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3.6</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0"/>
      <c r="G1" s="1674"/>
      <c r="H1" s="1674"/>
      <c r="I1" s="1674"/>
      <c r="J1" s="1674"/>
      <c r="K1" s="1674"/>
      <c r="L1" s="1674"/>
      <c r="M1" s="1674"/>
      <c r="N1" s="1674"/>
      <c r="O1" s="1674"/>
      <c r="P1" s="1674"/>
      <c r="Q1" s="1674"/>
      <c r="R1" s="1674"/>
      <c r="S1" s="1674"/>
    </row>
    <row r="2" spans="1:22" ht="15.75">
      <c r="A2" s="2056" t="s">
        <v>2148</v>
      </c>
      <c r="B2" s="2057">
        <f ca="1">SUMIF(B6:B13,"&lt;&gt;#ref!",B6:B13)</f>
        <v>11303</v>
      </c>
      <c r="C2" s="2058" t="s">
        <v>2340</v>
      </c>
      <c r="D2" s="2059" t="s">
        <v>2341</v>
      </c>
      <c r="E2" s="2828">
        <f>SUM(E6:E13)</f>
        <v>28660.61</v>
      </c>
      <c r="F2" s="2930"/>
      <c r="G2" s="1674"/>
      <c r="H2" s="1674"/>
      <c r="I2" s="1674"/>
      <c r="J2" s="1674"/>
      <c r="K2" s="1674"/>
      <c r="L2" s="1674"/>
      <c r="M2" s="1674"/>
      <c r="N2" s="1674"/>
      <c r="O2" s="1674"/>
      <c r="P2" s="1674"/>
      <c r="Q2" s="1674"/>
      <c r="R2" s="1674"/>
      <c r="S2" s="1674"/>
    </row>
    <row r="3" spans="1:22" ht="15.75">
      <c r="A3" s="2056" t="s">
        <v>1360</v>
      </c>
      <c r="B3" s="2822">
        <f ca="1">ROUND(B2*10000/E2,0)</f>
        <v>3944</v>
      </c>
      <c r="C3" s="2058" t="s">
        <v>2348</v>
      </c>
      <c r="D3" s="2932"/>
      <c r="E3" s="2934"/>
      <c r="F3" s="2930"/>
      <c r="G3" s="1674"/>
      <c r="H3" s="1674"/>
      <c r="I3" s="1674"/>
      <c r="J3" s="1674"/>
      <c r="K3" s="1674"/>
      <c r="L3" s="1674"/>
      <c r="M3" s="1674"/>
      <c r="N3" s="1674"/>
      <c r="O3" s="1674"/>
      <c r="P3" s="1674"/>
      <c r="Q3" s="1674"/>
      <c r="R3" s="1674"/>
      <c r="S3" s="1674"/>
    </row>
    <row r="4" spans="1:22" ht="15.75">
      <c r="A4" s="2935"/>
      <c r="B4" s="2932"/>
      <c r="C4" s="2932"/>
      <c r="D4" s="2932"/>
      <c r="E4" s="2934"/>
      <c r="F4" s="2930"/>
      <c r="G4" s="1674"/>
      <c r="H4" s="1674"/>
      <c r="I4" s="1674"/>
      <c r="J4" s="1674"/>
      <c r="K4" s="1674"/>
      <c r="L4" s="1674"/>
      <c r="M4" s="1674"/>
      <c r="N4" s="1674"/>
      <c r="O4" s="1674"/>
      <c r="P4" s="1674"/>
      <c r="Q4" s="1674"/>
      <c r="R4" s="1674"/>
      <c r="S4" s="1674"/>
    </row>
    <row r="5" spans="1:22" ht="15">
      <c r="A5" s="2824" t="s">
        <v>2342</v>
      </c>
      <c r="B5" s="3265" t="s">
        <v>2343</v>
      </c>
      <c r="C5" s="3266"/>
      <c r="D5" s="2931"/>
      <c r="E5" s="2060" t="s">
        <v>2344</v>
      </c>
      <c r="F5" s="2061" t="s">
        <v>2345</v>
      </c>
      <c r="G5" s="1674"/>
      <c r="H5" s="1674"/>
      <c r="I5" s="1674"/>
      <c r="J5" s="1674"/>
      <c r="K5" s="1674"/>
      <c r="L5" s="1674"/>
      <c r="M5" s="1674"/>
      <c r="N5" s="1674"/>
      <c r="O5" s="1674"/>
      <c r="P5" s="1674"/>
      <c r="Q5" s="1674"/>
      <c r="R5" s="1674"/>
      <c r="S5" s="1674"/>
    </row>
    <row r="6" spans="1:22">
      <c r="A6" s="2825" t="str">
        <f>'数据-取费表'!AN6</f>
        <v>收益法</v>
      </c>
      <c r="B6" s="2823">
        <f ca="1">IF(F6="是",'数据-取费表'!AO6,0)</f>
        <v>11303</v>
      </c>
      <c r="C6" s="2058" t="s">
        <v>2340</v>
      </c>
      <c r="D6" s="2932"/>
      <c r="E6" s="2827">
        <f>IF(OR(A6=0,F6="否"),0,'数据-取费表'!K6+'数据-取费表'!S6)</f>
        <v>28660.61</v>
      </c>
      <c r="F6" s="2062" t="s">
        <v>2346</v>
      </c>
      <c r="G6" s="1674"/>
      <c r="H6" s="1674"/>
      <c r="I6" s="1674"/>
      <c r="J6" s="1674"/>
      <c r="K6" s="1674"/>
      <c r="L6" s="1674"/>
      <c r="M6" s="1674"/>
      <c r="N6" s="1674"/>
      <c r="O6" s="1674"/>
      <c r="P6" s="1674"/>
      <c r="Q6" s="1674"/>
      <c r="R6" s="1674"/>
      <c r="S6" s="1674"/>
    </row>
    <row r="7" spans="1:22">
      <c r="A7" s="2825">
        <f>'数据-取费表'!AN7</f>
        <v>0</v>
      </c>
      <c r="B7" s="2823" t="e">
        <f ca="1">IF(F7="是",'数据-取费表'!AO7,0)</f>
        <v>#REF!</v>
      </c>
      <c r="C7" s="2058" t="s">
        <v>2340</v>
      </c>
      <c r="D7" s="2932"/>
      <c r="E7" s="2827">
        <f>IF(OR(A7=0,F7="否"),0,'数据-取费表'!K7+'数据-取费表'!S7)</f>
        <v>0</v>
      </c>
      <c r="F7" s="2062" t="s">
        <v>2346</v>
      </c>
      <c r="G7" s="1674"/>
      <c r="H7" s="1674"/>
      <c r="I7" s="1674"/>
      <c r="J7" s="1674"/>
      <c r="K7" s="1674"/>
      <c r="L7" s="1674"/>
      <c r="M7" s="1674"/>
      <c r="N7" s="1674"/>
      <c r="O7" s="1674"/>
      <c r="P7" s="1674"/>
      <c r="Q7" s="1674"/>
      <c r="R7" s="1674"/>
      <c r="S7" s="1674"/>
    </row>
    <row r="8" spans="1:22">
      <c r="A8" s="2825">
        <f>'数据-取费表'!AN8</f>
        <v>0</v>
      </c>
      <c r="B8" s="2823" t="e">
        <f ca="1">IF(F8="是",'数据-取费表'!AO8,0)</f>
        <v>#REF!</v>
      </c>
      <c r="C8" s="2058" t="s">
        <v>2340</v>
      </c>
      <c r="D8" s="2932"/>
      <c r="E8" s="2827">
        <f>IF(OR(A8=0,F8="否"),0,'数据-取费表'!K8+'数据-取费表'!S8)</f>
        <v>0</v>
      </c>
      <c r="F8" s="2062" t="s">
        <v>2346</v>
      </c>
      <c r="G8" s="1674"/>
      <c r="H8" s="1674"/>
      <c r="I8" s="1674"/>
      <c r="J8" s="1674"/>
      <c r="K8" s="1674"/>
      <c r="L8" s="1674"/>
      <c r="M8" s="1674"/>
      <c r="N8" s="1674"/>
      <c r="O8" s="1674"/>
      <c r="P8" s="1674"/>
      <c r="Q8" s="1674"/>
      <c r="R8" s="1674"/>
      <c r="S8" s="1674"/>
    </row>
    <row r="9" spans="1:22">
      <c r="A9" s="2825">
        <f>'数据-取费表'!AN9</f>
        <v>0</v>
      </c>
      <c r="B9" s="2823" t="e">
        <f ca="1">IF(F9="是",'数据-取费表'!AO9,0)</f>
        <v>#REF!</v>
      </c>
      <c r="C9" s="2058" t="s">
        <v>2340</v>
      </c>
      <c r="D9" s="2932"/>
      <c r="E9" s="2827">
        <f>IF(OR(A9=0,F9="否"),0,'数据-取费表'!K9+'数据-取费表'!S9)</f>
        <v>0</v>
      </c>
      <c r="F9" s="2062" t="s">
        <v>2346</v>
      </c>
      <c r="G9" s="1674"/>
      <c r="H9" s="1674"/>
      <c r="I9" s="1674"/>
      <c r="J9" s="1674"/>
      <c r="K9" s="1674"/>
      <c r="L9" s="1674"/>
      <c r="M9" s="1674"/>
      <c r="N9" s="1674"/>
      <c r="O9" s="1674"/>
      <c r="P9" s="1674"/>
      <c r="Q9" s="1674"/>
      <c r="R9" s="1674"/>
      <c r="S9" s="1674"/>
    </row>
    <row r="10" spans="1:22">
      <c r="A10" s="2825">
        <f>'数据-取费表'!AN10</f>
        <v>0</v>
      </c>
      <c r="B10" s="2823" t="e">
        <f ca="1">IF(F10="是",'数据-取费表'!AO10,0)</f>
        <v>#REF!</v>
      </c>
      <c r="C10" s="2058" t="s">
        <v>2340</v>
      </c>
      <c r="D10" s="2932"/>
      <c r="E10" s="2827">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5">
        <f>'数据-取费表'!AN11</f>
        <v>0</v>
      </c>
      <c r="B11" s="2823" t="e">
        <f ca="1">IF(F11="是",'数据-取费表'!AO11,0)</f>
        <v>#REF!</v>
      </c>
      <c r="C11" s="2058" t="s">
        <v>2340</v>
      </c>
      <c r="D11" s="2932"/>
      <c r="E11" s="2827">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5">
        <f>'数据-取费表'!AN12</f>
        <v>0</v>
      </c>
      <c r="B12" s="2823" t="e">
        <f ca="1">IF(F12="是",'数据-取费表'!AO12,0)</f>
        <v>#REF!</v>
      </c>
      <c r="C12" s="2058" t="s">
        <v>2340</v>
      </c>
      <c r="D12" s="2932"/>
      <c r="E12" s="2827">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6">
        <f>'数据-取费表'!AN13</f>
        <v>0</v>
      </c>
      <c r="B13" s="2823" t="e">
        <f ca="1">IF(F13="是",'数据-取费表'!AO13,0)</f>
        <v>#REF!</v>
      </c>
      <c r="C13" s="2063" t="s">
        <v>2340</v>
      </c>
      <c r="D13" s="2933"/>
      <c r="E13" s="2827">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83" t="s">
        <v>1044</v>
      </c>
      <c r="B1" s="3284"/>
      <c r="C1" s="3285"/>
      <c r="D1" s="3286">
        <f>SUM(I10,I15,I20,I21,I23)</f>
        <v>0</v>
      </c>
      <c r="E1" s="3286"/>
      <c r="F1" s="3286"/>
      <c r="G1" s="3286"/>
      <c r="H1" s="3286"/>
      <c r="I1" s="3287"/>
    </row>
    <row r="2" spans="1:9">
      <c r="A2" s="3273" t="s">
        <v>1045</v>
      </c>
      <c r="B2" s="3274" t="s">
        <v>1046</v>
      </c>
      <c r="C2" s="3274"/>
      <c r="D2" s="1211" t="s">
        <v>1047</v>
      </c>
      <c r="E2" s="1211" t="s">
        <v>1048</v>
      </c>
      <c r="F2" s="1211" t="s">
        <v>1049</v>
      </c>
      <c r="G2" s="1211" t="s">
        <v>1050</v>
      </c>
      <c r="H2" s="1211" t="s">
        <v>1051</v>
      </c>
      <c r="I2" s="1212" t="s">
        <v>1052</v>
      </c>
    </row>
    <row r="3" spans="1:9">
      <c r="A3" s="3273"/>
      <c r="B3" s="3274" t="s">
        <v>1053</v>
      </c>
      <c r="C3" s="3274"/>
      <c r="D3" s="1213"/>
      <c r="E3" s="1211"/>
      <c r="F3" s="1214"/>
      <c r="G3" s="1214"/>
      <c r="H3" s="1215"/>
      <c r="I3" s="1216">
        <f>ROUND(D3*E3*F3*G3*H3/10000,0)</f>
        <v>0</v>
      </c>
    </row>
    <row r="4" spans="1:9">
      <c r="A4" s="3273"/>
      <c r="B4" s="3274" t="s">
        <v>1054</v>
      </c>
      <c r="C4" s="3274"/>
      <c r="D4" s="1213"/>
      <c r="E4" s="1211"/>
      <c r="F4" s="1214"/>
      <c r="G4" s="1214"/>
      <c r="H4" s="1215"/>
      <c r="I4" s="1216">
        <f t="shared" ref="I4:I9" si="0">ROUND(D4*E4*F4*G4*H4/10000,0)</f>
        <v>0</v>
      </c>
    </row>
    <row r="5" spans="1:9">
      <c r="A5" s="3273"/>
      <c r="B5" s="3274" t="s">
        <v>1055</v>
      </c>
      <c r="C5" s="3274"/>
      <c r="D5" s="1213"/>
      <c r="E5" s="1211"/>
      <c r="F5" s="1214"/>
      <c r="G5" s="1214"/>
      <c r="H5" s="1215"/>
      <c r="I5" s="1216">
        <f t="shared" si="0"/>
        <v>0</v>
      </c>
    </row>
    <row r="6" spans="1:9">
      <c r="A6" s="3273"/>
      <c r="B6" s="3274" t="s">
        <v>1056</v>
      </c>
      <c r="C6" s="3274"/>
      <c r="D6" s="1213"/>
      <c r="E6" s="1211"/>
      <c r="F6" s="1214"/>
      <c r="G6" s="1214"/>
      <c r="H6" s="1215"/>
      <c r="I6" s="1216">
        <f t="shared" si="0"/>
        <v>0</v>
      </c>
    </row>
    <row r="7" spans="1:9">
      <c r="A7" s="3273"/>
      <c r="B7" s="3274" t="s">
        <v>1057</v>
      </c>
      <c r="C7" s="3274"/>
      <c r="D7" s="1213"/>
      <c r="E7" s="1211"/>
      <c r="F7" s="1214"/>
      <c r="G7" s="1214"/>
      <c r="H7" s="1215"/>
      <c r="I7" s="1216">
        <f t="shared" si="0"/>
        <v>0</v>
      </c>
    </row>
    <row r="8" spans="1:9">
      <c r="A8" s="3273"/>
      <c r="B8" s="3274" t="s">
        <v>1058</v>
      </c>
      <c r="C8" s="3274"/>
      <c r="D8" s="1213"/>
      <c r="E8" s="1211"/>
      <c r="F8" s="1214"/>
      <c r="G8" s="1214"/>
      <c r="H8" s="1215"/>
      <c r="I8" s="1216">
        <f t="shared" si="0"/>
        <v>0</v>
      </c>
    </row>
    <row r="9" spans="1:9">
      <c r="A9" s="3273"/>
      <c r="B9" s="3274" t="s">
        <v>1059</v>
      </c>
      <c r="C9" s="3274"/>
      <c r="D9" s="1213"/>
      <c r="E9" s="1211"/>
      <c r="F9" s="1214"/>
      <c r="G9" s="1214"/>
      <c r="H9" s="1215"/>
      <c r="I9" s="1216">
        <f t="shared" si="0"/>
        <v>0</v>
      </c>
    </row>
    <row r="10" spans="1:9">
      <c r="A10" s="3273"/>
      <c r="B10" s="3275" t="s">
        <v>1060</v>
      </c>
      <c r="C10" s="3275"/>
      <c r="D10" s="1217"/>
      <c r="E10" s="1217" t="e">
        <f>ROUND(D1*10000/D10/H9,0)</f>
        <v>#DIV/0!</v>
      </c>
      <c r="F10" s="1218"/>
      <c r="G10" s="1218"/>
      <c r="H10" s="1219"/>
      <c r="I10" s="1220">
        <f>SUM(I3:I9)</f>
        <v>0</v>
      </c>
    </row>
    <row r="11" spans="1:9" ht="14.25">
      <c r="A11" s="3273" t="s">
        <v>1061</v>
      </c>
      <c r="B11" s="3274" t="s">
        <v>1062</v>
      </c>
      <c r="C11" s="3274"/>
      <c r="D11" s="1213" t="s">
        <v>1063</v>
      </c>
      <c r="E11" s="1213" t="s">
        <v>1064</v>
      </c>
      <c r="F11" s="1214" t="s">
        <v>1065</v>
      </c>
      <c r="G11" s="1214" t="s">
        <v>1051</v>
      </c>
      <c r="H11" s="1221" t="s">
        <v>1066</v>
      </c>
      <c r="I11" s="1212" t="s">
        <v>1052</v>
      </c>
    </row>
    <row r="12" spans="1:9">
      <c r="A12" s="3273"/>
      <c r="B12" s="3274" t="s">
        <v>1067</v>
      </c>
      <c r="C12" s="3274"/>
      <c r="D12" s="1213"/>
      <c r="E12" s="1213"/>
      <c r="F12" s="1214"/>
      <c r="G12" s="1215"/>
      <c r="H12" s="1222"/>
      <c r="I12" s="1212">
        <f>ROUND(D12*E12*F12*G12/10000,0)</f>
        <v>0</v>
      </c>
    </row>
    <row r="13" spans="1:9">
      <c r="A13" s="3273"/>
      <c r="B13" s="3274" t="s">
        <v>1068</v>
      </c>
      <c r="C13" s="3274"/>
      <c r="D13" s="1213"/>
      <c r="E13" s="1213"/>
      <c r="F13" s="1214"/>
      <c r="G13" s="1215"/>
      <c r="H13" s="1222"/>
      <c r="I13" s="1212">
        <f>ROUND(D13*E13*F13*G13/10000,0)</f>
        <v>0</v>
      </c>
    </row>
    <row r="14" spans="1:9">
      <c r="A14" s="3273"/>
      <c r="B14" s="3274" t="s">
        <v>1069</v>
      </c>
      <c r="C14" s="3274"/>
      <c r="D14" s="1213"/>
      <c r="E14" s="1213"/>
      <c r="F14" s="1214"/>
      <c r="G14" s="1215"/>
      <c r="H14" s="1222"/>
      <c r="I14" s="1212">
        <f>ROUND(D14*E14*F14*G14/10000,0)</f>
        <v>0</v>
      </c>
    </row>
    <row r="15" spans="1:9">
      <c r="A15" s="3273"/>
      <c r="B15" s="3275" t="s">
        <v>1060</v>
      </c>
      <c r="C15" s="3275"/>
      <c r="D15" s="1217"/>
      <c r="E15" s="1217">
        <f>SUM(E12:E14)</f>
        <v>0</v>
      </c>
      <c r="F15" s="1218"/>
      <c r="G15" s="1215"/>
      <c r="H15" s="1222"/>
      <c r="I15" s="1223">
        <f>SUM(I12:I14)</f>
        <v>0</v>
      </c>
    </row>
    <row r="16" spans="1:9" ht="24">
      <c r="A16" s="3273" t="s">
        <v>1070</v>
      </c>
      <c r="B16" s="3274" t="s">
        <v>1071</v>
      </c>
      <c r="C16" s="3274"/>
      <c r="D16" s="1213" t="s">
        <v>1047</v>
      </c>
      <c r="E16" s="1224" t="s">
        <v>1072</v>
      </c>
      <c r="F16" s="1214" t="s">
        <v>1073</v>
      </c>
      <c r="G16" s="1215" t="s">
        <v>1051</v>
      </c>
      <c r="H16" s="1221" t="s">
        <v>1066</v>
      </c>
      <c r="I16" s="1212" t="s">
        <v>1052</v>
      </c>
    </row>
    <row r="17" spans="1:9" ht="14.25">
      <c r="A17" s="3273"/>
      <c r="B17" s="3274" t="s">
        <v>1074</v>
      </c>
      <c r="C17" s="3274"/>
      <c r="D17" s="1213"/>
      <c r="E17" s="1213"/>
      <c r="F17" s="1214"/>
      <c r="G17" s="1215"/>
      <c r="H17" s="1225"/>
      <c r="I17" s="1226">
        <f>ROUND(D17*E17*F17*G17/10000,0)</f>
        <v>0</v>
      </c>
    </row>
    <row r="18" spans="1:9" ht="14.25">
      <c r="A18" s="3273"/>
      <c r="B18" s="3274" t="s">
        <v>1075</v>
      </c>
      <c r="C18" s="3274"/>
      <c r="D18" s="1213"/>
      <c r="E18" s="1213"/>
      <c r="F18" s="1214"/>
      <c r="G18" s="1215"/>
      <c r="H18" s="1225"/>
      <c r="I18" s="1226">
        <f>ROUND(D18*E18*F18*G18/10000,0)</f>
        <v>0</v>
      </c>
    </row>
    <row r="19" spans="1:9" ht="14.25">
      <c r="A19" s="3273"/>
      <c r="B19" s="3274" t="s">
        <v>1076</v>
      </c>
      <c r="C19" s="3274"/>
      <c r="D19" s="1213"/>
      <c r="E19" s="1213"/>
      <c r="F19" s="1214"/>
      <c r="G19" s="1215"/>
      <c r="H19" s="1225"/>
      <c r="I19" s="1226">
        <f>ROUND(D19*E19*F19*G19/10000,0)</f>
        <v>0</v>
      </c>
    </row>
    <row r="20" spans="1:9">
      <c r="A20" s="3273"/>
      <c r="B20" s="3275" t="s">
        <v>1060</v>
      </c>
      <c r="C20" s="3275"/>
      <c r="D20" s="1217">
        <f>SUM(D17:D19)</f>
        <v>0</v>
      </c>
      <c r="E20" s="1217"/>
      <c r="F20" s="1218"/>
      <c r="G20" s="1215"/>
      <c r="H20" s="1222"/>
      <c r="I20" s="1223">
        <f>SUM(I17:I19)</f>
        <v>0</v>
      </c>
    </row>
    <row r="21" spans="1:9">
      <c r="A21" s="3273" t="s">
        <v>1077</v>
      </c>
      <c r="B21" s="3276"/>
      <c r="C21" s="3276"/>
      <c r="D21" s="3276"/>
      <c r="E21" s="3276"/>
      <c r="F21" s="3276"/>
      <c r="G21" s="3276"/>
      <c r="H21" s="1502">
        <v>0.1</v>
      </c>
      <c r="I21" s="1220">
        <f>ROUND(I10*H21,0)</f>
        <v>0</v>
      </c>
    </row>
    <row r="22" spans="1:9" ht="14.25">
      <c r="A22" s="3277" t="s">
        <v>1078</v>
      </c>
      <c r="B22" s="3278"/>
      <c r="C22" s="3279"/>
      <c r="D22" s="1227" t="s">
        <v>1079</v>
      </c>
      <c r="E22" s="1227" t="s">
        <v>1080</v>
      </c>
      <c r="F22" s="1228" t="s">
        <v>1081</v>
      </c>
      <c r="G22" s="1228" t="s">
        <v>1082</v>
      </c>
      <c r="H22" s="1221" t="s">
        <v>1083</v>
      </c>
      <c r="I22" s="1212" t="s">
        <v>1084</v>
      </c>
    </row>
    <row r="23" spans="1:9" ht="14.25" thickBot="1">
      <c r="A23" s="3280"/>
      <c r="B23" s="3281"/>
      <c r="C23" s="3282"/>
      <c r="D23" s="1229"/>
      <c r="E23" s="1229"/>
      <c r="F23" s="1229"/>
      <c r="G23" s="1230"/>
      <c r="H23" s="1231"/>
      <c r="I23" s="1232">
        <f>ROUND(E23*D23*F23*(1-G23)/10000,0)</f>
        <v>0</v>
      </c>
    </row>
    <row r="26" spans="1:9">
      <c r="A26" s="1233" t="s">
        <v>1085</v>
      </c>
      <c r="B26" s="1233"/>
      <c r="C26" s="1233"/>
      <c r="D26" s="1233"/>
      <c r="E26" s="3270">
        <f>C27-C30-C31-C32</f>
        <v>0</v>
      </c>
      <c r="F26" s="3270"/>
      <c r="G26" s="3270"/>
      <c r="H26" s="1499" t="s">
        <v>1306</v>
      </c>
    </row>
    <row r="27" spans="1:9">
      <c r="A27" s="1234">
        <v>1</v>
      </c>
      <c r="B27" s="1235" t="s">
        <v>1086</v>
      </c>
      <c r="C27" s="1235">
        <f>C28+C29</f>
        <v>0</v>
      </c>
      <c r="D27" s="1235"/>
      <c r="E27" s="3271"/>
      <c r="F27" s="3271"/>
      <c r="G27" s="3271"/>
    </row>
    <row r="28" spans="1:9">
      <c r="A28" s="1236" t="s">
        <v>1087</v>
      </c>
      <c r="B28" s="1235" t="s">
        <v>1088</v>
      </c>
      <c r="C28" s="1235"/>
      <c r="D28" s="1235"/>
      <c r="E28" s="3271"/>
      <c r="F28" s="3271"/>
      <c r="G28" s="327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2"/>
      <c r="F32" s="3272"/>
      <c r="G32" s="3272"/>
    </row>
    <row r="33" spans="1:7" hidden="1">
      <c r="A33" s="3267" t="s">
        <v>1097</v>
      </c>
      <c r="B33" s="3268"/>
      <c r="C33" s="3268"/>
      <c r="D33" s="3269"/>
      <c r="E33" s="3270"/>
      <c r="F33" s="3270"/>
      <c r="G33" s="3270"/>
    </row>
    <row r="34" spans="1:7" hidden="1">
      <c r="A34" s="1238">
        <v>1</v>
      </c>
      <c r="B34" s="1235" t="s">
        <v>1098</v>
      </c>
      <c r="C34" s="1235"/>
      <c r="D34" s="1235"/>
      <c r="E34" s="3271"/>
      <c r="F34" s="3271"/>
      <c r="G34" s="3271"/>
    </row>
    <row r="35" spans="1:7" hidden="1">
      <c r="A35" s="1238">
        <v>2</v>
      </c>
      <c r="B35" s="1235" t="s">
        <v>1099</v>
      </c>
      <c r="C35" s="1235"/>
      <c r="D35" s="1235"/>
      <c r="E35" s="3271"/>
      <c r="F35" s="3271"/>
      <c r="G35" s="3271"/>
    </row>
    <row r="36" spans="1:7" hidden="1">
      <c r="A36" s="1238">
        <v>3</v>
      </c>
      <c r="B36" s="1235" t="s">
        <v>1100</v>
      </c>
      <c r="C36" s="1235"/>
      <c r="D36" s="1235"/>
      <c r="E36" s="3271"/>
      <c r="F36" s="3271"/>
      <c r="G36" s="3271"/>
    </row>
    <row r="37" spans="1:7" hidden="1">
      <c r="A37" s="1238">
        <v>4</v>
      </c>
      <c r="B37" s="1235" t="s">
        <v>1101</v>
      </c>
      <c r="C37" s="1235"/>
      <c r="D37" s="1235"/>
      <c r="E37" s="3271"/>
      <c r="F37" s="3271"/>
      <c r="G37" s="3271"/>
    </row>
    <row r="38" spans="1:7" hidden="1">
      <c r="A38" s="3267" t="s">
        <v>1102</v>
      </c>
      <c r="B38" s="3268"/>
      <c r="C38" s="3268"/>
      <c r="D38" s="3269"/>
      <c r="E38" s="3270"/>
      <c r="F38" s="3270"/>
      <c r="G38" s="32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36"/>
      <c r="M2" s="2937"/>
      <c r="N2" s="2937"/>
      <c r="O2" s="2937"/>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28660.61</v>
      </c>
      <c r="E3" s="1038"/>
      <c r="F3" s="2074"/>
      <c r="G3" s="1038"/>
      <c r="H3" s="1038"/>
      <c r="I3" s="1038"/>
      <c r="J3" s="1038"/>
      <c r="K3" s="2070"/>
      <c r="L3" s="2936"/>
      <c r="M3" s="2937"/>
      <c r="N3" s="2937"/>
      <c r="O3" s="2937"/>
      <c r="P3" s="2071"/>
      <c r="Q3" s="2072"/>
      <c r="R3" s="2072"/>
      <c r="S3" s="2072"/>
      <c r="T3" s="2072"/>
      <c r="U3" s="2072"/>
      <c r="V3" s="2072"/>
      <c r="W3" s="2072"/>
      <c r="X3" s="2072"/>
      <c r="Y3" s="2072"/>
      <c r="Z3" s="2072"/>
      <c r="AA3" s="2072"/>
      <c r="AB3" s="2072"/>
      <c r="AC3" s="1192"/>
    </row>
    <row r="4" spans="1:29" ht="15">
      <c r="A4" s="361" t="s">
        <v>2356</v>
      </c>
      <c r="B4" s="362"/>
      <c r="C4" s="3306" t="s">
        <v>2357</v>
      </c>
      <c r="D4" s="3307"/>
      <c r="E4" s="3308" t="s">
        <v>2358</v>
      </c>
      <c r="F4" s="3309"/>
      <c r="G4" s="3306" t="s">
        <v>2359</v>
      </c>
      <c r="H4" s="3307"/>
      <c r="I4" s="3306" t="s">
        <v>2360</v>
      </c>
      <c r="J4" s="3307"/>
      <c r="K4" s="2075" t="s">
        <v>2361</v>
      </c>
      <c r="L4" s="2938"/>
      <c r="M4" s="2939"/>
      <c r="N4" s="2939"/>
      <c r="O4" s="2939"/>
      <c r="P4" s="3310" t="s">
        <v>2362</v>
      </c>
      <c r="Q4" s="3311"/>
      <c r="R4" s="3316" t="s">
        <v>2358</v>
      </c>
      <c r="S4" s="3317"/>
      <c r="T4" s="3316" t="s">
        <v>2359</v>
      </c>
      <c r="U4" s="3317"/>
      <c r="V4" s="3322" t="s">
        <v>2360</v>
      </c>
      <c r="W4" s="3322"/>
      <c r="X4" s="1539"/>
      <c r="Y4" s="3316" t="s">
        <v>2362</v>
      </c>
      <c r="Z4" s="3317"/>
      <c r="AA4" s="3303" t="s">
        <v>2358</v>
      </c>
      <c r="AB4" s="3303" t="s">
        <v>2359</v>
      </c>
      <c r="AC4" s="3303" t="s">
        <v>2360</v>
      </c>
    </row>
    <row r="5" spans="1:29" ht="15">
      <c r="A5" s="364"/>
      <c r="B5" s="365"/>
      <c r="C5" s="3325" t="s">
        <v>2363</v>
      </c>
      <c r="D5" s="3326"/>
      <c r="E5" s="3332" t="s">
        <v>2364</v>
      </c>
      <c r="F5" s="3333"/>
      <c r="G5" s="3325" t="s">
        <v>2365</v>
      </c>
      <c r="H5" s="3326"/>
      <c r="I5" s="3325" t="s">
        <v>2366</v>
      </c>
      <c r="J5" s="3326"/>
      <c r="K5" s="2076"/>
      <c r="L5" s="2938"/>
      <c r="M5" s="2939"/>
      <c r="N5" s="2939"/>
      <c r="O5" s="2939"/>
      <c r="P5" s="3312"/>
      <c r="Q5" s="3313"/>
      <c r="R5" s="3318"/>
      <c r="S5" s="3319"/>
      <c r="T5" s="3318"/>
      <c r="U5" s="3319"/>
      <c r="V5" s="3322"/>
      <c r="W5" s="3322"/>
      <c r="X5" s="1539"/>
      <c r="Y5" s="3318"/>
      <c r="Z5" s="3319"/>
      <c r="AA5" s="3304"/>
      <c r="AB5" s="3304"/>
      <c r="AC5" s="3304"/>
    </row>
    <row r="6" spans="1:29" ht="15.75" thickBot="1">
      <c r="A6" s="366"/>
      <c r="B6" s="367"/>
      <c r="C6" s="3323" t="s">
        <v>2367</v>
      </c>
      <c r="D6" s="3324"/>
      <c r="E6" s="3330" t="s">
        <v>2367</v>
      </c>
      <c r="F6" s="3331"/>
      <c r="G6" s="3323" t="s">
        <v>2367</v>
      </c>
      <c r="H6" s="3324"/>
      <c r="I6" s="3323" t="s">
        <v>2367</v>
      </c>
      <c r="J6" s="3324"/>
      <c r="K6" s="2076" t="s">
        <v>2368</v>
      </c>
      <c r="L6" s="2938"/>
      <c r="M6" s="2939"/>
      <c r="N6" s="2939"/>
      <c r="O6" s="2939"/>
      <c r="P6" s="3314"/>
      <c r="Q6" s="3315"/>
      <c r="R6" s="3318"/>
      <c r="S6" s="3319"/>
      <c r="T6" s="3320"/>
      <c r="U6" s="3321"/>
      <c r="V6" s="3322"/>
      <c r="W6" s="3322"/>
      <c r="X6" s="1539"/>
      <c r="Y6" s="3320"/>
      <c r="Z6" s="3321"/>
      <c r="AA6" s="3305"/>
      <c r="AB6" s="3305"/>
      <c r="AC6" s="3305"/>
    </row>
    <row r="7" spans="1:29" s="113" customFormat="1" ht="15.75" thickBot="1">
      <c r="A7" s="368" t="s">
        <v>2369</v>
      </c>
      <c r="B7" s="369"/>
      <c r="C7" s="370">
        <f>'数据-取费表'!B2</f>
        <v>44454</v>
      </c>
      <c r="D7" s="371">
        <v>100</v>
      </c>
      <c r="E7" s="372"/>
      <c r="F7" s="373">
        <f>SUMIF(58:58,YEAR(E7)&amp;"-"&amp;MONTH(E7),59:59)</f>
        <v>0</v>
      </c>
      <c r="G7" s="372"/>
      <c r="H7" s="371">
        <f>SUMIF(58:58,YEAR(G7)&amp;"-"&amp;MONTH(G7),59:59)</f>
        <v>0</v>
      </c>
      <c r="I7" s="372"/>
      <c r="J7" s="371">
        <f>SUMIF(58:58,YEAR(I7)&amp;"-"&amp;MONTH(I7),59:59)</f>
        <v>0</v>
      </c>
      <c r="K7" s="2077"/>
      <c r="L7" s="2940"/>
      <c r="M7" s="2941"/>
      <c r="N7" s="2941"/>
      <c r="O7" s="2941"/>
      <c r="P7" s="3327" t="s">
        <v>2370</v>
      </c>
      <c r="Q7" s="3329"/>
      <c r="R7" s="710" t="s">
        <v>23</v>
      </c>
      <c r="S7" s="711">
        <f t="shared" ref="S7:S15" si="0">F7</f>
        <v>0</v>
      </c>
      <c r="T7" s="710" t="s">
        <v>23</v>
      </c>
      <c r="U7" s="711">
        <f t="shared" ref="U7:U15" si="1">H7</f>
        <v>0</v>
      </c>
      <c r="V7" s="710" t="s">
        <v>23</v>
      </c>
      <c r="W7" s="711">
        <f t="shared" ref="W7:W15" si="2">J7</f>
        <v>0</v>
      </c>
      <c r="X7" s="712"/>
      <c r="Y7" s="3327" t="s">
        <v>2370</v>
      </c>
      <c r="Z7" s="3328"/>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0"/>
      <c r="M8" s="2941"/>
      <c r="N8" s="2941"/>
      <c r="O8" s="2941"/>
      <c r="P8" s="3327" t="s">
        <v>2373</v>
      </c>
      <c r="Q8" s="3328"/>
      <c r="R8" s="710" t="s">
        <v>23</v>
      </c>
      <c r="S8" s="711">
        <f t="shared" si="0"/>
        <v>0</v>
      </c>
      <c r="T8" s="710" t="s">
        <v>23</v>
      </c>
      <c r="U8" s="711">
        <f t="shared" si="1"/>
        <v>0</v>
      </c>
      <c r="V8" s="710" t="s">
        <v>23</v>
      </c>
      <c r="W8" s="711">
        <f t="shared" si="2"/>
        <v>0</v>
      </c>
      <c r="X8" s="712"/>
      <c r="Y8" s="3327" t="s">
        <v>2373</v>
      </c>
      <c r="Z8" s="3328"/>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0"/>
      <c r="M9" s="2941"/>
      <c r="N9" s="2941"/>
      <c r="O9" s="2941"/>
      <c r="P9" s="3302" t="s">
        <v>2376</v>
      </c>
      <c r="Q9" s="1527" t="str">
        <f t="shared" ref="Q9:Q15" si="6">B9</f>
        <v>用途</v>
      </c>
      <c r="R9" s="710" t="s">
        <v>17</v>
      </c>
      <c r="S9" s="711">
        <f t="shared" si="0"/>
        <v>100</v>
      </c>
      <c r="T9" s="710" t="s">
        <v>17</v>
      </c>
      <c r="U9" s="711">
        <f t="shared" si="1"/>
        <v>100</v>
      </c>
      <c r="V9" s="710" t="s">
        <v>17</v>
      </c>
      <c r="W9" s="711">
        <f t="shared" si="2"/>
        <v>100</v>
      </c>
      <c r="X9" s="712"/>
      <c r="Y9" s="316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302"/>
      <c r="Q10" s="1527" t="str">
        <f t="shared" si="6"/>
        <v>土地使用年限（年）</v>
      </c>
      <c r="R10" s="710" t="s">
        <v>17</v>
      </c>
      <c r="S10" s="711">
        <f t="shared" si="0"/>
        <v>100</v>
      </c>
      <c r="T10" s="710" t="s">
        <v>17</v>
      </c>
      <c r="U10" s="711">
        <f t="shared" si="1"/>
        <v>100</v>
      </c>
      <c r="V10" s="710" t="s">
        <v>17</v>
      </c>
      <c r="W10" s="711">
        <f t="shared" si="2"/>
        <v>100</v>
      </c>
      <c r="X10" s="712"/>
      <c r="Y10" s="316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302"/>
      <c r="Q11" s="1527" t="str">
        <f t="shared" si="6"/>
        <v>容积率</v>
      </c>
      <c r="R11" s="710" t="s">
        <v>21</v>
      </c>
      <c r="S11" s="711" t="e">
        <f t="shared" si="0"/>
        <v>#N/A</v>
      </c>
      <c r="T11" s="710" t="s">
        <v>21</v>
      </c>
      <c r="U11" s="711" t="e">
        <f t="shared" si="1"/>
        <v>#N/A</v>
      </c>
      <c r="V11" s="710" t="s">
        <v>21</v>
      </c>
      <c r="W11" s="711" t="e">
        <f t="shared" si="2"/>
        <v>#N/A</v>
      </c>
      <c r="X11" s="712"/>
      <c r="Y11" s="3161"/>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0"/>
      <c r="M12" s="2941"/>
      <c r="N12" s="2941"/>
      <c r="O12" s="2941"/>
      <c r="P12" s="3302"/>
      <c r="Q12" s="1527">
        <f t="shared" si="6"/>
        <v>111</v>
      </c>
      <c r="R12" s="710" t="s">
        <v>21</v>
      </c>
      <c r="S12" s="711">
        <f t="shared" si="0"/>
        <v>100</v>
      </c>
      <c r="T12" s="710" t="s">
        <v>21</v>
      </c>
      <c r="U12" s="711">
        <f t="shared" si="1"/>
        <v>100</v>
      </c>
      <c r="V12" s="710" t="s">
        <v>21</v>
      </c>
      <c r="W12" s="711">
        <f t="shared" si="2"/>
        <v>100</v>
      </c>
      <c r="X12" s="712"/>
      <c r="Y12" s="316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5"/>
      <c r="M13" s="2939"/>
      <c r="N13" s="2939"/>
      <c r="O13" s="2939"/>
      <c r="P13" s="3302"/>
      <c r="Q13" s="1527">
        <f t="shared" si="6"/>
        <v>111</v>
      </c>
      <c r="R13" s="710" t="s">
        <v>21</v>
      </c>
      <c r="S13" s="711">
        <f t="shared" si="0"/>
        <v>100</v>
      </c>
      <c r="T13" s="710" t="s">
        <v>21</v>
      </c>
      <c r="U13" s="711">
        <f t="shared" si="1"/>
        <v>100</v>
      </c>
      <c r="V13" s="710" t="s">
        <v>21</v>
      </c>
      <c r="W13" s="711">
        <f t="shared" si="2"/>
        <v>100</v>
      </c>
      <c r="X13" s="712"/>
      <c r="Y13" s="3161"/>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5"/>
      <c r="M14" s="2939"/>
      <c r="N14" s="2939"/>
      <c r="O14" s="2939"/>
      <c r="P14" s="3302"/>
      <c r="Q14" s="1527">
        <f t="shared" si="6"/>
        <v>111</v>
      </c>
      <c r="R14" s="710" t="s">
        <v>21</v>
      </c>
      <c r="S14" s="711">
        <f t="shared" si="0"/>
        <v>100</v>
      </c>
      <c r="T14" s="710" t="s">
        <v>21</v>
      </c>
      <c r="U14" s="711">
        <f t="shared" si="1"/>
        <v>100</v>
      </c>
      <c r="V14" s="710" t="s">
        <v>21</v>
      </c>
      <c r="W14" s="711">
        <f t="shared" si="2"/>
        <v>100</v>
      </c>
      <c r="X14" s="712"/>
      <c r="Y14" s="3161"/>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300" t="s">
        <v>2381</v>
      </c>
      <c r="Q15" s="1536" t="str">
        <f t="shared" si="6"/>
        <v>居住社区成熟度</v>
      </c>
      <c r="R15" s="714" t="s">
        <v>21</v>
      </c>
      <c r="S15" s="715">
        <f t="shared" si="0"/>
        <v>100</v>
      </c>
      <c r="T15" s="714" t="s">
        <v>21</v>
      </c>
      <c r="U15" s="715">
        <f t="shared" si="1"/>
        <v>100</v>
      </c>
      <c r="V15" s="714" t="s">
        <v>21</v>
      </c>
      <c r="W15" s="715">
        <f t="shared" si="2"/>
        <v>100</v>
      </c>
      <c r="X15" s="1539"/>
      <c r="Y15" s="3293"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5"/>
      <c r="M16" s="2939"/>
      <c r="N16" s="2939"/>
      <c r="O16" s="2939"/>
      <c r="P16" s="3301"/>
      <c r="Q16" s="1536"/>
      <c r="R16" s="714"/>
      <c r="S16" s="715"/>
      <c r="T16" s="714"/>
      <c r="U16" s="715"/>
      <c r="V16" s="714"/>
      <c r="W16" s="715"/>
      <c r="X16" s="1539"/>
      <c r="Y16" s="3294"/>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301"/>
      <c r="Q17" s="1536" t="str">
        <f>B17</f>
        <v>交通便捷度</v>
      </c>
      <c r="R17" s="714" t="s">
        <v>21</v>
      </c>
      <c r="S17" s="715">
        <f>F17</f>
        <v>100</v>
      </c>
      <c r="T17" s="714" t="s">
        <v>21</v>
      </c>
      <c r="U17" s="715">
        <f>H17</f>
        <v>100</v>
      </c>
      <c r="V17" s="714" t="s">
        <v>21</v>
      </c>
      <c r="W17" s="715">
        <f>J17</f>
        <v>100</v>
      </c>
      <c r="X17" s="1539"/>
      <c r="Y17" s="3294"/>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5"/>
      <c r="M18" s="2939"/>
      <c r="N18" s="2939"/>
      <c r="O18" s="2939"/>
      <c r="P18" s="3301"/>
      <c r="Q18" s="1536"/>
      <c r="R18" s="714"/>
      <c r="S18" s="715"/>
      <c r="T18" s="714"/>
      <c r="U18" s="715"/>
      <c r="V18" s="714"/>
      <c r="W18" s="715"/>
      <c r="X18" s="1539"/>
      <c r="Y18" s="3294"/>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301"/>
      <c r="Q19" s="1536" t="str">
        <f>B19</f>
        <v>公共配套设施</v>
      </c>
      <c r="R19" s="714" t="s">
        <v>21</v>
      </c>
      <c r="S19" s="715">
        <f>F19</f>
        <v>100</v>
      </c>
      <c r="T19" s="714" t="s">
        <v>21</v>
      </c>
      <c r="U19" s="715">
        <f>H19</f>
        <v>100</v>
      </c>
      <c r="V19" s="714" t="s">
        <v>21</v>
      </c>
      <c r="W19" s="715">
        <f>J19</f>
        <v>100</v>
      </c>
      <c r="X19" s="1539"/>
      <c r="Y19" s="3294"/>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5"/>
      <c r="M20" s="2939"/>
      <c r="N20" s="2939"/>
      <c r="O20" s="2939"/>
      <c r="P20" s="3301"/>
      <c r="Q20" s="1536"/>
      <c r="R20" s="714"/>
      <c r="S20" s="715"/>
      <c r="T20" s="714"/>
      <c r="U20" s="715"/>
      <c r="V20" s="714"/>
      <c r="W20" s="715"/>
      <c r="X20" s="1539"/>
      <c r="Y20" s="3294"/>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301"/>
      <c r="Q21" s="1536" t="str">
        <f>B21</f>
        <v>基础设施水平</v>
      </c>
      <c r="R21" s="714" t="s">
        <v>17</v>
      </c>
      <c r="S21" s="715">
        <f>F21</f>
        <v>100</v>
      </c>
      <c r="T21" s="714" t="s">
        <v>17</v>
      </c>
      <c r="U21" s="715">
        <f>H21</f>
        <v>100</v>
      </c>
      <c r="V21" s="714" t="s">
        <v>17</v>
      </c>
      <c r="W21" s="715">
        <f>J21</f>
        <v>100</v>
      </c>
      <c r="X21" s="1539"/>
      <c r="Y21" s="329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5"/>
      <c r="M22" s="2939"/>
      <c r="N22" s="2939"/>
      <c r="O22" s="2939"/>
      <c r="P22" s="3301"/>
      <c r="Q22" s="1536"/>
      <c r="R22" s="714"/>
      <c r="S22" s="715"/>
      <c r="T22" s="714"/>
      <c r="U22" s="715"/>
      <c r="V22" s="714"/>
      <c r="W22" s="715"/>
      <c r="X22" s="1539"/>
      <c r="Y22" s="3294"/>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301"/>
      <c r="Q23" s="1536" t="str">
        <f>B23</f>
        <v>自然及人文环境</v>
      </c>
      <c r="R23" s="714" t="s">
        <v>21</v>
      </c>
      <c r="S23" s="715">
        <f>F23</f>
        <v>100</v>
      </c>
      <c r="T23" s="714" t="s">
        <v>21</v>
      </c>
      <c r="U23" s="715">
        <f>H23</f>
        <v>100</v>
      </c>
      <c r="V23" s="714" t="s">
        <v>21</v>
      </c>
      <c r="W23" s="715">
        <f>J23</f>
        <v>100</v>
      </c>
      <c r="X23" s="1539"/>
      <c r="Y23" s="3294"/>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5"/>
      <c r="M24" s="2939"/>
      <c r="N24" s="2939"/>
      <c r="O24" s="2939"/>
      <c r="P24" s="3301"/>
      <c r="Q24" s="1536"/>
      <c r="R24" s="714"/>
      <c r="S24" s="715"/>
      <c r="T24" s="714"/>
      <c r="U24" s="715"/>
      <c r="V24" s="714"/>
      <c r="W24" s="715"/>
      <c r="X24" s="1539"/>
      <c r="Y24" s="3294"/>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5"/>
      <c r="M25" s="2939"/>
      <c r="N25" s="2939"/>
      <c r="O25" s="2939"/>
      <c r="P25" s="3301"/>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94"/>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5"/>
      <c r="M26" s="2939"/>
      <c r="N26" s="2939"/>
      <c r="O26" s="2939"/>
      <c r="P26" s="3301"/>
      <c r="Q26" s="1536" t="str">
        <f t="shared" si="11"/>
        <v>朝向</v>
      </c>
      <c r="R26" s="714" t="s">
        <v>21</v>
      </c>
      <c r="S26" s="715">
        <f t="shared" si="12"/>
        <v>100</v>
      </c>
      <c r="T26" s="714" t="s">
        <v>21</v>
      </c>
      <c r="U26" s="715">
        <f t="shared" si="13"/>
        <v>100</v>
      </c>
      <c r="V26" s="714" t="s">
        <v>21</v>
      </c>
      <c r="W26" s="715">
        <f t="shared" si="14"/>
        <v>100</v>
      </c>
      <c r="X26" s="1539"/>
      <c r="Y26" s="3294"/>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0"/>
      <c r="M27" s="2941"/>
      <c r="N27" s="2941"/>
      <c r="O27" s="2941"/>
      <c r="P27" s="3301"/>
      <c r="Q27" s="1527">
        <f t="shared" si="11"/>
        <v>111</v>
      </c>
      <c r="R27" s="710" t="s">
        <v>21</v>
      </c>
      <c r="S27" s="711">
        <f t="shared" si="12"/>
        <v>100</v>
      </c>
      <c r="T27" s="710" t="s">
        <v>21</v>
      </c>
      <c r="U27" s="711">
        <f t="shared" si="13"/>
        <v>100</v>
      </c>
      <c r="V27" s="710" t="s">
        <v>21</v>
      </c>
      <c r="W27" s="711">
        <f t="shared" si="14"/>
        <v>100</v>
      </c>
      <c r="X27" s="712"/>
      <c r="Y27" s="3294"/>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5"/>
      <c r="M28" s="2939"/>
      <c r="N28" s="2939"/>
      <c r="O28" s="2939"/>
      <c r="P28" s="3301"/>
      <c r="Q28" s="1536">
        <f t="shared" si="11"/>
        <v>111</v>
      </c>
      <c r="R28" s="714" t="s">
        <v>21</v>
      </c>
      <c r="S28" s="715">
        <f t="shared" si="12"/>
        <v>100</v>
      </c>
      <c r="T28" s="714" t="s">
        <v>21</v>
      </c>
      <c r="U28" s="715">
        <f t="shared" si="13"/>
        <v>100</v>
      </c>
      <c r="V28" s="714" t="s">
        <v>21</v>
      </c>
      <c r="W28" s="715">
        <f t="shared" si="14"/>
        <v>100</v>
      </c>
      <c r="X28" s="1539"/>
      <c r="Y28" s="3294"/>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5"/>
      <c r="M29" s="2939"/>
      <c r="N29" s="2939"/>
      <c r="O29" s="2939"/>
      <c r="P29" s="3301"/>
      <c r="Q29" s="1536">
        <f t="shared" si="11"/>
        <v>111</v>
      </c>
      <c r="R29" s="714" t="s">
        <v>21</v>
      </c>
      <c r="S29" s="715">
        <f t="shared" si="12"/>
        <v>100</v>
      </c>
      <c r="T29" s="714" t="s">
        <v>21</v>
      </c>
      <c r="U29" s="715">
        <f t="shared" si="13"/>
        <v>100</v>
      </c>
      <c r="V29" s="714" t="s">
        <v>21</v>
      </c>
      <c r="W29" s="715">
        <f t="shared" si="14"/>
        <v>100</v>
      </c>
      <c r="X29" s="1539"/>
      <c r="Y29" s="3294"/>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5"/>
      <c r="M30" s="2939"/>
      <c r="N30" s="2939"/>
      <c r="O30" s="2939"/>
      <c r="P30" s="3301"/>
      <c r="Q30" s="1536">
        <f t="shared" si="11"/>
        <v>111</v>
      </c>
      <c r="R30" s="714" t="s">
        <v>21</v>
      </c>
      <c r="S30" s="715">
        <f t="shared" si="12"/>
        <v>100</v>
      </c>
      <c r="T30" s="714" t="s">
        <v>21</v>
      </c>
      <c r="U30" s="715">
        <f t="shared" si="13"/>
        <v>100</v>
      </c>
      <c r="V30" s="714" t="s">
        <v>21</v>
      </c>
      <c r="W30" s="715">
        <f t="shared" si="14"/>
        <v>100</v>
      </c>
      <c r="X30" s="1539"/>
      <c r="Y30" s="3294"/>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5"/>
      <c r="M31" s="2939"/>
      <c r="N31" s="2939"/>
      <c r="O31" s="2939"/>
      <c r="P31" s="3301"/>
      <c r="Q31" s="1536">
        <f t="shared" si="11"/>
        <v>111</v>
      </c>
      <c r="R31" s="714" t="s">
        <v>21</v>
      </c>
      <c r="S31" s="715">
        <f t="shared" si="12"/>
        <v>100</v>
      </c>
      <c r="T31" s="714" t="s">
        <v>21</v>
      </c>
      <c r="U31" s="715">
        <f t="shared" si="13"/>
        <v>100</v>
      </c>
      <c r="V31" s="714" t="s">
        <v>21</v>
      </c>
      <c r="W31" s="715">
        <f t="shared" si="14"/>
        <v>100</v>
      </c>
      <c r="X31" s="1539"/>
      <c r="Y31" s="3294"/>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5"/>
      <c r="M32" s="2939"/>
      <c r="N32" s="2939"/>
      <c r="O32" s="2939"/>
      <c r="P32" s="3295" t="s">
        <v>2386</v>
      </c>
      <c r="Q32" s="1536" t="str">
        <f t="shared" si="11"/>
        <v>建筑类型</v>
      </c>
      <c r="R32" s="714" t="s">
        <v>21</v>
      </c>
      <c r="S32" s="715">
        <f t="shared" si="12"/>
        <v>100</v>
      </c>
      <c r="T32" s="714" t="s">
        <v>21</v>
      </c>
      <c r="U32" s="715">
        <f t="shared" si="13"/>
        <v>100</v>
      </c>
      <c r="V32" s="714" t="s">
        <v>21</v>
      </c>
      <c r="W32" s="715">
        <f t="shared" si="14"/>
        <v>100</v>
      </c>
      <c r="X32" s="1539"/>
      <c r="Y32" s="3298"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4"/>
      <c r="M33" s="2946"/>
      <c r="N33" s="2946"/>
      <c r="O33" s="2946"/>
      <c r="P33" s="3296"/>
      <c r="Q33" s="716" t="str">
        <f t="shared" si="11"/>
        <v>项目建筑规模</v>
      </c>
      <c r="R33" s="717" t="s">
        <v>21</v>
      </c>
      <c r="S33" s="718" t="e">
        <f t="shared" si="12"/>
        <v>#N/A</v>
      </c>
      <c r="T33" s="717" t="s">
        <v>21</v>
      </c>
      <c r="U33" s="718" t="e">
        <f t="shared" si="13"/>
        <v>#N/A</v>
      </c>
      <c r="V33" s="717" t="s">
        <v>21</v>
      </c>
      <c r="W33" s="718" t="e">
        <f t="shared" si="14"/>
        <v>#N/A</v>
      </c>
      <c r="X33" s="719"/>
      <c r="Y33" s="3298"/>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5"/>
      <c r="M34" s="2939"/>
      <c r="N34" s="2939"/>
      <c r="O34" s="2939"/>
      <c r="P34" s="3296"/>
      <c r="Q34" s="1536" t="str">
        <f t="shared" si="11"/>
        <v>建筑结构</v>
      </c>
      <c r="R34" s="714" t="s">
        <v>21</v>
      </c>
      <c r="S34" s="715">
        <f t="shared" si="12"/>
        <v>100</v>
      </c>
      <c r="T34" s="714" t="s">
        <v>21</v>
      </c>
      <c r="U34" s="715">
        <f t="shared" si="13"/>
        <v>100</v>
      </c>
      <c r="V34" s="714" t="s">
        <v>21</v>
      </c>
      <c r="W34" s="715">
        <f t="shared" si="14"/>
        <v>100</v>
      </c>
      <c r="X34" s="1539"/>
      <c r="Y34" s="3298"/>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5"/>
      <c r="M35" s="2939"/>
      <c r="N35" s="2939"/>
      <c r="O35" s="2939"/>
      <c r="P35" s="3296"/>
      <c r="Q35" s="1536" t="str">
        <f t="shared" si="11"/>
        <v>建筑品质</v>
      </c>
      <c r="R35" s="714" t="s">
        <v>21</v>
      </c>
      <c r="S35" s="715">
        <f t="shared" si="12"/>
        <v>100</v>
      </c>
      <c r="T35" s="714" t="s">
        <v>21</v>
      </c>
      <c r="U35" s="715">
        <f t="shared" si="13"/>
        <v>100</v>
      </c>
      <c r="V35" s="714" t="s">
        <v>21</v>
      </c>
      <c r="W35" s="715">
        <f t="shared" si="14"/>
        <v>100</v>
      </c>
      <c r="X35" s="1539"/>
      <c r="Y35" s="3298"/>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5"/>
      <c r="M36" s="2939"/>
      <c r="N36" s="2939"/>
      <c r="O36" s="2939"/>
      <c r="P36" s="3296"/>
      <c r="Q36" s="1536" t="str">
        <f t="shared" si="11"/>
        <v>公共部分装修</v>
      </c>
      <c r="R36" s="714" t="s">
        <v>21</v>
      </c>
      <c r="S36" s="715">
        <f t="shared" si="12"/>
        <v>100</v>
      </c>
      <c r="T36" s="714" t="s">
        <v>21</v>
      </c>
      <c r="U36" s="715">
        <f t="shared" si="13"/>
        <v>100</v>
      </c>
      <c r="V36" s="714" t="s">
        <v>21</v>
      </c>
      <c r="W36" s="715">
        <f t="shared" si="14"/>
        <v>100</v>
      </c>
      <c r="X36" s="1539"/>
      <c r="Y36" s="3298"/>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296"/>
      <c r="Q37" s="1527" t="str">
        <f t="shared" si="11"/>
        <v>成新度</v>
      </c>
      <c r="R37" s="710" t="s">
        <v>21</v>
      </c>
      <c r="S37" s="711" t="e">
        <f t="shared" si="12"/>
        <v>#N/A</v>
      </c>
      <c r="T37" s="710" t="s">
        <v>21</v>
      </c>
      <c r="U37" s="711" t="e">
        <f t="shared" si="13"/>
        <v>#N/A</v>
      </c>
      <c r="V37" s="710" t="s">
        <v>21</v>
      </c>
      <c r="W37" s="711" t="e">
        <f t="shared" si="14"/>
        <v>#N/A</v>
      </c>
      <c r="X37" s="712"/>
      <c r="Y37" s="3298"/>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5"/>
      <c r="M38" s="2939"/>
      <c r="N38" s="2939"/>
      <c r="O38" s="2939"/>
      <c r="P38" s="3296" t="s">
        <v>2386</v>
      </c>
      <c r="Q38" s="1536" t="str">
        <f t="shared" si="11"/>
        <v>物业管理</v>
      </c>
      <c r="R38" s="714" t="s">
        <v>21</v>
      </c>
      <c r="S38" s="715">
        <f t="shared" si="12"/>
        <v>100</v>
      </c>
      <c r="T38" s="714" t="s">
        <v>21</v>
      </c>
      <c r="U38" s="715">
        <f t="shared" si="13"/>
        <v>100</v>
      </c>
      <c r="V38" s="714" t="s">
        <v>21</v>
      </c>
      <c r="W38" s="715">
        <f t="shared" si="14"/>
        <v>100</v>
      </c>
      <c r="X38" s="1539"/>
      <c r="Y38" s="3298"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5"/>
      <c r="M39" s="2939"/>
      <c r="N39" s="2939"/>
      <c r="O39" s="2939"/>
      <c r="P39" s="3296"/>
      <c r="Q39" s="1536" t="str">
        <f t="shared" si="11"/>
        <v>市政基础设施</v>
      </c>
      <c r="R39" s="714" t="s">
        <v>21</v>
      </c>
      <c r="S39" s="715">
        <f t="shared" si="12"/>
        <v>100</v>
      </c>
      <c r="T39" s="714" t="s">
        <v>21</v>
      </c>
      <c r="U39" s="715">
        <f t="shared" si="13"/>
        <v>100</v>
      </c>
      <c r="V39" s="714" t="s">
        <v>21</v>
      </c>
      <c r="W39" s="715">
        <f t="shared" si="14"/>
        <v>100</v>
      </c>
      <c r="X39" s="1539"/>
      <c r="Y39" s="3298"/>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5"/>
      <c r="M40" s="2939"/>
      <c r="N40" s="2939"/>
      <c r="O40" s="2939"/>
      <c r="P40" s="3296"/>
      <c r="Q40" s="1536" t="str">
        <f t="shared" si="11"/>
        <v>房型</v>
      </c>
      <c r="R40" s="714" t="s">
        <v>21</v>
      </c>
      <c r="S40" s="715">
        <f t="shared" si="12"/>
        <v>100</v>
      </c>
      <c r="T40" s="714" t="s">
        <v>21</v>
      </c>
      <c r="U40" s="715">
        <f t="shared" si="13"/>
        <v>100</v>
      </c>
      <c r="V40" s="714" t="s">
        <v>21</v>
      </c>
      <c r="W40" s="715">
        <f t="shared" si="14"/>
        <v>100</v>
      </c>
      <c r="X40" s="1539"/>
      <c r="Y40" s="3298"/>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4"/>
      <c r="M41" s="2946"/>
      <c r="N41" s="2946"/>
      <c r="O41" s="2946"/>
      <c r="P41" s="3296"/>
      <c r="Q41" s="716" t="str">
        <f t="shared" si="11"/>
        <v>单套/主力户型建筑面积</v>
      </c>
      <c r="R41" s="717" t="s">
        <v>21</v>
      </c>
      <c r="S41" s="718">
        <f t="shared" si="12"/>
        <v>100</v>
      </c>
      <c r="T41" s="717" t="s">
        <v>21</v>
      </c>
      <c r="U41" s="718">
        <f t="shared" si="13"/>
        <v>100</v>
      </c>
      <c r="V41" s="717" t="s">
        <v>21</v>
      </c>
      <c r="W41" s="718">
        <f t="shared" si="14"/>
        <v>100</v>
      </c>
      <c r="X41" s="719"/>
      <c r="Y41" s="3298"/>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5"/>
      <c r="M42" s="2939"/>
      <c r="N42" s="2939"/>
      <c r="O42" s="2939"/>
      <c r="P42" s="3296"/>
      <c r="Q42" s="1536" t="str">
        <f t="shared" si="11"/>
        <v>内部装修</v>
      </c>
      <c r="R42" s="714" t="s">
        <v>21</v>
      </c>
      <c r="S42" s="715">
        <f t="shared" si="12"/>
        <v>100</v>
      </c>
      <c r="T42" s="714" t="s">
        <v>21</v>
      </c>
      <c r="U42" s="715">
        <f t="shared" si="13"/>
        <v>100</v>
      </c>
      <c r="V42" s="714" t="s">
        <v>21</v>
      </c>
      <c r="W42" s="715">
        <f t="shared" si="14"/>
        <v>100</v>
      </c>
      <c r="X42" s="1539"/>
      <c r="Y42" s="3298"/>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5"/>
      <c r="M43" s="2939"/>
      <c r="N43" s="2939"/>
      <c r="O43" s="2939"/>
      <c r="P43" s="3296"/>
      <c r="Q43" s="1536" t="str">
        <f t="shared" si="11"/>
        <v>内部装修维护情况</v>
      </c>
      <c r="R43" s="714" t="s">
        <v>21</v>
      </c>
      <c r="S43" s="715">
        <f t="shared" si="12"/>
        <v>100</v>
      </c>
      <c r="T43" s="714" t="s">
        <v>21</v>
      </c>
      <c r="U43" s="715">
        <f t="shared" si="13"/>
        <v>100</v>
      </c>
      <c r="V43" s="714" t="s">
        <v>21</v>
      </c>
      <c r="W43" s="715">
        <f t="shared" si="14"/>
        <v>100</v>
      </c>
      <c r="X43" s="1539"/>
      <c r="Y43" s="3298"/>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0"/>
      <c r="M44" s="2941"/>
      <c r="N44" s="2941"/>
      <c r="O44" s="2941"/>
      <c r="P44" s="3296"/>
      <c r="Q44" s="1527">
        <f t="shared" si="11"/>
        <v>111</v>
      </c>
      <c r="R44" s="710" t="s">
        <v>21</v>
      </c>
      <c r="S44" s="711">
        <f t="shared" si="12"/>
        <v>100</v>
      </c>
      <c r="T44" s="710" t="s">
        <v>21</v>
      </c>
      <c r="U44" s="711">
        <f t="shared" si="13"/>
        <v>100</v>
      </c>
      <c r="V44" s="710" t="s">
        <v>21</v>
      </c>
      <c r="W44" s="711">
        <f t="shared" si="14"/>
        <v>100</v>
      </c>
      <c r="X44" s="712"/>
      <c r="Y44" s="329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5"/>
      <c r="M45" s="2939"/>
      <c r="N45" s="2939"/>
      <c r="O45" s="2939"/>
      <c r="P45" s="3296"/>
      <c r="Q45" s="1536">
        <f t="shared" si="11"/>
        <v>111</v>
      </c>
      <c r="R45" s="714" t="s">
        <v>21</v>
      </c>
      <c r="S45" s="715">
        <f t="shared" si="12"/>
        <v>100</v>
      </c>
      <c r="T45" s="714" t="s">
        <v>21</v>
      </c>
      <c r="U45" s="715">
        <f t="shared" si="13"/>
        <v>100</v>
      </c>
      <c r="V45" s="714" t="s">
        <v>21</v>
      </c>
      <c r="W45" s="715">
        <f t="shared" si="14"/>
        <v>100</v>
      </c>
      <c r="X45" s="1539"/>
      <c r="Y45" s="3298"/>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5"/>
      <c r="M46" s="2939"/>
      <c r="N46" s="2939"/>
      <c r="O46" s="2939"/>
      <c r="P46" s="3297"/>
      <c r="Q46" s="1536">
        <f t="shared" si="11"/>
        <v>111</v>
      </c>
      <c r="R46" s="714" t="s">
        <v>20</v>
      </c>
      <c r="S46" s="715">
        <f t="shared" si="12"/>
        <v>100</v>
      </c>
      <c r="T46" s="714" t="s">
        <v>20</v>
      </c>
      <c r="U46" s="715">
        <f t="shared" si="13"/>
        <v>100</v>
      </c>
      <c r="V46" s="714" t="s">
        <v>20</v>
      </c>
      <c r="W46" s="715">
        <f t="shared" si="14"/>
        <v>100</v>
      </c>
      <c r="X46" s="1539"/>
      <c r="Y46" s="3299"/>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47"/>
      <c r="M47" s="2948"/>
      <c r="N47" s="2939"/>
      <c r="O47" s="2948"/>
      <c r="P47" s="3291" t="str">
        <f>A47</f>
        <v>成交单价（元/平方米）</v>
      </c>
      <c r="Q47" s="3291"/>
      <c r="R47" s="3292">
        <f>E47</f>
        <v>0</v>
      </c>
      <c r="S47" s="3292"/>
      <c r="T47" s="3292">
        <f>G47</f>
        <v>0</v>
      </c>
      <c r="U47" s="3292"/>
      <c r="V47" s="3292">
        <f>I47</f>
        <v>0</v>
      </c>
      <c r="W47" s="3292"/>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47"/>
      <c r="M48" s="2948"/>
      <c r="N48" s="2948"/>
      <c r="O48" s="2948"/>
      <c r="P48" s="3291" t="str">
        <f>A48</f>
        <v>比较价值（元/平方米）</v>
      </c>
      <c r="Q48" s="3291"/>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47"/>
      <c r="M49" s="2948"/>
      <c r="N49" s="2948"/>
      <c r="O49" s="2948"/>
      <c r="P49" s="3288" t="str">
        <f>A49</f>
        <v>估价对象XX用房的比较价值（楼面单价，元/平方米）</v>
      </c>
      <c r="Q49" s="3289"/>
      <c r="R49" s="3290" t="e">
        <f>IF(F1="售价",ROUND(IF(D48="简单平均",AVERAGE(R48:V48),R48*F48+T48*H48+V48*J48),0),ROUND(IF(D48="简单平均",AVERAGE(R48:V48),R48*F48+T48*H48+V48*J48),1))</f>
        <v>#DIV/0!</v>
      </c>
      <c r="S49" s="3290"/>
      <c r="T49" s="3290"/>
      <c r="U49" s="3290"/>
      <c r="V49" s="3290"/>
      <c r="W49" s="3290"/>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103"/>
    </row>
    <row r="55" spans="1:29" s="459" customFormat="1">
      <c r="A55" s="2951"/>
      <c r="B55" s="2954"/>
      <c r="C55" s="2955"/>
      <c r="D55" s="2951"/>
      <c r="E55" s="2951"/>
      <c r="F55" s="2951"/>
      <c r="G55" s="2951"/>
      <c r="H55" s="2951"/>
      <c r="I55" s="2951"/>
      <c r="J55" s="2951"/>
      <c r="K55" s="2956"/>
      <c r="L55" s="2950"/>
      <c r="M55" s="2951"/>
      <c r="N55" s="2951"/>
      <c r="O55" s="2951"/>
      <c r="P55" s="2103"/>
    </row>
    <row r="56" spans="1:29">
      <c r="A56" s="2948"/>
      <c r="B56" s="2954"/>
      <c r="C56" s="2955"/>
      <c r="D56" s="2948"/>
      <c r="E56" s="2948"/>
      <c r="F56" s="2948"/>
      <c r="G56" s="2948"/>
      <c r="H56" s="2948"/>
      <c r="I56" s="2948"/>
      <c r="J56" s="2948"/>
      <c r="K56" s="2953"/>
      <c r="L56" s="2949"/>
      <c r="M56" s="2948"/>
      <c r="N56" s="2948"/>
      <c r="O56" s="2948"/>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2021-9</v>
      </c>
      <c r="D58" s="1347">
        <f>EDATE(C58,-1)</f>
        <v>44409</v>
      </c>
      <c r="E58" s="1347">
        <f>EDATE(D58,-1)</f>
        <v>44378</v>
      </c>
      <c r="F58" s="1347">
        <f t="shared" ref="F58:O58" si="19">EDATE(E58,-1)</f>
        <v>44348</v>
      </c>
      <c r="G58" s="1347">
        <f t="shared" si="19"/>
        <v>44317</v>
      </c>
      <c r="H58" s="1347">
        <f t="shared" si="19"/>
        <v>44287</v>
      </c>
      <c r="I58" s="1347">
        <f t="shared" si="19"/>
        <v>44256</v>
      </c>
      <c r="J58" s="1347">
        <f t="shared" si="19"/>
        <v>44228</v>
      </c>
      <c r="K58" s="1347">
        <f t="shared" si="19"/>
        <v>44197</v>
      </c>
      <c r="L58" s="1347">
        <f t="shared" si="19"/>
        <v>44166</v>
      </c>
      <c r="M58" s="1347">
        <f t="shared" si="19"/>
        <v>44136</v>
      </c>
      <c r="N58" s="1347">
        <f t="shared" si="19"/>
        <v>44105</v>
      </c>
      <c r="O58" s="1347">
        <f t="shared" si="19"/>
        <v>44075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57"/>
      <c r="M2" s="2958"/>
      <c r="N2" s="2958"/>
      <c r="O2" s="2958"/>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28660.61</v>
      </c>
      <c r="E3" s="2140"/>
      <c r="F3" s="1040"/>
      <c r="G3" s="1039"/>
      <c r="H3" s="1039"/>
      <c r="I3" s="1039"/>
      <c r="J3" s="1039"/>
      <c r="K3" s="1041"/>
      <c r="L3" s="2957"/>
      <c r="M3" s="2958"/>
      <c r="N3" s="2958"/>
      <c r="O3" s="2958"/>
      <c r="P3" s="2138"/>
      <c r="Q3" s="1043"/>
      <c r="R3" s="1043"/>
      <c r="S3" s="1043"/>
      <c r="T3" s="1043"/>
      <c r="U3" s="1043"/>
      <c r="V3" s="1043"/>
      <c r="W3" s="1043"/>
      <c r="X3" s="1043"/>
      <c r="Y3" s="1043"/>
      <c r="Z3" s="1043"/>
      <c r="AA3" s="1043"/>
      <c r="AB3" s="1043"/>
      <c r="AC3" s="2140"/>
    </row>
    <row r="4" spans="1:29" ht="15">
      <c r="A4" s="361" t="s">
        <v>2466</v>
      </c>
      <c r="B4" s="362"/>
      <c r="C4" s="3306" t="s">
        <v>2467</v>
      </c>
      <c r="D4" s="3307"/>
      <c r="E4" s="3308" t="s">
        <v>2468</v>
      </c>
      <c r="F4" s="3309"/>
      <c r="G4" s="3306" t="s">
        <v>2469</v>
      </c>
      <c r="H4" s="3307"/>
      <c r="I4" s="3306" t="s">
        <v>2470</v>
      </c>
      <c r="J4" s="3307"/>
      <c r="K4" s="567" t="s">
        <v>2471</v>
      </c>
      <c r="L4" s="2938"/>
      <c r="M4" s="2939"/>
      <c r="N4" s="2939"/>
      <c r="O4" s="2939"/>
      <c r="P4" s="3310" t="s">
        <v>2472</v>
      </c>
      <c r="Q4" s="3311"/>
      <c r="R4" s="3316" t="s">
        <v>2468</v>
      </c>
      <c r="S4" s="3317"/>
      <c r="T4" s="3316" t="s">
        <v>2469</v>
      </c>
      <c r="U4" s="3317"/>
      <c r="V4" s="3322" t="s">
        <v>2470</v>
      </c>
      <c r="W4" s="3322"/>
      <c r="X4" s="1539"/>
      <c r="Y4" s="3316" t="s">
        <v>2472</v>
      </c>
      <c r="Z4" s="3317"/>
      <c r="AA4" s="3303" t="s">
        <v>2468</v>
      </c>
      <c r="AB4" s="3322" t="s">
        <v>2469</v>
      </c>
      <c r="AC4" s="3303" t="s">
        <v>2470</v>
      </c>
    </row>
    <row r="5" spans="1:29" ht="15">
      <c r="A5" s="364"/>
      <c r="B5" s="365"/>
      <c r="C5" s="3325" t="s">
        <v>2363</v>
      </c>
      <c r="D5" s="3326"/>
      <c r="E5" s="3332" t="s">
        <v>2364</v>
      </c>
      <c r="F5" s="3333"/>
      <c r="G5" s="3325" t="s">
        <v>2365</v>
      </c>
      <c r="H5" s="3326"/>
      <c r="I5" s="3325" t="s">
        <v>2366</v>
      </c>
      <c r="J5" s="3326"/>
      <c r="K5" s="567"/>
      <c r="L5" s="2938"/>
      <c r="M5" s="2939"/>
      <c r="N5" s="2939"/>
      <c r="O5" s="2939"/>
      <c r="P5" s="3312"/>
      <c r="Q5" s="3313"/>
      <c r="R5" s="3318"/>
      <c r="S5" s="3319"/>
      <c r="T5" s="3318"/>
      <c r="U5" s="3319"/>
      <c r="V5" s="3322"/>
      <c r="W5" s="3322"/>
      <c r="X5" s="1539"/>
      <c r="Y5" s="3318"/>
      <c r="Z5" s="3319"/>
      <c r="AA5" s="3304"/>
      <c r="AB5" s="3322"/>
      <c r="AC5" s="3304"/>
    </row>
    <row r="6" spans="1:29" ht="15.75" thickBot="1">
      <c r="A6" s="366"/>
      <c r="B6" s="367"/>
      <c r="C6" s="3323" t="s">
        <v>2367</v>
      </c>
      <c r="D6" s="3324"/>
      <c r="E6" s="3330" t="s">
        <v>2367</v>
      </c>
      <c r="F6" s="3331"/>
      <c r="G6" s="3323" t="s">
        <v>2367</v>
      </c>
      <c r="H6" s="3324"/>
      <c r="I6" s="3323" t="s">
        <v>2367</v>
      </c>
      <c r="J6" s="3324"/>
      <c r="K6" s="567" t="s">
        <v>2368</v>
      </c>
      <c r="L6" s="2938"/>
      <c r="M6" s="2939"/>
      <c r="N6" s="2939"/>
      <c r="O6" s="2939"/>
      <c r="P6" s="3314"/>
      <c r="Q6" s="3315"/>
      <c r="R6" s="3318"/>
      <c r="S6" s="3319"/>
      <c r="T6" s="3320"/>
      <c r="U6" s="3321"/>
      <c r="V6" s="3322"/>
      <c r="W6" s="3322"/>
      <c r="X6" s="1539"/>
      <c r="Y6" s="3320"/>
      <c r="Z6" s="3321"/>
      <c r="AA6" s="3305"/>
      <c r="AB6" s="3322"/>
      <c r="AC6" s="3305"/>
    </row>
    <row r="7" spans="1:29" s="113" customFormat="1" ht="15.75" thickBot="1">
      <c r="A7" s="368" t="s">
        <v>2369</v>
      </c>
      <c r="B7" s="369"/>
      <c r="C7" s="370">
        <f>'数据-取费表'!B2</f>
        <v>44454</v>
      </c>
      <c r="D7" s="371">
        <v>100</v>
      </c>
      <c r="E7" s="372"/>
      <c r="F7" s="373">
        <f>SUMIF(58:58,YEAR(E7)&amp;"-"&amp;MONTH(E7),59:59)</f>
        <v>0</v>
      </c>
      <c r="G7" s="372"/>
      <c r="H7" s="371">
        <f>SUMIF(58:58,YEAR(G7)&amp;"-"&amp;MONTH(G7),59:59)</f>
        <v>0</v>
      </c>
      <c r="I7" s="372"/>
      <c r="J7" s="371">
        <f>SUMIF(58:58,YEAR(I7)&amp;"-"&amp;MONTH(I7),59:59)</f>
        <v>0</v>
      </c>
      <c r="K7" s="568"/>
      <c r="L7" s="2940"/>
      <c r="M7" s="2941"/>
      <c r="N7" s="2941"/>
      <c r="O7" s="2941"/>
      <c r="P7" s="3327" t="s">
        <v>2370</v>
      </c>
      <c r="Q7" s="3329"/>
      <c r="R7" s="710" t="s">
        <v>17</v>
      </c>
      <c r="S7" s="711">
        <f t="shared" ref="S7:S15" si="0">F7</f>
        <v>0</v>
      </c>
      <c r="T7" s="710" t="s">
        <v>17</v>
      </c>
      <c r="U7" s="711">
        <f t="shared" ref="U7:U15" si="1">H7</f>
        <v>0</v>
      </c>
      <c r="V7" s="710" t="s">
        <v>17</v>
      </c>
      <c r="W7" s="711">
        <f t="shared" ref="W7:W15" si="2">J7</f>
        <v>0</v>
      </c>
      <c r="X7" s="712"/>
      <c r="Y7" s="3327" t="s">
        <v>2370</v>
      </c>
      <c r="Z7" s="3328"/>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327" t="s">
        <v>2373</v>
      </c>
      <c r="Q8" s="3328"/>
      <c r="R8" s="710" t="s">
        <v>17</v>
      </c>
      <c r="S8" s="711">
        <f t="shared" si="0"/>
        <v>0</v>
      </c>
      <c r="T8" s="710" t="s">
        <v>17</v>
      </c>
      <c r="U8" s="711">
        <f t="shared" si="1"/>
        <v>0</v>
      </c>
      <c r="V8" s="710" t="s">
        <v>17</v>
      </c>
      <c r="W8" s="711">
        <f t="shared" si="2"/>
        <v>0</v>
      </c>
      <c r="X8" s="712"/>
      <c r="Y8" s="3327" t="s">
        <v>2373</v>
      </c>
      <c r="Z8" s="3328"/>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302" t="s">
        <v>2376</v>
      </c>
      <c r="Q9" s="1527" t="str">
        <f t="shared" ref="Q9:Q15" si="6">B9</f>
        <v>用途</v>
      </c>
      <c r="R9" s="710" t="s">
        <v>17</v>
      </c>
      <c r="S9" s="711">
        <f t="shared" si="0"/>
        <v>100</v>
      </c>
      <c r="T9" s="710" t="s">
        <v>17</v>
      </c>
      <c r="U9" s="711">
        <f t="shared" si="1"/>
        <v>100</v>
      </c>
      <c r="V9" s="710" t="s">
        <v>17</v>
      </c>
      <c r="W9" s="711">
        <f t="shared" si="2"/>
        <v>100</v>
      </c>
      <c r="X9" s="712"/>
      <c r="Y9" s="316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302"/>
      <c r="Q10" s="1527" t="str">
        <f t="shared" si="6"/>
        <v>土地使用年限（年）</v>
      </c>
      <c r="R10" s="710" t="s">
        <v>17</v>
      </c>
      <c r="S10" s="711">
        <f t="shared" si="0"/>
        <v>100</v>
      </c>
      <c r="T10" s="710" t="s">
        <v>17</v>
      </c>
      <c r="U10" s="711">
        <f t="shared" si="1"/>
        <v>100</v>
      </c>
      <c r="V10" s="710" t="s">
        <v>17</v>
      </c>
      <c r="W10" s="711">
        <f t="shared" si="2"/>
        <v>100</v>
      </c>
      <c r="X10" s="712"/>
      <c r="Y10" s="316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302"/>
      <c r="Q11" s="1527" t="str">
        <f t="shared" si="6"/>
        <v>容积率</v>
      </c>
      <c r="R11" s="710" t="s">
        <v>17</v>
      </c>
      <c r="S11" s="711" t="e">
        <f t="shared" si="0"/>
        <v>#N/A</v>
      </c>
      <c r="T11" s="710" t="s">
        <v>17</v>
      </c>
      <c r="U11" s="711" t="e">
        <f t="shared" si="1"/>
        <v>#N/A</v>
      </c>
      <c r="V11" s="710" t="s">
        <v>17</v>
      </c>
      <c r="W11" s="711" t="e">
        <f t="shared" si="2"/>
        <v>#N/A</v>
      </c>
      <c r="X11" s="712"/>
      <c r="Y11" s="316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302"/>
      <c r="Q12" s="1527">
        <f t="shared" si="6"/>
        <v>111</v>
      </c>
      <c r="R12" s="710" t="s">
        <v>17</v>
      </c>
      <c r="S12" s="711">
        <f t="shared" si="0"/>
        <v>100</v>
      </c>
      <c r="T12" s="710" t="s">
        <v>17</v>
      </c>
      <c r="U12" s="711">
        <f t="shared" si="1"/>
        <v>100</v>
      </c>
      <c r="V12" s="710" t="s">
        <v>17</v>
      </c>
      <c r="W12" s="711">
        <f t="shared" si="2"/>
        <v>100</v>
      </c>
      <c r="X12" s="712"/>
      <c r="Y12" s="316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302"/>
      <c r="Q13" s="1527">
        <f t="shared" si="6"/>
        <v>111</v>
      </c>
      <c r="R13" s="710" t="s">
        <v>17</v>
      </c>
      <c r="S13" s="711">
        <f t="shared" si="0"/>
        <v>100</v>
      </c>
      <c r="T13" s="710" t="s">
        <v>17</v>
      </c>
      <c r="U13" s="711">
        <f t="shared" si="1"/>
        <v>100</v>
      </c>
      <c r="V13" s="710" t="s">
        <v>17</v>
      </c>
      <c r="W13" s="711">
        <f t="shared" si="2"/>
        <v>100</v>
      </c>
      <c r="X13" s="712"/>
      <c r="Y13" s="3161"/>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302"/>
      <c r="Q14" s="1527">
        <f t="shared" si="6"/>
        <v>111</v>
      </c>
      <c r="R14" s="710" t="s">
        <v>17</v>
      </c>
      <c r="S14" s="711">
        <f t="shared" si="0"/>
        <v>100</v>
      </c>
      <c r="T14" s="710" t="s">
        <v>17</v>
      </c>
      <c r="U14" s="711">
        <f t="shared" si="1"/>
        <v>100</v>
      </c>
      <c r="V14" s="710" t="s">
        <v>17</v>
      </c>
      <c r="W14" s="711">
        <f t="shared" si="2"/>
        <v>100</v>
      </c>
      <c r="X14" s="712"/>
      <c r="Y14" s="3161"/>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300" t="s">
        <v>2381</v>
      </c>
      <c r="Q15" s="1536" t="str">
        <f t="shared" si="6"/>
        <v>商业繁华度</v>
      </c>
      <c r="R15" s="714" t="s">
        <v>17</v>
      </c>
      <c r="S15" s="715">
        <f t="shared" si="0"/>
        <v>100</v>
      </c>
      <c r="T15" s="714" t="s">
        <v>17</v>
      </c>
      <c r="U15" s="715">
        <f t="shared" si="1"/>
        <v>100</v>
      </c>
      <c r="V15" s="714" t="s">
        <v>17</v>
      </c>
      <c r="W15" s="715">
        <f t="shared" si="2"/>
        <v>100</v>
      </c>
      <c r="X15" s="1539"/>
      <c r="Y15" s="3293"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5"/>
      <c r="M16" s="2939"/>
      <c r="N16" s="2939"/>
      <c r="O16" s="2939"/>
      <c r="P16" s="3301"/>
      <c r="Q16" s="1536"/>
      <c r="R16" s="714"/>
      <c r="S16" s="715"/>
      <c r="T16" s="714"/>
      <c r="U16" s="715"/>
      <c r="V16" s="714"/>
      <c r="W16" s="715"/>
      <c r="X16" s="1539"/>
      <c r="Y16" s="3294"/>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301"/>
      <c r="Q17" s="1536" t="str">
        <f>B17</f>
        <v>交通便捷度</v>
      </c>
      <c r="R17" s="714" t="s">
        <v>17</v>
      </c>
      <c r="S17" s="715">
        <f>F17</f>
        <v>100</v>
      </c>
      <c r="T17" s="714" t="s">
        <v>17</v>
      </c>
      <c r="U17" s="715">
        <f>H17</f>
        <v>100</v>
      </c>
      <c r="V17" s="714" t="s">
        <v>17</v>
      </c>
      <c r="W17" s="715">
        <f>J17</f>
        <v>100</v>
      </c>
      <c r="X17" s="1539"/>
      <c r="Y17" s="329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5"/>
      <c r="M18" s="2939"/>
      <c r="N18" s="2939"/>
      <c r="O18" s="2939"/>
      <c r="P18" s="3301"/>
      <c r="Q18" s="1536"/>
      <c r="R18" s="714"/>
      <c r="S18" s="715"/>
      <c r="T18" s="714"/>
      <c r="U18" s="715"/>
      <c r="V18" s="714"/>
      <c r="W18" s="715"/>
      <c r="X18" s="1539"/>
      <c r="Y18" s="3294"/>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301"/>
      <c r="Q19" s="1536" t="str">
        <f>B19</f>
        <v>公共配套设施</v>
      </c>
      <c r="R19" s="714" t="s">
        <v>17</v>
      </c>
      <c r="S19" s="715">
        <f>F19</f>
        <v>100</v>
      </c>
      <c r="T19" s="714" t="s">
        <v>17</v>
      </c>
      <c r="U19" s="715">
        <f>H19</f>
        <v>100</v>
      </c>
      <c r="V19" s="714" t="s">
        <v>17</v>
      </c>
      <c r="W19" s="715">
        <f>J19</f>
        <v>100</v>
      </c>
      <c r="X19" s="1539"/>
      <c r="Y19" s="329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5"/>
      <c r="M20" s="2939"/>
      <c r="N20" s="2939"/>
      <c r="O20" s="2939"/>
      <c r="P20" s="3301"/>
      <c r="Q20" s="1536"/>
      <c r="R20" s="714"/>
      <c r="S20" s="715"/>
      <c r="T20" s="714"/>
      <c r="U20" s="715"/>
      <c r="V20" s="714"/>
      <c r="W20" s="715"/>
      <c r="X20" s="1539"/>
      <c r="Y20" s="3294"/>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301"/>
      <c r="Q21" s="1536" t="str">
        <f>B21</f>
        <v>基础设施水平</v>
      </c>
      <c r="R21" s="714" t="s">
        <v>17</v>
      </c>
      <c r="S21" s="715">
        <f>F21</f>
        <v>100</v>
      </c>
      <c r="T21" s="714" t="s">
        <v>17</v>
      </c>
      <c r="U21" s="715">
        <f>H21</f>
        <v>100</v>
      </c>
      <c r="V21" s="714" t="s">
        <v>17</v>
      </c>
      <c r="W21" s="715">
        <f>J21</f>
        <v>100</v>
      </c>
      <c r="X21" s="1539"/>
      <c r="Y21" s="329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5"/>
      <c r="M22" s="2939"/>
      <c r="N22" s="2939"/>
      <c r="O22" s="2939"/>
      <c r="P22" s="3301"/>
      <c r="Q22" s="1536"/>
      <c r="R22" s="714"/>
      <c r="S22" s="715"/>
      <c r="T22" s="714"/>
      <c r="U22" s="715"/>
      <c r="V22" s="714"/>
      <c r="W22" s="715"/>
      <c r="X22" s="1539"/>
      <c r="Y22" s="3294"/>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301"/>
      <c r="Q23" s="1536" t="str">
        <f>B23</f>
        <v>自然及人文环境</v>
      </c>
      <c r="R23" s="714" t="s">
        <v>17</v>
      </c>
      <c r="S23" s="715">
        <f>F23</f>
        <v>100</v>
      </c>
      <c r="T23" s="714" t="s">
        <v>17</v>
      </c>
      <c r="U23" s="715">
        <f>H23</f>
        <v>100</v>
      </c>
      <c r="V23" s="714" t="s">
        <v>17</v>
      </c>
      <c r="W23" s="715">
        <f>J23</f>
        <v>100</v>
      </c>
      <c r="X23" s="1539"/>
      <c r="Y23" s="3294"/>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5"/>
      <c r="M24" s="2939"/>
      <c r="N24" s="2939"/>
      <c r="O24" s="2939"/>
      <c r="P24" s="3301"/>
      <c r="Q24" s="1536"/>
      <c r="R24" s="714"/>
      <c r="S24" s="715"/>
      <c r="T24" s="714"/>
      <c r="U24" s="715"/>
      <c r="V24" s="714"/>
      <c r="W24" s="715"/>
      <c r="X24" s="1539"/>
      <c r="Y24" s="3294"/>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301"/>
      <c r="Q25" s="1536" t="str">
        <f t="shared" ref="Q25:Q46" si="11">B25</f>
        <v>临街状况</v>
      </c>
      <c r="R25" s="714" t="s">
        <v>17</v>
      </c>
      <c r="S25" s="715">
        <f>F25</f>
        <v>100</v>
      </c>
      <c r="T25" s="714" t="s">
        <v>17</v>
      </c>
      <c r="U25" s="715">
        <f>H25</f>
        <v>100</v>
      </c>
      <c r="V25" s="714" t="s">
        <v>17</v>
      </c>
      <c r="W25" s="715">
        <f>J25</f>
        <v>100</v>
      </c>
      <c r="X25" s="1539"/>
      <c r="Y25" s="3294"/>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301"/>
      <c r="Q26" s="1536" t="str">
        <f t="shared" si="11"/>
        <v>平面位置/可视性</v>
      </c>
      <c r="R26" s="714" t="s">
        <v>17</v>
      </c>
      <c r="S26" s="715">
        <f>F26</f>
        <v>100</v>
      </c>
      <c r="T26" s="714" t="s">
        <v>17</v>
      </c>
      <c r="U26" s="715">
        <f>H26</f>
        <v>100</v>
      </c>
      <c r="V26" s="714" t="s">
        <v>17</v>
      </c>
      <c r="W26" s="715">
        <f>J26</f>
        <v>100</v>
      </c>
      <c r="X26" s="1539"/>
      <c r="Y26" s="3294"/>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0"/>
      <c r="M27" s="2941"/>
      <c r="N27" s="2941"/>
      <c r="O27" s="2941"/>
      <c r="P27" s="3301"/>
      <c r="Q27" s="1527" t="str">
        <f t="shared" si="11"/>
        <v>人流量</v>
      </c>
      <c r="R27" s="710" t="s">
        <v>17</v>
      </c>
      <c r="S27" s="711">
        <f>F27</f>
        <v>100</v>
      </c>
      <c r="T27" s="710" t="s">
        <v>17</v>
      </c>
      <c r="U27" s="711">
        <f>H27</f>
        <v>100</v>
      </c>
      <c r="V27" s="710" t="s">
        <v>17</v>
      </c>
      <c r="W27" s="711">
        <f>J27</f>
        <v>100</v>
      </c>
      <c r="X27" s="712"/>
      <c r="Y27" s="3294"/>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301"/>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94"/>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301"/>
      <c r="Q29" s="1536">
        <f t="shared" si="11"/>
        <v>111</v>
      </c>
      <c r="R29" s="714" t="s">
        <v>17</v>
      </c>
      <c r="S29" s="715">
        <f t="shared" si="12"/>
        <v>100</v>
      </c>
      <c r="T29" s="714" t="s">
        <v>17</v>
      </c>
      <c r="U29" s="715">
        <f t="shared" si="13"/>
        <v>100</v>
      </c>
      <c r="V29" s="714" t="s">
        <v>17</v>
      </c>
      <c r="W29" s="715">
        <f t="shared" si="14"/>
        <v>100</v>
      </c>
      <c r="X29" s="1539"/>
      <c r="Y29" s="3294"/>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301"/>
      <c r="Q30" s="1536">
        <f t="shared" si="11"/>
        <v>111</v>
      </c>
      <c r="R30" s="714" t="s">
        <v>17</v>
      </c>
      <c r="S30" s="715">
        <f t="shared" si="12"/>
        <v>100</v>
      </c>
      <c r="T30" s="714" t="s">
        <v>17</v>
      </c>
      <c r="U30" s="715">
        <f t="shared" si="13"/>
        <v>100</v>
      </c>
      <c r="V30" s="714" t="s">
        <v>17</v>
      </c>
      <c r="W30" s="715">
        <f t="shared" si="14"/>
        <v>100</v>
      </c>
      <c r="X30" s="1539"/>
      <c r="Y30" s="3294"/>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301"/>
      <c r="Q31" s="1536">
        <f t="shared" si="11"/>
        <v>111</v>
      </c>
      <c r="R31" s="714" t="s">
        <v>17</v>
      </c>
      <c r="S31" s="715">
        <f t="shared" si="12"/>
        <v>100</v>
      </c>
      <c r="T31" s="714" t="s">
        <v>17</v>
      </c>
      <c r="U31" s="715">
        <f t="shared" si="13"/>
        <v>100</v>
      </c>
      <c r="V31" s="714" t="s">
        <v>17</v>
      </c>
      <c r="W31" s="715">
        <f t="shared" si="14"/>
        <v>100</v>
      </c>
      <c r="X31" s="1539"/>
      <c r="Y31" s="3294"/>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5"/>
      <c r="M32" s="2939"/>
      <c r="N32" s="2939"/>
      <c r="O32" s="2939"/>
      <c r="P32" s="3295" t="s">
        <v>2386</v>
      </c>
      <c r="Q32" s="1536" t="str">
        <f t="shared" si="11"/>
        <v>商业类型</v>
      </c>
      <c r="R32" s="714" t="s">
        <v>17</v>
      </c>
      <c r="S32" s="715">
        <f t="shared" si="12"/>
        <v>100</v>
      </c>
      <c r="T32" s="714" t="s">
        <v>17</v>
      </c>
      <c r="U32" s="715">
        <f t="shared" si="13"/>
        <v>100</v>
      </c>
      <c r="V32" s="714" t="s">
        <v>17</v>
      </c>
      <c r="W32" s="715">
        <f t="shared" si="14"/>
        <v>100</v>
      </c>
      <c r="X32" s="1539"/>
      <c r="Y32" s="3298"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296"/>
      <c r="Q33" s="716" t="str">
        <f t="shared" si="11"/>
        <v>项目建筑规模</v>
      </c>
      <c r="R33" s="717" t="s">
        <v>17</v>
      </c>
      <c r="S33" s="718" t="e">
        <f t="shared" si="12"/>
        <v>#N/A</v>
      </c>
      <c r="T33" s="717" t="s">
        <v>17</v>
      </c>
      <c r="U33" s="718" t="e">
        <f t="shared" si="13"/>
        <v>#N/A</v>
      </c>
      <c r="V33" s="717" t="s">
        <v>17</v>
      </c>
      <c r="W33" s="718" t="e">
        <f t="shared" si="14"/>
        <v>#N/A</v>
      </c>
      <c r="X33" s="719"/>
      <c r="Y33" s="3298"/>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5"/>
      <c r="M34" s="2939"/>
      <c r="N34" s="2939"/>
      <c r="O34" s="2939"/>
      <c r="P34" s="3296"/>
      <c r="Q34" s="1536" t="str">
        <f t="shared" si="11"/>
        <v>建筑结构</v>
      </c>
      <c r="R34" s="714" t="s">
        <v>17</v>
      </c>
      <c r="S34" s="715">
        <f t="shared" si="12"/>
        <v>100</v>
      </c>
      <c r="T34" s="714" t="s">
        <v>17</v>
      </c>
      <c r="U34" s="715">
        <f t="shared" si="13"/>
        <v>100</v>
      </c>
      <c r="V34" s="714" t="s">
        <v>17</v>
      </c>
      <c r="W34" s="715">
        <f t="shared" si="14"/>
        <v>100</v>
      </c>
      <c r="X34" s="1539"/>
      <c r="Y34" s="3298"/>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5"/>
      <c r="M35" s="2939"/>
      <c r="N35" s="2939"/>
      <c r="O35" s="2939"/>
      <c r="P35" s="3296"/>
      <c r="Q35" s="1536" t="str">
        <f t="shared" si="11"/>
        <v>公共部分装修</v>
      </c>
      <c r="R35" s="714" t="s">
        <v>17</v>
      </c>
      <c r="S35" s="715">
        <f t="shared" si="12"/>
        <v>100</v>
      </c>
      <c r="T35" s="714" t="s">
        <v>17</v>
      </c>
      <c r="U35" s="715">
        <f t="shared" si="13"/>
        <v>100</v>
      </c>
      <c r="V35" s="714" t="s">
        <v>17</v>
      </c>
      <c r="W35" s="715">
        <f t="shared" si="14"/>
        <v>100</v>
      </c>
      <c r="X35" s="1539"/>
      <c r="Y35" s="3298"/>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296"/>
      <c r="Q36" s="1536" t="str">
        <f t="shared" si="11"/>
        <v>成新度</v>
      </c>
      <c r="R36" s="714" t="s">
        <v>17</v>
      </c>
      <c r="S36" s="715" t="e">
        <f t="shared" si="12"/>
        <v>#N/A</v>
      </c>
      <c r="T36" s="714" t="s">
        <v>17</v>
      </c>
      <c r="U36" s="715" t="e">
        <f t="shared" si="13"/>
        <v>#N/A</v>
      </c>
      <c r="V36" s="714" t="s">
        <v>17</v>
      </c>
      <c r="W36" s="715" t="e">
        <f t="shared" si="14"/>
        <v>#N/A</v>
      </c>
      <c r="X36" s="1539"/>
      <c r="Y36" s="3298"/>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0"/>
      <c r="M37" s="2941"/>
      <c r="N37" s="2941"/>
      <c r="O37" s="2941"/>
      <c r="P37" s="3296"/>
      <c r="Q37" s="1527" t="str">
        <f t="shared" si="11"/>
        <v>市政基础设施</v>
      </c>
      <c r="R37" s="710" t="s">
        <v>17</v>
      </c>
      <c r="S37" s="711">
        <f t="shared" si="12"/>
        <v>100</v>
      </c>
      <c r="T37" s="710" t="s">
        <v>17</v>
      </c>
      <c r="U37" s="711">
        <f t="shared" si="13"/>
        <v>100</v>
      </c>
      <c r="V37" s="710" t="s">
        <v>17</v>
      </c>
      <c r="W37" s="711">
        <f t="shared" si="14"/>
        <v>100</v>
      </c>
      <c r="X37" s="712"/>
      <c r="Y37" s="3298"/>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5"/>
      <c r="M38" s="2939"/>
      <c r="N38" s="2939"/>
      <c r="O38" s="2939"/>
      <c r="P38" s="3296" t="s">
        <v>2386</v>
      </c>
      <c r="Q38" s="1536" t="str">
        <f t="shared" si="11"/>
        <v>业态</v>
      </c>
      <c r="R38" s="714" t="s">
        <v>17</v>
      </c>
      <c r="S38" s="715">
        <f t="shared" si="12"/>
        <v>100</v>
      </c>
      <c r="T38" s="714" t="s">
        <v>17</v>
      </c>
      <c r="U38" s="715">
        <f t="shared" si="13"/>
        <v>100</v>
      </c>
      <c r="V38" s="714" t="s">
        <v>17</v>
      </c>
      <c r="W38" s="715">
        <f t="shared" si="14"/>
        <v>100</v>
      </c>
      <c r="X38" s="1539"/>
      <c r="Y38" s="3298"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5"/>
      <c r="M39" s="2939"/>
      <c r="N39" s="2939"/>
      <c r="O39" s="2939"/>
      <c r="P39" s="3296"/>
      <c r="Q39" s="1536" t="str">
        <f t="shared" si="11"/>
        <v>层高</v>
      </c>
      <c r="R39" s="714" t="s">
        <v>17</v>
      </c>
      <c r="S39" s="715">
        <f t="shared" si="12"/>
        <v>100</v>
      </c>
      <c r="T39" s="714" t="s">
        <v>17</v>
      </c>
      <c r="U39" s="715">
        <f t="shared" si="13"/>
        <v>100</v>
      </c>
      <c r="V39" s="714" t="s">
        <v>17</v>
      </c>
      <c r="W39" s="715">
        <f t="shared" si="14"/>
        <v>100</v>
      </c>
      <c r="X39" s="1539"/>
      <c r="Y39" s="3298"/>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296"/>
      <c r="Q40" s="1536" t="str">
        <f t="shared" si="11"/>
        <v>单套建筑面积</v>
      </c>
      <c r="R40" s="714" t="s">
        <v>17</v>
      </c>
      <c r="S40" s="715">
        <f t="shared" si="12"/>
        <v>100</v>
      </c>
      <c r="T40" s="714" t="s">
        <v>17</v>
      </c>
      <c r="U40" s="715">
        <f t="shared" si="13"/>
        <v>100</v>
      </c>
      <c r="V40" s="714" t="s">
        <v>17</v>
      </c>
      <c r="W40" s="715">
        <f t="shared" si="14"/>
        <v>100</v>
      </c>
      <c r="X40" s="1539"/>
      <c r="Y40" s="3298"/>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296"/>
      <c r="Q41" s="716" t="str">
        <f t="shared" si="11"/>
        <v>进深比</v>
      </c>
      <c r="R41" s="717" t="s">
        <v>17</v>
      </c>
      <c r="S41" s="718">
        <f t="shared" si="12"/>
        <v>100</v>
      </c>
      <c r="T41" s="717" t="s">
        <v>17</v>
      </c>
      <c r="U41" s="718">
        <f t="shared" si="13"/>
        <v>100</v>
      </c>
      <c r="V41" s="717" t="s">
        <v>17</v>
      </c>
      <c r="W41" s="718">
        <f t="shared" si="14"/>
        <v>100</v>
      </c>
      <c r="X41" s="719"/>
      <c r="Y41" s="3298"/>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5"/>
      <c r="M42" s="2939"/>
      <c r="N42" s="2939"/>
      <c r="O42" s="2939"/>
      <c r="P42" s="3296"/>
      <c r="Q42" s="1536" t="str">
        <f t="shared" si="11"/>
        <v>内部装修</v>
      </c>
      <c r="R42" s="714" t="s">
        <v>17</v>
      </c>
      <c r="S42" s="715">
        <f t="shared" si="12"/>
        <v>100</v>
      </c>
      <c r="T42" s="714" t="s">
        <v>17</v>
      </c>
      <c r="U42" s="715">
        <f t="shared" si="13"/>
        <v>100</v>
      </c>
      <c r="V42" s="714" t="s">
        <v>17</v>
      </c>
      <c r="W42" s="715">
        <f t="shared" si="14"/>
        <v>100</v>
      </c>
      <c r="X42" s="1539"/>
      <c r="Y42" s="3298"/>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5"/>
      <c r="M43" s="2939"/>
      <c r="N43" s="2939"/>
      <c r="O43" s="2939"/>
      <c r="P43" s="3296"/>
      <c r="Q43" s="1536" t="str">
        <f t="shared" si="11"/>
        <v>内部装修维护情况</v>
      </c>
      <c r="R43" s="714" t="s">
        <v>17</v>
      </c>
      <c r="S43" s="715">
        <f t="shared" si="12"/>
        <v>100</v>
      </c>
      <c r="T43" s="714" t="s">
        <v>17</v>
      </c>
      <c r="U43" s="715">
        <f t="shared" si="13"/>
        <v>100</v>
      </c>
      <c r="V43" s="714" t="s">
        <v>17</v>
      </c>
      <c r="W43" s="715">
        <f t="shared" si="14"/>
        <v>100</v>
      </c>
      <c r="X43" s="1539"/>
      <c r="Y43" s="3298"/>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296"/>
      <c r="Q44" s="1527">
        <f t="shared" si="11"/>
        <v>111</v>
      </c>
      <c r="R44" s="710" t="s">
        <v>17</v>
      </c>
      <c r="S44" s="711">
        <f t="shared" si="12"/>
        <v>100</v>
      </c>
      <c r="T44" s="710" t="s">
        <v>17</v>
      </c>
      <c r="U44" s="711">
        <f t="shared" si="13"/>
        <v>100</v>
      </c>
      <c r="V44" s="710" t="s">
        <v>17</v>
      </c>
      <c r="W44" s="711">
        <f t="shared" si="14"/>
        <v>100</v>
      </c>
      <c r="X44" s="712"/>
      <c r="Y44" s="329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296"/>
      <c r="Q45" s="1536">
        <f t="shared" si="11"/>
        <v>111</v>
      </c>
      <c r="R45" s="714" t="s">
        <v>17</v>
      </c>
      <c r="S45" s="715">
        <f t="shared" si="12"/>
        <v>100</v>
      </c>
      <c r="T45" s="714" t="s">
        <v>17</v>
      </c>
      <c r="U45" s="715">
        <f t="shared" si="13"/>
        <v>100</v>
      </c>
      <c r="V45" s="714" t="s">
        <v>17</v>
      </c>
      <c r="W45" s="715">
        <f t="shared" si="14"/>
        <v>100</v>
      </c>
      <c r="X45" s="1539"/>
      <c r="Y45" s="3298"/>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297"/>
      <c r="Q46" s="1536">
        <f t="shared" si="11"/>
        <v>111</v>
      </c>
      <c r="R46" s="714" t="s">
        <v>17</v>
      </c>
      <c r="S46" s="715">
        <f t="shared" si="12"/>
        <v>100</v>
      </c>
      <c r="T46" s="714" t="s">
        <v>17</v>
      </c>
      <c r="U46" s="715">
        <f t="shared" si="13"/>
        <v>100</v>
      </c>
      <c r="V46" s="714" t="s">
        <v>17</v>
      </c>
      <c r="W46" s="715">
        <f t="shared" si="14"/>
        <v>100</v>
      </c>
      <c r="X46" s="1539"/>
      <c r="Y46" s="3299"/>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47"/>
      <c r="M47" s="2948"/>
      <c r="N47" s="2939"/>
      <c r="O47" s="2948"/>
      <c r="P47" s="3291" t="str">
        <f>A47</f>
        <v>成交单价（元/平方米）</v>
      </c>
      <c r="Q47" s="3291"/>
      <c r="R47" s="3322">
        <f>E47</f>
        <v>0</v>
      </c>
      <c r="S47" s="3322"/>
      <c r="T47" s="3322">
        <f>G47</f>
        <v>0</v>
      </c>
      <c r="U47" s="3322"/>
      <c r="V47" s="3322">
        <f>I47</f>
        <v>0</v>
      </c>
      <c r="W47" s="3322"/>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47"/>
      <c r="M48" s="2948"/>
      <c r="N48" s="2939"/>
      <c r="O48" s="2948"/>
      <c r="P48" s="3291" t="str">
        <f>A48</f>
        <v>比较价值（元/平方米）</v>
      </c>
      <c r="Q48" s="3291"/>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47"/>
      <c r="M49" s="2948"/>
      <c r="N49" s="2939"/>
      <c r="O49" s="2948"/>
      <c r="P49" s="3288" t="str">
        <f>A49</f>
        <v>估价对象XX用房的比较价值（楼面单价，元/平方米）</v>
      </c>
      <c r="Q49" s="3289"/>
      <c r="R49" s="3290" t="e">
        <f>IF(F1="售价",ROUND(IF(D48="简单平均",AVERAGE(R48:V48),R48*F48+T48*H48+V48*J48),0),ROUND(IF(D48="简单平均",AVERAGE(R48:V48),R48*F48+T48*H48+V48*J48),1))</f>
        <v>#DIV/0!</v>
      </c>
      <c r="S49" s="3290"/>
      <c r="T49" s="3290"/>
      <c r="U49" s="3290"/>
      <c r="V49" s="3290"/>
      <c r="W49" s="3290"/>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3" t="s">
        <v>2495</v>
      </c>
      <c r="B57" s="699"/>
      <c r="C57" s="704"/>
      <c r="D57" s="704"/>
      <c r="E57" s="704"/>
      <c r="F57" s="705"/>
      <c r="G57" s="705"/>
      <c r="H57" s="704"/>
      <c r="I57" s="704"/>
      <c r="J57" s="704"/>
      <c r="K57" s="706"/>
      <c r="L57" s="1073"/>
      <c r="M57" s="1071"/>
      <c r="N57" s="1071"/>
      <c r="O57" s="1071"/>
      <c r="P57" s="2961"/>
      <c r="Q57" s="2962"/>
      <c r="R57" s="2948"/>
      <c r="S57" s="2948"/>
      <c r="T57" s="2948"/>
      <c r="U57" s="2948"/>
      <c r="V57" s="2948"/>
      <c r="W57" s="2948"/>
      <c r="X57" s="2948"/>
      <c r="Y57" s="2948"/>
      <c r="Z57" s="2948"/>
      <c r="AA57" s="2948"/>
      <c r="AB57" s="2948"/>
      <c r="AC57" s="2948"/>
    </row>
    <row r="58" spans="1:29" s="465" customFormat="1" ht="15">
      <c r="A58" s="462" t="s">
        <v>2369</v>
      </c>
      <c r="B58" s="463"/>
      <c r="C58" s="1346" t="str">
        <f>YEAR(C7)&amp;"-"&amp;MONTH(C7)</f>
        <v>2021-9</v>
      </c>
      <c r="D58" s="1347">
        <f>EDATE(C58,-1)</f>
        <v>44409</v>
      </c>
      <c r="E58" s="1347">
        <f t="shared" ref="E58:N58" si="16">EDATE(D58,-1)</f>
        <v>44378</v>
      </c>
      <c r="F58" s="1347">
        <f t="shared" si="16"/>
        <v>44348</v>
      </c>
      <c r="G58" s="1347">
        <f t="shared" si="16"/>
        <v>44317</v>
      </c>
      <c r="H58" s="1347">
        <f t="shared" si="16"/>
        <v>44287</v>
      </c>
      <c r="I58" s="1347">
        <f t="shared" si="16"/>
        <v>44256</v>
      </c>
      <c r="J58" s="1347">
        <f t="shared" si="16"/>
        <v>44228</v>
      </c>
      <c r="K58" s="1347">
        <f t="shared" si="16"/>
        <v>44197</v>
      </c>
      <c r="L58" s="1347">
        <f t="shared" si="16"/>
        <v>44166</v>
      </c>
      <c r="M58" s="1347">
        <f t="shared" si="16"/>
        <v>44136</v>
      </c>
      <c r="N58" s="1347">
        <f t="shared" si="16"/>
        <v>44105</v>
      </c>
      <c r="O58" s="1347">
        <f>EDATE(N58,-1)</f>
        <v>44075</v>
      </c>
      <c r="P58" s="2963"/>
      <c r="Q58" s="2964"/>
      <c r="R58" s="2964"/>
      <c r="S58" s="2964"/>
      <c r="T58" s="2964"/>
      <c r="U58" s="2964"/>
      <c r="V58" s="2964"/>
      <c r="W58" s="2964"/>
      <c r="X58" s="2964"/>
      <c r="Y58" s="2964"/>
      <c r="Z58" s="2964"/>
      <c r="AA58" s="2964"/>
      <c r="AB58" s="2964"/>
      <c r="AC58" s="2964"/>
    </row>
    <row r="59" spans="1:29" s="113" customFormat="1" ht="15">
      <c r="A59" s="466"/>
      <c r="B59" s="467"/>
      <c r="C59" s="1345">
        <v>100</v>
      </c>
      <c r="D59" s="469"/>
      <c r="E59" s="469"/>
      <c r="F59" s="469"/>
      <c r="G59" s="469"/>
      <c r="H59" s="469"/>
      <c r="I59" s="469"/>
      <c r="J59" s="469"/>
      <c r="K59" s="469"/>
      <c r="L59" s="469"/>
      <c r="M59" s="470"/>
      <c r="N59" s="469"/>
      <c r="O59" s="470"/>
      <c r="P59" s="2965"/>
      <c r="Q59" s="2883"/>
      <c r="R59" s="2883"/>
      <c r="S59" s="2883"/>
      <c r="T59" s="2883"/>
      <c r="U59" s="2883"/>
      <c r="V59" s="2883"/>
      <c r="W59" s="2883"/>
      <c r="X59" s="2883"/>
      <c r="Y59" s="2883"/>
      <c r="Z59" s="2883"/>
      <c r="AA59" s="2883"/>
      <c r="AB59" s="2883"/>
      <c r="AC59" s="2883"/>
    </row>
    <row r="60" spans="1:29" s="113" customFormat="1" ht="15.75" thickBot="1">
      <c r="A60" s="472" t="s">
        <v>2406</v>
      </c>
      <c r="B60" s="473"/>
      <c r="C60" s="474"/>
      <c r="D60" s="475"/>
      <c r="E60" s="475"/>
      <c r="F60" s="475"/>
      <c r="G60" s="475"/>
      <c r="H60" s="475"/>
      <c r="I60" s="475"/>
      <c r="J60" s="475"/>
      <c r="K60" s="475"/>
      <c r="L60" s="475"/>
      <c r="M60" s="476"/>
      <c r="N60" s="475"/>
      <c r="O60" s="476"/>
      <c r="P60" s="2965"/>
      <c r="Q60" s="2962"/>
      <c r="R60" s="2883"/>
      <c r="S60" s="2883"/>
      <c r="T60" s="2883"/>
      <c r="U60" s="2883"/>
      <c r="V60" s="2883"/>
      <c r="W60" s="2883"/>
      <c r="X60" s="2883"/>
      <c r="Y60" s="2883"/>
      <c r="Z60" s="2883"/>
      <c r="AA60" s="2883"/>
      <c r="AB60" s="2883"/>
      <c r="AC60" s="2883"/>
    </row>
    <row r="61" spans="1:29" s="113" customFormat="1" ht="15">
      <c r="A61" s="478" t="s">
        <v>2371</v>
      </c>
      <c r="B61" s="467"/>
      <c r="C61" s="479" t="s">
        <v>2473</v>
      </c>
      <c r="D61" s="480"/>
      <c r="E61" s="480"/>
      <c r="F61" s="480"/>
      <c r="G61" s="480"/>
      <c r="H61" s="480"/>
      <c r="I61" s="480"/>
      <c r="J61" s="480"/>
      <c r="K61" s="480"/>
      <c r="L61" s="481"/>
      <c r="M61" s="482"/>
      <c r="N61" s="2975"/>
      <c r="O61" s="2975"/>
      <c r="P61" s="2966"/>
      <c r="Q61" s="2962"/>
      <c r="R61" s="2883"/>
      <c r="S61" s="2883"/>
      <c r="T61" s="2883"/>
      <c r="U61" s="2883"/>
      <c r="V61" s="2883"/>
      <c r="W61" s="2883"/>
      <c r="X61" s="2883"/>
      <c r="Y61" s="2883"/>
      <c r="Z61" s="2883"/>
      <c r="AA61" s="2883"/>
      <c r="AB61" s="2883"/>
      <c r="AC61" s="2883"/>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3"/>
      <c r="S62" s="2883"/>
      <c r="T62" s="2883"/>
      <c r="U62" s="2883"/>
      <c r="V62" s="2883"/>
      <c r="W62" s="2883"/>
      <c r="X62" s="2883"/>
      <c r="Y62" s="2883"/>
      <c r="Z62" s="2883"/>
      <c r="AA62" s="2883"/>
      <c r="AB62" s="2883"/>
      <c r="AC62" s="2883"/>
    </row>
    <row r="63" spans="1:29">
      <c r="A63" s="484" t="s">
        <v>2409</v>
      </c>
      <c r="B63" s="485" t="s">
        <v>2375</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2380</v>
      </c>
      <c r="B76" s="485" t="s">
        <v>2417</v>
      </c>
      <c r="C76" s="530" t="s">
        <v>2418</v>
      </c>
      <c r="D76" s="530" t="s">
        <v>2419</v>
      </c>
      <c r="E76" s="530" t="s">
        <v>2420</v>
      </c>
      <c r="F76" s="530" t="s">
        <v>2421</v>
      </c>
      <c r="G76" s="530" t="s">
        <v>2422</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2423</v>
      </c>
      <c r="C78" s="535" t="s">
        <v>2418</v>
      </c>
      <c r="D78" s="535" t="s">
        <v>2419</v>
      </c>
      <c r="E78" s="535" t="s">
        <v>2420</v>
      </c>
      <c r="F78" s="535" t="s">
        <v>2421</v>
      </c>
      <c r="G78" s="535" t="s">
        <v>2422</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2424</v>
      </c>
      <c r="C80" s="535" t="s">
        <v>2418</v>
      </c>
      <c r="D80" s="535" t="s">
        <v>2419</v>
      </c>
      <c r="E80" s="535" t="s">
        <v>2420</v>
      </c>
      <c r="F80" s="535" t="s">
        <v>2421</v>
      </c>
      <c r="G80" s="535" t="s">
        <v>2422</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2476</v>
      </c>
      <c r="C82" s="616" t="s">
        <v>2496</v>
      </c>
      <c r="D82" s="616" t="s">
        <v>2497</v>
      </c>
      <c r="E82" s="616" t="s">
        <v>2498</v>
      </c>
      <c r="F82" s="616" t="s">
        <v>2499</v>
      </c>
      <c r="G82" s="616" t="s">
        <v>2500</v>
      </c>
      <c r="H82" s="496"/>
      <c r="I82" s="496"/>
      <c r="J82" s="496"/>
      <c r="K82" s="496"/>
      <c r="L82" s="496"/>
      <c r="M82" s="1291"/>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2430</v>
      </c>
      <c r="C84" s="535" t="s">
        <v>2418</v>
      </c>
      <c r="D84" s="535" t="s">
        <v>2419</v>
      </c>
      <c r="E84" s="535" t="s">
        <v>2420</v>
      </c>
      <c r="F84" s="535" t="s">
        <v>2421</v>
      </c>
      <c r="G84" s="535" t="s">
        <v>2422</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2501</v>
      </c>
      <c r="C86" s="511"/>
      <c r="D86" s="511"/>
      <c r="E86" s="511"/>
      <c r="F86" s="511"/>
      <c r="G86" s="511"/>
      <c r="H86" s="511"/>
      <c r="I86" s="511"/>
      <c r="J86" s="511"/>
      <c r="K86" s="511"/>
      <c r="L86" s="537"/>
      <c r="M86" s="538"/>
      <c r="N86" s="2975"/>
      <c r="O86" s="2975"/>
      <c r="P86" s="2967"/>
      <c r="Q86" s="2962"/>
      <c r="R86" s="2883"/>
      <c r="S86" s="2883"/>
      <c r="T86" s="2883"/>
      <c r="U86" s="2883"/>
      <c r="V86" s="2883"/>
      <c r="W86" s="2883"/>
      <c r="X86" s="2883"/>
      <c r="Y86" s="2883"/>
      <c r="Z86" s="2883"/>
      <c r="AA86" s="2883"/>
      <c r="AB86" s="2883"/>
      <c r="AC86" s="288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3"/>
      <c r="S87" s="2883"/>
      <c r="T87" s="2883"/>
      <c r="U87" s="2883"/>
      <c r="V87" s="2883"/>
      <c r="W87" s="2883"/>
      <c r="X87" s="2883"/>
      <c r="Y87" s="2883"/>
      <c r="Z87" s="2883"/>
      <c r="AA87" s="2883"/>
      <c r="AB87" s="2883"/>
      <c r="AC87" s="2883"/>
    </row>
    <row r="88" spans="1:29" s="113" customFormat="1" ht="15.75" thickTop="1">
      <c r="A88" s="536"/>
      <c r="B88" s="495" t="str">
        <f>B26</f>
        <v>平面位置/可视性</v>
      </c>
      <c r="C88" s="511"/>
      <c r="D88" s="511"/>
      <c r="E88" s="511"/>
      <c r="F88" s="2113"/>
      <c r="G88" s="511"/>
      <c r="H88" s="511"/>
      <c r="I88" s="511"/>
      <c r="J88" s="511"/>
      <c r="K88" s="511"/>
      <c r="L88" s="511"/>
      <c r="M88" s="538"/>
      <c r="N88" s="2975"/>
      <c r="O88" s="2975"/>
      <c r="P88" s="2967"/>
      <c r="Q88" s="2962"/>
      <c r="R88" s="2883"/>
      <c r="S88" s="2883"/>
      <c r="T88" s="2883"/>
      <c r="U88" s="2883"/>
      <c r="V88" s="2883"/>
      <c r="W88" s="2883"/>
      <c r="X88" s="2883"/>
      <c r="Y88" s="2883"/>
      <c r="Z88" s="2883"/>
      <c r="AA88" s="2883"/>
      <c r="AB88" s="2883"/>
      <c r="AC88" s="2883"/>
    </row>
    <row r="89" spans="1:29" s="113" customFormat="1" ht="15.75" thickBot="1">
      <c r="A89" s="536"/>
      <c r="B89" s="500"/>
      <c r="C89" s="517"/>
      <c r="D89" s="493"/>
      <c r="E89" s="493"/>
      <c r="F89" s="493"/>
      <c r="G89" s="493"/>
      <c r="H89" s="493"/>
      <c r="I89" s="493"/>
      <c r="J89" s="493"/>
      <c r="K89" s="493"/>
      <c r="L89" s="493"/>
      <c r="M89" s="493"/>
      <c r="N89" s="2977"/>
      <c r="O89" s="2977"/>
      <c r="P89" s="2967"/>
      <c r="Q89" s="2962"/>
      <c r="R89" s="2883"/>
      <c r="S89" s="2883"/>
      <c r="T89" s="2883"/>
      <c r="U89" s="2883"/>
      <c r="V89" s="2883"/>
      <c r="W89" s="2883"/>
      <c r="X89" s="2883"/>
      <c r="Y89" s="2883"/>
      <c r="Z89" s="2883"/>
      <c r="AA89" s="2883"/>
      <c r="AB89" s="2883"/>
      <c r="AC89" s="2883"/>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14"/>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2384</v>
      </c>
      <c r="B100" s="485" t="s">
        <v>2502</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2435</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2437</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2439</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2503</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2504</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2505</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2506</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2441</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14"/>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28660.61</v>
      </c>
      <c r="E3" s="2140"/>
      <c r="F3" s="1040"/>
      <c r="G3" s="1039"/>
      <c r="H3" s="1039"/>
      <c r="I3" s="1039"/>
      <c r="J3" s="1039"/>
      <c r="K3" s="1041"/>
      <c r="L3" s="2957"/>
      <c r="M3" s="2958"/>
      <c r="N3" s="2958"/>
      <c r="O3" s="2958"/>
      <c r="P3" s="708"/>
      <c r="Q3" s="708"/>
      <c r="R3" s="708"/>
      <c r="S3" s="708"/>
      <c r="T3" s="708"/>
      <c r="U3" s="708"/>
      <c r="V3" s="708"/>
      <c r="W3" s="708"/>
      <c r="X3" s="708"/>
      <c r="Y3" s="708"/>
      <c r="Z3" s="708"/>
      <c r="AA3" s="708"/>
      <c r="AB3" s="708"/>
      <c r="AC3" s="709"/>
    </row>
    <row r="4" spans="1:29" ht="15">
      <c r="A4" s="361" t="s">
        <v>2466</v>
      </c>
      <c r="B4" s="362"/>
      <c r="C4" s="3306" t="s">
        <v>2467</v>
      </c>
      <c r="D4" s="3307"/>
      <c r="E4" s="3308" t="s">
        <v>2468</v>
      </c>
      <c r="F4" s="3309"/>
      <c r="G4" s="3306" t="s">
        <v>2469</v>
      </c>
      <c r="H4" s="3307"/>
      <c r="I4" s="3306" t="s">
        <v>2470</v>
      </c>
      <c r="J4" s="3307"/>
      <c r="K4" s="567" t="s">
        <v>2471</v>
      </c>
      <c r="L4" s="2938"/>
      <c r="M4" s="2939"/>
      <c r="N4" s="2939"/>
      <c r="O4" s="2939"/>
      <c r="P4" s="3340" t="s">
        <v>2472</v>
      </c>
      <c r="Q4" s="3341"/>
      <c r="R4" s="3344" t="s">
        <v>2468</v>
      </c>
      <c r="S4" s="3345"/>
      <c r="T4" s="3344" t="s">
        <v>2469</v>
      </c>
      <c r="U4" s="3345"/>
      <c r="V4" s="3346" t="s">
        <v>2470</v>
      </c>
      <c r="W4" s="3346"/>
      <c r="X4" s="2144"/>
      <c r="Y4" s="3344" t="s">
        <v>2472</v>
      </c>
      <c r="Z4" s="3345"/>
      <c r="AA4" s="3348" t="s">
        <v>2468</v>
      </c>
      <c r="AB4" s="3348" t="s">
        <v>2469</v>
      </c>
      <c r="AC4" s="3337" t="s">
        <v>2470</v>
      </c>
    </row>
    <row r="5" spans="1:29" ht="15">
      <c r="A5" s="364"/>
      <c r="B5" s="365"/>
      <c r="C5" s="3325" t="s">
        <v>2363</v>
      </c>
      <c r="D5" s="3326"/>
      <c r="E5" s="3332" t="s">
        <v>2364</v>
      </c>
      <c r="F5" s="3333"/>
      <c r="G5" s="3325" t="s">
        <v>2365</v>
      </c>
      <c r="H5" s="3326"/>
      <c r="I5" s="3325" t="s">
        <v>2366</v>
      </c>
      <c r="J5" s="3326"/>
      <c r="K5" s="567"/>
      <c r="L5" s="2938"/>
      <c r="M5" s="2939"/>
      <c r="N5" s="2939"/>
      <c r="O5" s="2939"/>
      <c r="P5" s="3342"/>
      <c r="Q5" s="3313"/>
      <c r="R5" s="3318"/>
      <c r="S5" s="3319"/>
      <c r="T5" s="3318"/>
      <c r="U5" s="3319"/>
      <c r="V5" s="3322"/>
      <c r="W5" s="3322"/>
      <c r="X5" s="1539"/>
      <c r="Y5" s="3318"/>
      <c r="Z5" s="3319"/>
      <c r="AA5" s="3304"/>
      <c r="AB5" s="3304"/>
      <c r="AC5" s="3338"/>
    </row>
    <row r="6" spans="1:29" ht="15.75" thickBot="1">
      <c r="A6" s="366"/>
      <c r="B6" s="367"/>
      <c r="C6" s="3323" t="s">
        <v>2367</v>
      </c>
      <c r="D6" s="3324"/>
      <c r="E6" s="3330" t="s">
        <v>2367</v>
      </c>
      <c r="F6" s="3331"/>
      <c r="G6" s="3323" t="s">
        <v>2367</v>
      </c>
      <c r="H6" s="3324"/>
      <c r="I6" s="3323" t="s">
        <v>2367</v>
      </c>
      <c r="J6" s="3324"/>
      <c r="K6" s="567" t="s">
        <v>2368</v>
      </c>
      <c r="L6" s="2938"/>
      <c r="M6" s="2939"/>
      <c r="N6" s="2939"/>
      <c r="O6" s="2939"/>
      <c r="P6" s="3343"/>
      <c r="Q6" s="3315"/>
      <c r="R6" s="3318"/>
      <c r="S6" s="3319"/>
      <c r="T6" s="3320"/>
      <c r="U6" s="3321"/>
      <c r="V6" s="3322"/>
      <c r="W6" s="3322"/>
      <c r="X6" s="1539"/>
      <c r="Y6" s="3320"/>
      <c r="Z6" s="3321"/>
      <c r="AA6" s="3305"/>
      <c r="AB6" s="3305"/>
      <c r="AC6" s="3339"/>
    </row>
    <row r="7" spans="1:29" s="113" customFormat="1" ht="15.75" thickBot="1">
      <c r="A7" s="368" t="s">
        <v>2369</v>
      </c>
      <c r="B7" s="369"/>
      <c r="C7" s="370">
        <f>'数据-取费表'!B2</f>
        <v>44454</v>
      </c>
      <c r="D7" s="371">
        <v>100</v>
      </c>
      <c r="E7" s="372"/>
      <c r="F7" s="373">
        <f>SUMIF(59:59,YEAR(E7)&amp;"-"&amp;MONTH(E7),60:60)</f>
        <v>0</v>
      </c>
      <c r="G7" s="372"/>
      <c r="H7" s="371">
        <f>SUMIF(59:59,YEAR(G7)&amp;"-"&amp;MONTH(G7),60:60)</f>
        <v>0</v>
      </c>
      <c r="I7" s="372"/>
      <c r="J7" s="371">
        <f>SUMIF(59:59,YEAR(I7)&amp;"-"&amp;MONTH(I7),60:60)</f>
        <v>0</v>
      </c>
      <c r="K7" s="568"/>
      <c r="L7" s="2940"/>
      <c r="M7" s="2941"/>
      <c r="N7" s="2941"/>
      <c r="O7" s="2941"/>
      <c r="P7" s="3347" t="s">
        <v>2370</v>
      </c>
      <c r="Q7" s="3329"/>
      <c r="R7" s="710" t="s">
        <v>17</v>
      </c>
      <c r="S7" s="711">
        <f t="shared" ref="S7:S15" si="0">F7</f>
        <v>0</v>
      </c>
      <c r="T7" s="710" t="s">
        <v>17</v>
      </c>
      <c r="U7" s="711">
        <f t="shared" ref="U7:U15" si="1">H7</f>
        <v>0</v>
      </c>
      <c r="V7" s="710" t="s">
        <v>17</v>
      </c>
      <c r="W7" s="711">
        <f t="shared" ref="W7:W15" si="2">J7</f>
        <v>0</v>
      </c>
      <c r="X7" s="712"/>
      <c r="Y7" s="3327" t="s">
        <v>2370</v>
      </c>
      <c r="Z7" s="3328"/>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347" t="s">
        <v>2373</v>
      </c>
      <c r="Q8" s="3328"/>
      <c r="R8" s="710" t="s">
        <v>17</v>
      </c>
      <c r="S8" s="711">
        <f t="shared" si="0"/>
        <v>0</v>
      </c>
      <c r="T8" s="710" t="s">
        <v>17</v>
      </c>
      <c r="U8" s="711">
        <f t="shared" si="1"/>
        <v>0</v>
      </c>
      <c r="V8" s="710" t="s">
        <v>17</v>
      </c>
      <c r="W8" s="711">
        <f t="shared" si="2"/>
        <v>0</v>
      </c>
      <c r="X8" s="712"/>
      <c r="Y8" s="3327" t="s">
        <v>2373</v>
      </c>
      <c r="Z8" s="3328"/>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302" t="s">
        <v>2376</v>
      </c>
      <c r="Q9" s="1527" t="str">
        <f t="shared" ref="Q9:Q15" si="6">B9</f>
        <v>用途</v>
      </c>
      <c r="R9" s="710" t="s">
        <v>17</v>
      </c>
      <c r="S9" s="711">
        <f t="shared" si="0"/>
        <v>100</v>
      </c>
      <c r="T9" s="710" t="s">
        <v>17</v>
      </c>
      <c r="U9" s="711">
        <f t="shared" si="1"/>
        <v>100</v>
      </c>
      <c r="V9" s="710" t="s">
        <v>17</v>
      </c>
      <c r="W9" s="711">
        <f t="shared" si="2"/>
        <v>100</v>
      </c>
      <c r="X9" s="712"/>
      <c r="Y9" s="3161"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302"/>
      <c r="Q10" s="1527" t="str">
        <f t="shared" si="6"/>
        <v>土地使用年限（年）</v>
      </c>
      <c r="R10" s="710" t="s">
        <v>17</v>
      </c>
      <c r="S10" s="711">
        <f t="shared" si="0"/>
        <v>100</v>
      </c>
      <c r="T10" s="710" t="s">
        <v>17</v>
      </c>
      <c r="U10" s="711">
        <f t="shared" si="1"/>
        <v>100</v>
      </c>
      <c r="V10" s="710" t="s">
        <v>17</v>
      </c>
      <c r="W10" s="711">
        <f t="shared" si="2"/>
        <v>100</v>
      </c>
      <c r="X10" s="712"/>
      <c r="Y10" s="3161"/>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302"/>
      <c r="Q11" s="1527" t="str">
        <f t="shared" si="6"/>
        <v>容积率</v>
      </c>
      <c r="R11" s="710" t="s">
        <v>17</v>
      </c>
      <c r="S11" s="711" t="e">
        <f t="shared" si="0"/>
        <v>#N/A</v>
      </c>
      <c r="T11" s="710" t="s">
        <v>17</v>
      </c>
      <c r="U11" s="711" t="e">
        <f t="shared" si="1"/>
        <v>#N/A</v>
      </c>
      <c r="V11" s="710" t="s">
        <v>17</v>
      </c>
      <c r="W11" s="711" t="e">
        <f t="shared" si="2"/>
        <v>#N/A</v>
      </c>
      <c r="X11" s="712"/>
      <c r="Y11" s="3161"/>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0"/>
      <c r="M12" s="2941"/>
      <c r="N12" s="2941"/>
      <c r="O12" s="2941"/>
      <c r="P12" s="3302"/>
      <c r="Q12" s="1527">
        <f t="shared" si="6"/>
        <v>111</v>
      </c>
      <c r="R12" s="710" t="s">
        <v>17</v>
      </c>
      <c r="S12" s="711">
        <f t="shared" si="0"/>
        <v>100</v>
      </c>
      <c r="T12" s="710" t="s">
        <v>17</v>
      </c>
      <c r="U12" s="711">
        <f t="shared" si="1"/>
        <v>100</v>
      </c>
      <c r="V12" s="710" t="s">
        <v>17</v>
      </c>
      <c r="W12" s="711">
        <f t="shared" si="2"/>
        <v>100</v>
      </c>
      <c r="X12" s="712"/>
      <c r="Y12" s="3161"/>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5"/>
      <c r="M13" s="2939"/>
      <c r="N13" s="2939"/>
      <c r="O13" s="2939"/>
      <c r="P13" s="3302"/>
      <c r="Q13" s="1527">
        <f t="shared" si="6"/>
        <v>111</v>
      </c>
      <c r="R13" s="710" t="s">
        <v>17</v>
      </c>
      <c r="S13" s="711">
        <f t="shared" si="0"/>
        <v>100</v>
      </c>
      <c r="T13" s="710" t="s">
        <v>17</v>
      </c>
      <c r="U13" s="711">
        <f t="shared" si="1"/>
        <v>100</v>
      </c>
      <c r="V13" s="710" t="s">
        <v>17</v>
      </c>
      <c r="W13" s="711">
        <f t="shared" si="2"/>
        <v>100</v>
      </c>
      <c r="X13" s="712"/>
      <c r="Y13" s="3161"/>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5"/>
      <c r="M14" s="2939"/>
      <c r="N14" s="2939"/>
      <c r="O14" s="2939"/>
      <c r="P14" s="3302"/>
      <c r="Q14" s="1527">
        <f t="shared" si="6"/>
        <v>111</v>
      </c>
      <c r="R14" s="710" t="s">
        <v>17</v>
      </c>
      <c r="S14" s="711">
        <f t="shared" si="0"/>
        <v>100</v>
      </c>
      <c r="T14" s="710" t="s">
        <v>17</v>
      </c>
      <c r="U14" s="711">
        <f t="shared" si="1"/>
        <v>100</v>
      </c>
      <c r="V14" s="710" t="s">
        <v>17</v>
      </c>
      <c r="W14" s="711">
        <f t="shared" si="2"/>
        <v>100</v>
      </c>
      <c r="X14" s="712"/>
      <c r="Y14" s="3161"/>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300" t="s">
        <v>2381</v>
      </c>
      <c r="Q15" s="1536" t="str">
        <f t="shared" si="6"/>
        <v>办公集聚程度</v>
      </c>
      <c r="R15" s="714" t="s">
        <v>17</v>
      </c>
      <c r="S15" s="715">
        <f t="shared" si="0"/>
        <v>100</v>
      </c>
      <c r="T15" s="714" t="s">
        <v>17</v>
      </c>
      <c r="U15" s="715">
        <f t="shared" si="1"/>
        <v>100</v>
      </c>
      <c r="V15" s="714" t="s">
        <v>17</v>
      </c>
      <c r="W15" s="715">
        <f t="shared" si="2"/>
        <v>100</v>
      </c>
      <c r="X15" s="1539"/>
      <c r="Y15" s="3293"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5"/>
      <c r="M16" s="2939"/>
      <c r="N16" s="2939"/>
      <c r="O16" s="2939"/>
      <c r="P16" s="3301"/>
      <c r="Q16" s="1536"/>
      <c r="R16" s="714"/>
      <c r="S16" s="715"/>
      <c r="T16" s="714"/>
      <c r="U16" s="715"/>
      <c r="V16" s="714"/>
      <c r="W16" s="715"/>
      <c r="X16" s="1539"/>
      <c r="Y16" s="3294"/>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301"/>
      <c r="Q17" s="1536" t="str">
        <f>B17</f>
        <v>交通便捷度</v>
      </c>
      <c r="R17" s="714" t="s">
        <v>17</v>
      </c>
      <c r="S17" s="715">
        <f>F17</f>
        <v>100</v>
      </c>
      <c r="T17" s="714" t="s">
        <v>17</v>
      </c>
      <c r="U17" s="715">
        <f>H17</f>
        <v>100</v>
      </c>
      <c r="V17" s="714" t="s">
        <v>17</v>
      </c>
      <c r="W17" s="715">
        <f>J17</f>
        <v>100</v>
      </c>
      <c r="X17" s="1539"/>
      <c r="Y17" s="3294"/>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5"/>
      <c r="M18" s="2939"/>
      <c r="N18" s="2939"/>
      <c r="O18" s="2939"/>
      <c r="P18" s="3301"/>
      <c r="Q18" s="1536"/>
      <c r="R18" s="714"/>
      <c r="S18" s="715"/>
      <c r="T18" s="714"/>
      <c r="U18" s="715"/>
      <c r="V18" s="714"/>
      <c r="W18" s="715"/>
      <c r="X18" s="1539"/>
      <c r="Y18" s="3294"/>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301"/>
      <c r="Q19" s="1536" t="str">
        <f>B19</f>
        <v>公共配套设施</v>
      </c>
      <c r="R19" s="714" t="s">
        <v>17</v>
      </c>
      <c r="S19" s="715">
        <f>F19</f>
        <v>100</v>
      </c>
      <c r="T19" s="714" t="s">
        <v>17</v>
      </c>
      <c r="U19" s="715">
        <f>H19</f>
        <v>100</v>
      </c>
      <c r="V19" s="714" t="s">
        <v>17</v>
      </c>
      <c r="W19" s="715">
        <f>J19</f>
        <v>100</v>
      </c>
      <c r="X19" s="1539"/>
      <c r="Y19" s="3294"/>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5"/>
      <c r="M20" s="2939"/>
      <c r="N20" s="2939"/>
      <c r="O20" s="2939"/>
      <c r="P20" s="3301"/>
      <c r="Q20" s="1536"/>
      <c r="R20" s="714"/>
      <c r="S20" s="715"/>
      <c r="T20" s="714"/>
      <c r="U20" s="715"/>
      <c r="V20" s="714"/>
      <c r="W20" s="715"/>
      <c r="X20" s="1539"/>
      <c r="Y20" s="3294"/>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301"/>
      <c r="Q21" s="1536" t="str">
        <f>B21</f>
        <v>基础设施水平</v>
      </c>
      <c r="R21" s="714" t="s">
        <v>17</v>
      </c>
      <c r="S21" s="715">
        <f>F21</f>
        <v>100</v>
      </c>
      <c r="T21" s="714" t="s">
        <v>17</v>
      </c>
      <c r="U21" s="715">
        <f>H21</f>
        <v>100</v>
      </c>
      <c r="V21" s="714" t="s">
        <v>17</v>
      </c>
      <c r="W21" s="715">
        <f>J21</f>
        <v>100</v>
      </c>
      <c r="X21" s="1539"/>
      <c r="Y21" s="3294"/>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5"/>
      <c r="M22" s="2939"/>
      <c r="N22" s="2939"/>
      <c r="O22" s="2939"/>
      <c r="P22" s="3301"/>
      <c r="Q22" s="1536"/>
      <c r="R22" s="714"/>
      <c r="S22" s="715"/>
      <c r="T22" s="714"/>
      <c r="U22" s="715"/>
      <c r="V22" s="714"/>
      <c r="W22" s="715"/>
      <c r="X22" s="1539"/>
      <c r="Y22" s="3294"/>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301"/>
      <c r="Q23" s="1536" t="str">
        <f>B23</f>
        <v>环境质量</v>
      </c>
      <c r="R23" s="714" t="s">
        <v>17</v>
      </c>
      <c r="S23" s="715">
        <f>F23</f>
        <v>100</v>
      </c>
      <c r="T23" s="714" t="s">
        <v>17</v>
      </c>
      <c r="U23" s="715">
        <f>H23</f>
        <v>100</v>
      </c>
      <c r="V23" s="714" t="s">
        <v>17</v>
      </c>
      <c r="W23" s="715">
        <f>J23</f>
        <v>100</v>
      </c>
      <c r="X23" s="1539"/>
      <c r="Y23" s="3294"/>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5"/>
      <c r="M24" s="2939"/>
      <c r="N24" s="2939"/>
      <c r="O24" s="2939"/>
      <c r="P24" s="3301"/>
      <c r="Q24" s="1536"/>
      <c r="R24" s="714"/>
      <c r="S24" s="715"/>
      <c r="T24" s="714"/>
      <c r="U24" s="715"/>
      <c r="V24" s="714"/>
      <c r="W24" s="715"/>
      <c r="X24" s="1539"/>
      <c r="Y24" s="3294"/>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5"/>
      <c r="M25" s="2939"/>
      <c r="N25" s="2939"/>
      <c r="O25" s="2939"/>
      <c r="P25" s="3301"/>
      <c r="Q25" s="1536" t="str">
        <f>B25</f>
        <v>毗邻道路的类型与等级</v>
      </c>
      <c r="R25" s="714" t="s">
        <v>17</v>
      </c>
      <c r="S25" s="715">
        <f>F25</f>
        <v>100</v>
      </c>
      <c r="T25" s="714" t="s">
        <v>17</v>
      </c>
      <c r="U25" s="715">
        <f>H25</f>
        <v>100</v>
      </c>
      <c r="V25" s="714" t="s">
        <v>17</v>
      </c>
      <c r="W25" s="715">
        <f>J25</f>
        <v>100</v>
      </c>
      <c r="X25" s="1539"/>
      <c r="Y25" s="3294"/>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5"/>
      <c r="M26" s="2939"/>
      <c r="N26" s="2939"/>
      <c r="O26" s="2939"/>
      <c r="P26" s="3301"/>
      <c r="Q26" s="1536"/>
      <c r="R26" s="714"/>
      <c r="S26" s="715"/>
      <c r="T26" s="714"/>
      <c r="U26" s="715"/>
      <c r="V26" s="714"/>
      <c r="W26" s="715"/>
      <c r="X26" s="1539"/>
      <c r="Y26" s="3294"/>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301"/>
      <c r="Q27" s="1536" t="str">
        <f t="shared" ref="Q27:Q47" si="11">B27</f>
        <v>楼层</v>
      </c>
      <c r="R27" s="714" t="s">
        <v>17</v>
      </c>
      <c r="S27" s="715">
        <f>F27</f>
        <v>100</v>
      </c>
      <c r="T27" s="714" t="s">
        <v>17</v>
      </c>
      <c r="U27" s="715">
        <f>H27</f>
        <v>100</v>
      </c>
      <c r="V27" s="714" t="s">
        <v>17</v>
      </c>
      <c r="W27" s="715">
        <f>J27</f>
        <v>100</v>
      </c>
      <c r="X27" s="1539"/>
      <c r="Y27" s="3294"/>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0"/>
      <c r="M28" s="2941"/>
      <c r="N28" s="2941"/>
      <c r="O28" s="2941"/>
      <c r="P28" s="3301"/>
      <c r="Q28" s="1527" t="str">
        <f t="shared" si="11"/>
        <v>朝向</v>
      </c>
      <c r="R28" s="710" t="s">
        <v>17</v>
      </c>
      <c r="S28" s="711">
        <f>F28</f>
        <v>100</v>
      </c>
      <c r="T28" s="710" t="s">
        <v>17</v>
      </c>
      <c r="U28" s="711">
        <f>H28</f>
        <v>100</v>
      </c>
      <c r="V28" s="710" t="s">
        <v>17</v>
      </c>
      <c r="W28" s="711">
        <f>J28</f>
        <v>100</v>
      </c>
      <c r="X28" s="712"/>
      <c r="Y28" s="3294"/>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5"/>
      <c r="M29" s="2939"/>
      <c r="N29" s="2939"/>
      <c r="O29" s="2939"/>
      <c r="P29" s="3301"/>
      <c r="Q29" s="1536">
        <f t="shared" si="11"/>
        <v>111</v>
      </c>
      <c r="R29" s="714" t="s">
        <v>17</v>
      </c>
      <c r="S29" s="715">
        <f t="shared" ref="S29:S47" si="12">F29</f>
        <v>100</v>
      </c>
      <c r="T29" s="714" t="s">
        <v>17</v>
      </c>
      <c r="U29" s="715">
        <f t="shared" ref="U29:U47" si="13">H29</f>
        <v>100</v>
      </c>
      <c r="V29" s="714" t="s">
        <v>17</v>
      </c>
      <c r="W29" s="715">
        <f t="shared" ref="W29:W47" si="14">J29</f>
        <v>100</v>
      </c>
      <c r="X29" s="1539"/>
      <c r="Y29" s="3294"/>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5"/>
      <c r="M30" s="2939"/>
      <c r="N30" s="2939"/>
      <c r="O30" s="2939"/>
      <c r="P30" s="3301"/>
      <c r="Q30" s="1536">
        <f t="shared" si="11"/>
        <v>111</v>
      </c>
      <c r="R30" s="714" t="s">
        <v>17</v>
      </c>
      <c r="S30" s="715">
        <f t="shared" si="12"/>
        <v>100</v>
      </c>
      <c r="T30" s="714" t="s">
        <v>17</v>
      </c>
      <c r="U30" s="715">
        <f t="shared" si="13"/>
        <v>100</v>
      </c>
      <c r="V30" s="714" t="s">
        <v>17</v>
      </c>
      <c r="W30" s="715">
        <f t="shared" si="14"/>
        <v>100</v>
      </c>
      <c r="X30" s="1539"/>
      <c r="Y30" s="3294"/>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5"/>
      <c r="M31" s="2939"/>
      <c r="N31" s="2939"/>
      <c r="O31" s="2939"/>
      <c r="P31" s="3301"/>
      <c r="Q31" s="1536">
        <f t="shared" si="11"/>
        <v>111</v>
      </c>
      <c r="R31" s="714" t="s">
        <v>17</v>
      </c>
      <c r="S31" s="715">
        <f t="shared" si="12"/>
        <v>100</v>
      </c>
      <c r="T31" s="714" t="s">
        <v>17</v>
      </c>
      <c r="U31" s="715">
        <f t="shared" si="13"/>
        <v>100</v>
      </c>
      <c r="V31" s="714" t="s">
        <v>17</v>
      </c>
      <c r="W31" s="715">
        <f t="shared" si="14"/>
        <v>100</v>
      </c>
      <c r="X31" s="1539"/>
      <c r="Y31" s="3294"/>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5"/>
      <c r="M32" s="2939"/>
      <c r="N32" s="2939"/>
      <c r="O32" s="2939"/>
      <c r="P32" s="3301"/>
      <c r="Q32" s="1536">
        <f t="shared" si="11"/>
        <v>111</v>
      </c>
      <c r="R32" s="714" t="s">
        <v>17</v>
      </c>
      <c r="S32" s="715">
        <f t="shared" si="12"/>
        <v>100</v>
      </c>
      <c r="T32" s="714" t="s">
        <v>17</v>
      </c>
      <c r="U32" s="715">
        <f t="shared" si="13"/>
        <v>100</v>
      </c>
      <c r="V32" s="714" t="s">
        <v>17</v>
      </c>
      <c r="W32" s="715">
        <f t="shared" si="14"/>
        <v>100</v>
      </c>
      <c r="X32" s="1539"/>
      <c r="Y32" s="3294"/>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5"/>
      <c r="M33" s="2939"/>
      <c r="N33" s="2939"/>
      <c r="O33" s="2939"/>
      <c r="P33" s="3295" t="s">
        <v>2386</v>
      </c>
      <c r="Q33" s="1536" t="str">
        <f t="shared" si="11"/>
        <v>建筑类型</v>
      </c>
      <c r="R33" s="714" t="s">
        <v>17</v>
      </c>
      <c r="S33" s="715">
        <f t="shared" si="12"/>
        <v>100</v>
      </c>
      <c r="T33" s="714" t="s">
        <v>17</v>
      </c>
      <c r="U33" s="715">
        <f t="shared" si="13"/>
        <v>100</v>
      </c>
      <c r="V33" s="714" t="s">
        <v>17</v>
      </c>
      <c r="W33" s="715">
        <f t="shared" si="14"/>
        <v>100</v>
      </c>
      <c r="X33" s="1539"/>
      <c r="Y33" s="3298"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296"/>
      <c r="Q34" s="716" t="str">
        <f t="shared" si="11"/>
        <v>项目建筑规模</v>
      </c>
      <c r="R34" s="717" t="s">
        <v>17</v>
      </c>
      <c r="S34" s="718" t="e">
        <f t="shared" si="12"/>
        <v>#N/A</v>
      </c>
      <c r="T34" s="717" t="s">
        <v>17</v>
      </c>
      <c r="U34" s="718" t="e">
        <f t="shared" si="13"/>
        <v>#N/A</v>
      </c>
      <c r="V34" s="717" t="s">
        <v>17</v>
      </c>
      <c r="W34" s="718" t="e">
        <f t="shared" si="14"/>
        <v>#N/A</v>
      </c>
      <c r="X34" s="719"/>
      <c r="Y34" s="3298"/>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296"/>
      <c r="Q35" s="1536" t="str">
        <f t="shared" si="11"/>
        <v>建筑结构</v>
      </c>
      <c r="R35" s="714" t="s">
        <v>17</v>
      </c>
      <c r="S35" s="715">
        <f t="shared" si="12"/>
        <v>100</v>
      </c>
      <c r="T35" s="714" t="s">
        <v>17</v>
      </c>
      <c r="U35" s="715">
        <f t="shared" si="13"/>
        <v>100</v>
      </c>
      <c r="V35" s="714" t="s">
        <v>17</v>
      </c>
      <c r="W35" s="715">
        <f t="shared" si="14"/>
        <v>100</v>
      </c>
      <c r="X35" s="1539"/>
      <c r="Y35" s="3298"/>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296"/>
      <c r="Q36" s="1536" t="str">
        <f t="shared" si="11"/>
        <v>公共部分装修</v>
      </c>
      <c r="R36" s="714" t="s">
        <v>17</v>
      </c>
      <c r="S36" s="715">
        <f t="shared" si="12"/>
        <v>100</v>
      </c>
      <c r="T36" s="714" t="s">
        <v>17</v>
      </c>
      <c r="U36" s="715">
        <f t="shared" si="13"/>
        <v>100</v>
      </c>
      <c r="V36" s="714" t="s">
        <v>17</v>
      </c>
      <c r="W36" s="715">
        <f t="shared" si="14"/>
        <v>100</v>
      </c>
      <c r="X36" s="1539"/>
      <c r="Y36" s="3298"/>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296"/>
      <c r="Q37" s="1536" t="str">
        <f t="shared" si="11"/>
        <v>成新度</v>
      </c>
      <c r="R37" s="714" t="s">
        <v>17</v>
      </c>
      <c r="S37" s="715" t="e">
        <f t="shared" si="12"/>
        <v>#N/A</v>
      </c>
      <c r="T37" s="714" t="s">
        <v>17</v>
      </c>
      <c r="U37" s="715" t="e">
        <f t="shared" si="13"/>
        <v>#N/A</v>
      </c>
      <c r="V37" s="714" t="s">
        <v>17</v>
      </c>
      <c r="W37" s="715" t="e">
        <f t="shared" si="14"/>
        <v>#N/A</v>
      </c>
      <c r="X37" s="1539"/>
      <c r="Y37" s="3298"/>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296"/>
      <c r="Q38" s="1527" t="str">
        <f t="shared" si="11"/>
        <v>写字楼等级</v>
      </c>
      <c r="R38" s="710" t="s">
        <v>17</v>
      </c>
      <c r="S38" s="711">
        <f t="shared" si="12"/>
        <v>100</v>
      </c>
      <c r="T38" s="710" t="s">
        <v>17</v>
      </c>
      <c r="U38" s="711">
        <f t="shared" si="13"/>
        <v>100</v>
      </c>
      <c r="V38" s="710" t="s">
        <v>17</v>
      </c>
      <c r="W38" s="711">
        <f t="shared" si="14"/>
        <v>100</v>
      </c>
      <c r="X38" s="712"/>
      <c r="Y38" s="3298"/>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296" t="s">
        <v>2386</v>
      </c>
      <c r="Q39" s="1536" t="str">
        <f t="shared" si="11"/>
        <v>物业管理</v>
      </c>
      <c r="R39" s="714" t="s">
        <v>17</v>
      </c>
      <c r="S39" s="715">
        <f t="shared" si="12"/>
        <v>100</v>
      </c>
      <c r="T39" s="714" t="s">
        <v>17</v>
      </c>
      <c r="U39" s="715">
        <f t="shared" si="13"/>
        <v>100</v>
      </c>
      <c r="V39" s="714" t="s">
        <v>17</v>
      </c>
      <c r="W39" s="715">
        <f t="shared" si="14"/>
        <v>100</v>
      </c>
      <c r="X39" s="1539"/>
      <c r="Y39" s="3298"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296"/>
      <c r="Q40" s="1536" t="str">
        <f t="shared" si="11"/>
        <v>市政基础设施</v>
      </c>
      <c r="R40" s="714" t="s">
        <v>17</v>
      </c>
      <c r="S40" s="715">
        <f t="shared" si="12"/>
        <v>100</v>
      </c>
      <c r="T40" s="714" t="s">
        <v>17</v>
      </c>
      <c r="U40" s="715">
        <f t="shared" si="13"/>
        <v>100</v>
      </c>
      <c r="V40" s="714" t="s">
        <v>17</v>
      </c>
      <c r="W40" s="715">
        <f t="shared" si="14"/>
        <v>100</v>
      </c>
      <c r="X40" s="1539"/>
      <c r="Y40" s="3298"/>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296"/>
      <c r="Q41" s="1536" t="str">
        <f t="shared" si="11"/>
        <v>层高</v>
      </c>
      <c r="R41" s="714" t="s">
        <v>17</v>
      </c>
      <c r="S41" s="715">
        <f t="shared" si="12"/>
        <v>100</v>
      </c>
      <c r="T41" s="714" t="s">
        <v>17</v>
      </c>
      <c r="U41" s="715">
        <f t="shared" si="13"/>
        <v>100</v>
      </c>
      <c r="V41" s="714" t="s">
        <v>17</v>
      </c>
      <c r="W41" s="715">
        <f t="shared" si="14"/>
        <v>100</v>
      </c>
      <c r="X41" s="1539"/>
      <c r="Y41" s="3298"/>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296"/>
      <c r="Q42" s="716" t="str">
        <f t="shared" si="11"/>
        <v>单套建筑面积</v>
      </c>
      <c r="R42" s="717" t="s">
        <v>17</v>
      </c>
      <c r="S42" s="718">
        <f t="shared" si="12"/>
        <v>100</v>
      </c>
      <c r="T42" s="717" t="s">
        <v>17</v>
      </c>
      <c r="U42" s="718">
        <f t="shared" si="13"/>
        <v>100</v>
      </c>
      <c r="V42" s="717" t="s">
        <v>17</v>
      </c>
      <c r="W42" s="718">
        <f t="shared" si="14"/>
        <v>100</v>
      </c>
      <c r="X42" s="719"/>
      <c r="Y42" s="3298"/>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296"/>
      <c r="Q43" s="1536" t="str">
        <f t="shared" si="11"/>
        <v>内部装修</v>
      </c>
      <c r="R43" s="714" t="s">
        <v>17</v>
      </c>
      <c r="S43" s="715">
        <f t="shared" si="12"/>
        <v>100</v>
      </c>
      <c r="T43" s="714" t="s">
        <v>17</v>
      </c>
      <c r="U43" s="715">
        <f t="shared" si="13"/>
        <v>100</v>
      </c>
      <c r="V43" s="714" t="s">
        <v>17</v>
      </c>
      <c r="W43" s="715">
        <f t="shared" si="14"/>
        <v>100</v>
      </c>
      <c r="X43" s="1539"/>
      <c r="Y43" s="3298"/>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5"/>
      <c r="M44" s="2939"/>
      <c r="N44" s="2939"/>
      <c r="O44" s="2939"/>
      <c r="P44" s="3296"/>
      <c r="Q44" s="1536" t="str">
        <f t="shared" si="11"/>
        <v>内部装修维护情况</v>
      </c>
      <c r="R44" s="714" t="s">
        <v>17</v>
      </c>
      <c r="S44" s="715">
        <f t="shared" si="12"/>
        <v>100</v>
      </c>
      <c r="T44" s="714" t="s">
        <v>17</v>
      </c>
      <c r="U44" s="715">
        <f t="shared" si="13"/>
        <v>100</v>
      </c>
      <c r="V44" s="714" t="s">
        <v>17</v>
      </c>
      <c r="W44" s="715">
        <f t="shared" si="14"/>
        <v>100</v>
      </c>
      <c r="X44" s="1539"/>
      <c r="Y44" s="3298"/>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296"/>
      <c r="Q45" s="1527">
        <f t="shared" si="11"/>
        <v>111</v>
      </c>
      <c r="R45" s="710" t="s">
        <v>17</v>
      </c>
      <c r="S45" s="711">
        <f t="shared" si="12"/>
        <v>100</v>
      </c>
      <c r="T45" s="710" t="s">
        <v>17</v>
      </c>
      <c r="U45" s="711">
        <f t="shared" si="13"/>
        <v>100</v>
      </c>
      <c r="V45" s="710" t="s">
        <v>17</v>
      </c>
      <c r="W45" s="711">
        <f t="shared" si="14"/>
        <v>100</v>
      </c>
      <c r="X45" s="712"/>
      <c r="Y45" s="3298"/>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296"/>
      <c r="Q46" s="1536">
        <f t="shared" si="11"/>
        <v>111</v>
      </c>
      <c r="R46" s="714" t="s">
        <v>17</v>
      </c>
      <c r="S46" s="715">
        <f t="shared" si="12"/>
        <v>100</v>
      </c>
      <c r="T46" s="714" t="s">
        <v>17</v>
      </c>
      <c r="U46" s="715">
        <f t="shared" si="13"/>
        <v>100</v>
      </c>
      <c r="V46" s="714" t="s">
        <v>17</v>
      </c>
      <c r="W46" s="715">
        <f t="shared" si="14"/>
        <v>100</v>
      </c>
      <c r="X46" s="1539"/>
      <c r="Y46" s="3298"/>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297"/>
      <c r="Q47" s="1536">
        <f t="shared" si="11"/>
        <v>111</v>
      </c>
      <c r="R47" s="714" t="s">
        <v>17</v>
      </c>
      <c r="S47" s="715">
        <f t="shared" si="12"/>
        <v>100</v>
      </c>
      <c r="T47" s="714" t="s">
        <v>17</v>
      </c>
      <c r="U47" s="715">
        <f t="shared" si="13"/>
        <v>100</v>
      </c>
      <c r="V47" s="714" t="s">
        <v>17</v>
      </c>
      <c r="W47" s="715">
        <f t="shared" si="14"/>
        <v>100</v>
      </c>
      <c r="X47" s="1539"/>
      <c r="Y47" s="3299"/>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47"/>
      <c r="M48" s="2939"/>
      <c r="N48" s="2939"/>
      <c r="O48" s="2939"/>
      <c r="P48" s="3302" t="str">
        <f>A48</f>
        <v>成交单价（元/平方米）</v>
      </c>
      <c r="Q48" s="3291"/>
      <c r="R48" s="3292">
        <f>E48</f>
        <v>0</v>
      </c>
      <c r="S48" s="3292"/>
      <c r="T48" s="3292">
        <f>G48</f>
        <v>0</v>
      </c>
      <c r="U48" s="3292"/>
      <c r="V48" s="3292">
        <f>I48</f>
        <v>0</v>
      </c>
      <c r="W48" s="3292"/>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47"/>
      <c r="M49" s="2939"/>
      <c r="N49" s="2939"/>
      <c r="O49" s="2939"/>
      <c r="P49" s="3302" t="str">
        <f>A49</f>
        <v>比较价值（元/平方米）</v>
      </c>
      <c r="Q49" s="3291"/>
      <c r="R49" s="3292" t="e">
        <f>IF(F1="售价",ROUND(PRODUCT(R48,AA7:AA47),0),ROUND(PRODUCT(R48,AA7:AA47),1))</f>
        <v>#DIV/0!</v>
      </c>
      <c r="S49" s="3292"/>
      <c r="T49" s="3292" t="e">
        <f>IF(F1="售价",ROUND(PRODUCT(T48,AB7:AB47),0),ROUND(PRODUCT(T48,AB7:AB47),1))</f>
        <v>#DIV/0!</v>
      </c>
      <c r="U49" s="3292"/>
      <c r="V49" s="3292" t="e">
        <f>IF(F1="售价",ROUND(PRODUCT(V48,AC7:AC47),0),ROUND(PRODUCT(V48,AC7:AC47),1))</f>
        <v>#DIV/0!</v>
      </c>
      <c r="W49" s="3292"/>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47"/>
      <c r="M50" s="2939"/>
      <c r="N50" s="2939"/>
      <c r="O50" s="2939"/>
      <c r="P50" s="3334" t="str">
        <f>A50</f>
        <v>估价对象XX用房的比较价值（楼面单价，元/平方米）</v>
      </c>
      <c r="Q50" s="3335"/>
      <c r="R50" s="3336" t="e">
        <f>IF(F1="售价",ROUND(IF(D49="简单平均",AVERAGE(R49:V49),R49*F49+T49*H49+V49*J49),0),ROUND(IF(D49="简单平均",AVERAGE(R49:V49),R49*F49+T49*H49+V49*J49),1))</f>
        <v>#DIV/0!</v>
      </c>
      <c r="S50" s="3336"/>
      <c r="T50" s="3336"/>
      <c r="U50" s="3336"/>
      <c r="V50" s="3336"/>
      <c r="W50" s="3336"/>
      <c r="X50" s="2132"/>
      <c r="Y50" s="2132"/>
      <c r="Z50" s="2132"/>
      <c r="AA50" s="2132"/>
      <c r="AB50" s="2132"/>
      <c r="AC50" s="2133"/>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3" t="s">
        <v>2495</v>
      </c>
      <c r="B58" s="699"/>
      <c r="C58" s="704"/>
      <c r="D58" s="704"/>
      <c r="E58" s="704"/>
      <c r="F58" s="705"/>
      <c r="G58" s="705"/>
      <c r="H58" s="704"/>
      <c r="I58" s="704"/>
      <c r="J58" s="704"/>
      <c r="K58" s="706"/>
      <c r="L58" s="1073"/>
      <c r="M58" s="1071"/>
      <c r="N58" s="2992"/>
      <c r="O58" s="2992"/>
      <c r="P58" s="2981"/>
      <c r="Q58" s="2962"/>
      <c r="R58" s="2948"/>
      <c r="S58" s="2948"/>
      <c r="T58" s="2948"/>
      <c r="U58" s="2948"/>
      <c r="V58" s="2948"/>
      <c r="W58" s="2948"/>
      <c r="X58" s="2948"/>
      <c r="Y58" s="2948"/>
      <c r="Z58" s="2948"/>
      <c r="AA58" s="2948"/>
      <c r="AB58" s="2948"/>
      <c r="AC58" s="2948"/>
    </row>
    <row r="59" spans="1:29" s="465" customFormat="1" ht="15">
      <c r="A59" s="462" t="s">
        <v>2369</v>
      </c>
      <c r="B59" s="463"/>
      <c r="C59" s="1346" t="str">
        <f>YEAR(C7)&amp;"-"&amp;MONTH(C7)</f>
        <v>2021-9</v>
      </c>
      <c r="D59" s="1347">
        <f>EDATE(C59,-1)</f>
        <v>44409</v>
      </c>
      <c r="E59" s="1347">
        <f>EDATE(D59,-1)</f>
        <v>44378</v>
      </c>
      <c r="F59" s="1347">
        <f t="shared" ref="F59:O59" si="16">EDATE(E59,-1)</f>
        <v>44348</v>
      </c>
      <c r="G59" s="1347">
        <f t="shared" si="16"/>
        <v>44317</v>
      </c>
      <c r="H59" s="1347">
        <f t="shared" si="16"/>
        <v>44287</v>
      </c>
      <c r="I59" s="1347">
        <f t="shared" si="16"/>
        <v>44256</v>
      </c>
      <c r="J59" s="1347">
        <f t="shared" si="16"/>
        <v>44228</v>
      </c>
      <c r="K59" s="1347">
        <f t="shared" si="16"/>
        <v>44197</v>
      </c>
      <c r="L59" s="1347">
        <f t="shared" si="16"/>
        <v>44166</v>
      </c>
      <c r="M59" s="1347">
        <f t="shared" si="16"/>
        <v>44136</v>
      </c>
      <c r="N59" s="1347">
        <f t="shared" si="16"/>
        <v>44105</v>
      </c>
      <c r="O59" s="1347">
        <f t="shared" si="16"/>
        <v>44075</v>
      </c>
      <c r="P59" s="2982"/>
      <c r="Q59" s="2964"/>
      <c r="R59" s="2964"/>
      <c r="S59" s="2964"/>
      <c r="T59" s="2964"/>
      <c r="U59" s="2964"/>
      <c r="V59" s="2964"/>
      <c r="W59" s="2964"/>
      <c r="X59" s="2964"/>
      <c r="Y59" s="2964"/>
      <c r="Z59" s="2964"/>
      <c r="AA59" s="2964"/>
      <c r="AB59" s="2964"/>
      <c r="AC59" s="2964"/>
    </row>
    <row r="60" spans="1:29" s="113" customFormat="1" ht="15">
      <c r="A60" s="466"/>
      <c r="B60" s="467"/>
      <c r="C60" s="1345">
        <v>100</v>
      </c>
      <c r="D60" s="469"/>
      <c r="E60" s="469"/>
      <c r="F60" s="469"/>
      <c r="G60" s="469"/>
      <c r="H60" s="469"/>
      <c r="I60" s="469"/>
      <c r="J60" s="469"/>
      <c r="K60" s="469"/>
      <c r="L60" s="469"/>
      <c r="M60" s="470"/>
      <c r="N60" s="469"/>
      <c r="O60" s="470"/>
      <c r="P60" s="2983"/>
      <c r="Q60" s="2883"/>
      <c r="R60" s="2883"/>
      <c r="S60" s="2883"/>
      <c r="T60" s="2883"/>
      <c r="U60" s="2883"/>
      <c r="V60" s="2883"/>
      <c r="W60" s="2883"/>
      <c r="X60" s="2883"/>
      <c r="Y60" s="2883"/>
      <c r="Z60" s="2883"/>
      <c r="AA60" s="2883"/>
      <c r="AB60" s="2883"/>
      <c r="AC60" s="2883"/>
    </row>
    <row r="61" spans="1:29" s="113" customFormat="1" ht="15.75" thickBot="1">
      <c r="A61" s="472" t="s">
        <v>2406</v>
      </c>
      <c r="B61" s="473"/>
      <c r="C61" s="474"/>
      <c r="D61" s="475"/>
      <c r="E61" s="475"/>
      <c r="F61" s="475"/>
      <c r="G61" s="475"/>
      <c r="H61" s="475"/>
      <c r="I61" s="475"/>
      <c r="J61" s="475"/>
      <c r="K61" s="475"/>
      <c r="L61" s="475"/>
      <c r="M61" s="476"/>
      <c r="N61" s="475"/>
      <c r="O61" s="476"/>
      <c r="P61" s="2983"/>
      <c r="Q61" s="2962"/>
      <c r="R61" s="2883"/>
      <c r="S61" s="2883"/>
      <c r="T61" s="2883"/>
      <c r="U61" s="2883"/>
      <c r="V61" s="2883"/>
      <c r="W61" s="2883"/>
      <c r="X61" s="2883"/>
      <c r="Y61" s="2883"/>
      <c r="Z61" s="2883"/>
      <c r="AA61" s="2883"/>
      <c r="AB61" s="2883"/>
      <c r="AC61" s="2883"/>
    </row>
    <row r="62" spans="1:29" s="113" customFormat="1" ht="15">
      <c r="A62" s="478" t="s">
        <v>2371</v>
      </c>
      <c r="B62" s="467"/>
      <c r="C62" s="479" t="s">
        <v>2473</v>
      </c>
      <c r="D62" s="480"/>
      <c r="E62" s="480"/>
      <c r="F62" s="480"/>
      <c r="G62" s="480"/>
      <c r="H62" s="480"/>
      <c r="I62" s="480"/>
      <c r="J62" s="480"/>
      <c r="K62" s="480"/>
      <c r="L62" s="481"/>
      <c r="M62" s="482"/>
      <c r="N62" s="2975"/>
      <c r="O62" s="2975"/>
      <c r="P62" s="2984"/>
      <c r="Q62" s="2962"/>
      <c r="R62" s="2883"/>
      <c r="S62" s="2883"/>
      <c r="T62" s="2883"/>
      <c r="U62" s="2883"/>
      <c r="V62" s="2883"/>
      <c r="W62" s="2883"/>
      <c r="X62" s="2883"/>
      <c r="Y62" s="2883"/>
      <c r="Z62" s="2883"/>
      <c r="AA62" s="2883"/>
      <c r="AB62" s="2883"/>
      <c r="AC62" s="2883"/>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3"/>
      <c r="S63" s="2883"/>
      <c r="T63" s="2883"/>
      <c r="U63" s="2883"/>
      <c r="V63" s="2883"/>
      <c r="W63" s="2883"/>
      <c r="X63" s="2883"/>
      <c r="Y63" s="2883"/>
      <c r="Z63" s="2883"/>
      <c r="AA63" s="2883"/>
      <c r="AB63" s="2883"/>
      <c r="AC63" s="2883"/>
    </row>
    <row r="64" spans="1:29">
      <c r="A64" s="484" t="s">
        <v>2409</v>
      </c>
      <c r="B64" s="485" t="s">
        <v>2375</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2380</v>
      </c>
      <c r="B77" s="485" t="s">
        <v>2518</v>
      </c>
      <c r="C77" s="530" t="s">
        <v>2418</v>
      </c>
      <c r="D77" s="530" t="s">
        <v>2419</v>
      </c>
      <c r="E77" s="530" t="s">
        <v>2420</v>
      </c>
      <c r="F77" s="530" t="s">
        <v>2421</v>
      </c>
      <c r="G77" s="530" t="s">
        <v>2422</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2423</v>
      </c>
      <c r="C79" s="535" t="s">
        <v>2418</v>
      </c>
      <c r="D79" s="535" t="s">
        <v>2419</v>
      </c>
      <c r="E79" s="535" t="s">
        <v>2420</v>
      </c>
      <c r="F79" s="535" t="s">
        <v>2421</v>
      </c>
      <c r="G79" s="535" t="s">
        <v>2422</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2424</v>
      </c>
      <c r="C81" s="535" t="s">
        <v>2418</v>
      </c>
      <c r="D81" s="535" t="s">
        <v>2419</v>
      </c>
      <c r="E81" s="535" t="s">
        <v>2420</v>
      </c>
      <c r="F81" s="535" t="s">
        <v>2421</v>
      </c>
      <c r="G81" s="535" t="s">
        <v>2422</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2510</v>
      </c>
      <c r="C83" s="616" t="s">
        <v>2496</v>
      </c>
      <c r="D83" s="616" t="s">
        <v>2497</v>
      </c>
      <c r="E83" s="616" t="s">
        <v>2498</v>
      </c>
      <c r="F83" s="616" t="s">
        <v>2499</v>
      </c>
      <c r="G83" s="616" t="s">
        <v>2500</v>
      </c>
      <c r="H83" s="496"/>
      <c r="I83" s="496"/>
      <c r="J83" s="496"/>
      <c r="K83" s="496"/>
      <c r="L83" s="496"/>
      <c r="M83" s="1291"/>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2519</v>
      </c>
      <c r="C85" s="535" t="s">
        <v>2418</v>
      </c>
      <c r="D85" s="535" t="s">
        <v>2419</v>
      </c>
      <c r="E85" s="535" t="s">
        <v>2420</v>
      </c>
      <c r="F85" s="535" t="s">
        <v>2421</v>
      </c>
      <c r="G85" s="535" t="s">
        <v>2422</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2520</v>
      </c>
      <c r="C87" s="511"/>
      <c r="D87" s="511"/>
      <c r="E87" s="511"/>
      <c r="F87" s="511"/>
      <c r="G87" s="511"/>
      <c r="H87" s="511"/>
      <c r="I87" s="511"/>
      <c r="J87" s="511"/>
      <c r="K87" s="511"/>
      <c r="L87" s="537"/>
      <c r="M87" s="538"/>
      <c r="N87" s="2975"/>
      <c r="O87" s="2975"/>
      <c r="P87" s="2985"/>
      <c r="Q87" s="2962"/>
      <c r="R87" s="2883"/>
      <c r="S87" s="2883"/>
      <c r="T87" s="2883"/>
      <c r="U87" s="2883"/>
      <c r="V87" s="2883"/>
      <c r="W87" s="2883"/>
      <c r="X87" s="2883"/>
      <c r="Y87" s="2883"/>
      <c r="Z87" s="2883"/>
      <c r="AA87" s="2883"/>
      <c r="AB87" s="2883"/>
      <c r="AC87" s="288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3"/>
      <c r="S88" s="2883"/>
      <c r="T88" s="2883"/>
      <c r="U88" s="2883"/>
      <c r="V88" s="2883"/>
      <c r="W88" s="2883"/>
      <c r="X88" s="2883"/>
      <c r="Y88" s="2883"/>
      <c r="Z88" s="2883"/>
      <c r="AA88" s="2883"/>
      <c r="AB88" s="2883"/>
      <c r="AC88" s="2883"/>
    </row>
    <row r="89" spans="1:29" s="113" customFormat="1" ht="15.75" thickTop="1">
      <c r="A89" s="536"/>
      <c r="B89" s="495" t="str">
        <f>B27</f>
        <v>楼层</v>
      </c>
      <c r="C89" s="511"/>
      <c r="D89" s="511"/>
      <c r="E89" s="511"/>
      <c r="F89" s="2113"/>
      <c r="G89" s="511"/>
      <c r="H89" s="511"/>
      <c r="I89" s="511"/>
      <c r="J89" s="511"/>
      <c r="K89" s="511"/>
      <c r="L89" s="511"/>
      <c r="M89" s="538"/>
      <c r="N89" s="2975"/>
      <c r="O89" s="2975"/>
      <c r="P89" s="2985"/>
      <c r="Q89" s="2962"/>
      <c r="R89" s="2883"/>
      <c r="S89" s="2883"/>
      <c r="T89" s="2883"/>
      <c r="U89" s="2883"/>
      <c r="V89" s="2883"/>
      <c r="W89" s="2883"/>
      <c r="X89" s="2883"/>
      <c r="Y89" s="2883"/>
      <c r="Z89" s="2883"/>
      <c r="AA89" s="2883"/>
      <c r="AB89" s="2883"/>
      <c r="AC89" s="288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3"/>
      <c r="S90" s="2883"/>
      <c r="T90" s="2883"/>
      <c r="U90" s="2883"/>
      <c r="V90" s="2883"/>
      <c r="W90" s="2883"/>
      <c r="X90" s="2883"/>
      <c r="Y90" s="2883"/>
      <c r="Z90" s="2883"/>
      <c r="AA90" s="2883"/>
      <c r="AB90" s="2883"/>
      <c r="AC90" s="2883"/>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14"/>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2384</v>
      </c>
      <c r="B101" s="485" t="s">
        <v>2433</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2435</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2437</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2521</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2438</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2439</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2522</v>
      </c>
      <c r="C119" s="540"/>
      <c r="D119" s="540"/>
      <c r="E119" s="540"/>
      <c r="F119" s="540"/>
      <c r="G119" s="540"/>
      <c r="H119" s="540"/>
      <c r="I119" s="540"/>
      <c r="J119" s="540"/>
      <c r="K119" s="540"/>
      <c r="L119" s="2154"/>
      <c r="M119" s="2155"/>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2505</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2441</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14"/>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北京通美晶体技术有限公司：</v>
      </c>
    </row>
    <row r="4" spans="1:1" ht="36">
      <c r="A4" s="1665" t="str">
        <f>"受贵公司委托，我公司对"&amp;项目基本情况!S1&amp;"进行了预评估。"</f>
        <v>受贵公司委托，我公司对辽宁省朝阳市朝阳喀左经济开发区房地产抵押价值进行了预评估。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辽宁省朝阳市朝阳喀左经济开发区房地产，为朝阳通美晶体技术有限公司所有。根据《国有土地使用证》[]，估价对象（分摊）出让国有建设用地使用权面积为166699.11平方米，建筑面积为28660.61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辽宁省朝阳市朝阳喀左经济开发区房地产,属朝阳通美晶体技术有限公司开发建设的，该项目尚在开发建设中。根据《国有土地使用证》[]，估价对象（分摊）出让国有建设用地使用权面积为166699.11平方米，规划建筑面积为28660.61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为估价委托人在向交通银行办理贷款手续过程中，确定房地产抵押贷款额度提供参考依据而评估房地产抵押价值。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2021年9月15日（评估专业人员实地查勘之日）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15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28660.61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6" t="s">
        <v>2467</v>
      </c>
      <c r="D4" s="3307"/>
      <c r="E4" s="3308" t="s">
        <v>2468</v>
      </c>
      <c r="F4" s="3309"/>
      <c r="G4" s="3306" t="s">
        <v>2469</v>
      </c>
      <c r="H4" s="3307"/>
      <c r="I4" s="3306" t="s">
        <v>2470</v>
      </c>
      <c r="J4" s="3307"/>
      <c r="K4" s="567" t="s">
        <v>2471</v>
      </c>
      <c r="L4" s="1044"/>
      <c r="M4" s="1045"/>
      <c r="N4" s="1045"/>
      <c r="O4" s="1045"/>
      <c r="P4" s="3310" t="s">
        <v>2472</v>
      </c>
      <c r="Q4" s="3311"/>
      <c r="R4" s="3316" t="s">
        <v>2468</v>
      </c>
      <c r="S4" s="3317"/>
      <c r="T4" s="3316" t="s">
        <v>2469</v>
      </c>
      <c r="U4" s="3317"/>
      <c r="V4" s="3322" t="s">
        <v>2470</v>
      </c>
      <c r="W4" s="3322"/>
      <c r="X4" s="1539"/>
      <c r="Y4" s="3316" t="s">
        <v>2472</v>
      </c>
      <c r="Z4" s="3317"/>
      <c r="AA4" s="3303" t="s">
        <v>2468</v>
      </c>
      <c r="AB4" s="3304" t="s">
        <v>2469</v>
      </c>
      <c r="AC4" s="3303" t="s">
        <v>2470</v>
      </c>
    </row>
    <row r="5" spans="1:29" ht="15">
      <c r="A5" s="364"/>
      <c r="B5" s="365"/>
      <c r="C5" s="3325" t="s">
        <v>2363</v>
      </c>
      <c r="D5" s="3326"/>
      <c r="E5" s="3332" t="s">
        <v>2364</v>
      </c>
      <c r="F5" s="3333"/>
      <c r="G5" s="3325" t="s">
        <v>2365</v>
      </c>
      <c r="H5" s="3326"/>
      <c r="I5" s="3325" t="s">
        <v>2366</v>
      </c>
      <c r="J5" s="3326"/>
      <c r="K5" s="567"/>
      <c r="L5" s="1044"/>
      <c r="M5" s="1045"/>
      <c r="N5" s="1045"/>
      <c r="O5" s="1045"/>
      <c r="P5" s="3312"/>
      <c r="Q5" s="3313"/>
      <c r="R5" s="3318"/>
      <c r="S5" s="3319"/>
      <c r="T5" s="3318"/>
      <c r="U5" s="3319"/>
      <c r="V5" s="3322"/>
      <c r="W5" s="3322"/>
      <c r="X5" s="1539"/>
      <c r="Y5" s="3318"/>
      <c r="Z5" s="3319"/>
      <c r="AA5" s="3304"/>
      <c r="AB5" s="3304"/>
      <c r="AC5" s="3304"/>
    </row>
    <row r="6" spans="1:29" ht="15.75" thickBot="1">
      <c r="A6" s="366"/>
      <c r="B6" s="367"/>
      <c r="C6" s="3323" t="s">
        <v>2367</v>
      </c>
      <c r="D6" s="3324"/>
      <c r="E6" s="3330" t="s">
        <v>2367</v>
      </c>
      <c r="F6" s="3331"/>
      <c r="G6" s="3323" t="s">
        <v>2367</v>
      </c>
      <c r="H6" s="3324"/>
      <c r="I6" s="3323" t="s">
        <v>2367</v>
      </c>
      <c r="J6" s="3324"/>
      <c r="K6" s="567" t="s">
        <v>2368</v>
      </c>
      <c r="L6" s="1044"/>
      <c r="M6" s="1045"/>
      <c r="N6" s="1045"/>
      <c r="O6" s="1045"/>
      <c r="P6" s="3314"/>
      <c r="Q6" s="3315"/>
      <c r="R6" s="3318"/>
      <c r="S6" s="3319"/>
      <c r="T6" s="3320"/>
      <c r="U6" s="3321"/>
      <c r="V6" s="3322"/>
      <c r="W6" s="3322"/>
      <c r="X6" s="1539"/>
      <c r="Y6" s="3320"/>
      <c r="Z6" s="3321"/>
      <c r="AA6" s="3305"/>
      <c r="AB6" s="3305"/>
      <c r="AC6" s="3305"/>
    </row>
    <row r="7" spans="1:29" s="113" customFormat="1" ht="15.75" thickBot="1">
      <c r="A7" s="368" t="s">
        <v>2369</v>
      </c>
      <c r="B7" s="369"/>
      <c r="C7" s="370">
        <f>'数据-取费表'!B2</f>
        <v>44454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7" t="s">
        <v>2370</v>
      </c>
      <c r="Q7" s="3329"/>
      <c r="R7" s="710" t="s">
        <v>17</v>
      </c>
      <c r="S7" s="711">
        <f t="shared" ref="S7:S15" si="0">F7</f>
        <v>0</v>
      </c>
      <c r="T7" s="710" t="s">
        <v>17</v>
      </c>
      <c r="U7" s="711">
        <f t="shared" ref="U7:U15" si="1">H7</f>
        <v>0</v>
      </c>
      <c r="V7" s="710" t="s">
        <v>17</v>
      </c>
      <c r="W7" s="711">
        <f t="shared" ref="W7:W15" si="2">J7</f>
        <v>0</v>
      </c>
      <c r="X7" s="712"/>
      <c r="Y7" s="3327" t="s">
        <v>2370</v>
      </c>
      <c r="Z7" s="3328"/>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7" t="s">
        <v>2373</v>
      </c>
      <c r="Q8" s="3328"/>
      <c r="R8" s="710" t="s">
        <v>17</v>
      </c>
      <c r="S8" s="711">
        <f t="shared" si="0"/>
        <v>0</v>
      </c>
      <c r="T8" s="710" t="s">
        <v>17</v>
      </c>
      <c r="U8" s="711">
        <f t="shared" si="1"/>
        <v>0</v>
      </c>
      <c r="V8" s="710" t="s">
        <v>17</v>
      </c>
      <c r="W8" s="711">
        <f t="shared" si="2"/>
        <v>0</v>
      </c>
      <c r="X8" s="712"/>
      <c r="Y8" s="3327" t="s">
        <v>2373</v>
      </c>
      <c r="Z8" s="3328"/>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1" t="s">
        <v>2376</v>
      </c>
      <c r="Q9" s="1527" t="str">
        <f t="shared" ref="Q9:Q15" si="6">B9</f>
        <v>用途</v>
      </c>
      <c r="R9" s="710" t="s">
        <v>17</v>
      </c>
      <c r="S9" s="711">
        <f t="shared" si="0"/>
        <v>100</v>
      </c>
      <c r="T9" s="710" t="s">
        <v>17</v>
      </c>
      <c r="U9" s="711">
        <f t="shared" si="1"/>
        <v>100</v>
      </c>
      <c r="V9" s="710" t="s">
        <v>17</v>
      </c>
      <c r="W9" s="711">
        <f t="shared" si="2"/>
        <v>100</v>
      </c>
      <c r="X9" s="712"/>
      <c r="Y9" s="316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1"/>
      <c r="Q10" s="1527" t="str">
        <f t="shared" si="6"/>
        <v>土地使用年限（年）</v>
      </c>
      <c r="R10" s="710" t="s">
        <v>17</v>
      </c>
      <c r="S10" s="711">
        <f t="shared" si="0"/>
        <v>100</v>
      </c>
      <c r="T10" s="710" t="s">
        <v>17</v>
      </c>
      <c r="U10" s="711">
        <f t="shared" si="1"/>
        <v>100</v>
      </c>
      <c r="V10" s="710" t="s">
        <v>17</v>
      </c>
      <c r="W10" s="711">
        <f t="shared" si="2"/>
        <v>100</v>
      </c>
      <c r="X10" s="712"/>
      <c r="Y10" s="3161"/>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1"/>
      <c r="Q11" s="1527" t="str">
        <f t="shared" si="6"/>
        <v>容积率</v>
      </c>
      <c r="R11" s="710" t="s">
        <v>17</v>
      </c>
      <c r="S11" s="711" t="e">
        <f t="shared" si="0"/>
        <v>#N/A</v>
      </c>
      <c r="T11" s="710" t="s">
        <v>17</v>
      </c>
      <c r="U11" s="711" t="e">
        <f t="shared" si="1"/>
        <v>#N/A</v>
      </c>
      <c r="V11" s="710" t="s">
        <v>17</v>
      </c>
      <c r="W11" s="711" t="e">
        <f t="shared" si="2"/>
        <v>#N/A</v>
      </c>
      <c r="X11" s="712"/>
      <c r="Y11" s="316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91"/>
      <c r="Q12" s="1527">
        <f t="shared" si="6"/>
        <v>111</v>
      </c>
      <c r="R12" s="710" t="s">
        <v>17</v>
      </c>
      <c r="S12" s="711">
        <f t="shared" si="0"/>
        <v>100</v>
      </c>
      <c r="T12" s="710" t="s">
        <v>17</v>
      </c>
      <c r="U12" s="711">
        <f t="shared" si="1"/>
        <v>100</v>
      </c>
      <c r="V12" s="710" t="s">
        <v>17</v>
      </c>
      <c r="W12" s="711">
        <f t="shared" si="2"/>
        <v>100</v>
      </c>
      <c r="X12" s="712"/>
      <c r="Y12" s="3161"/>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91"/>
      <c r="Q13" s="1527">
        <f t="shared" si="6"/>
        <v>111</v>
      </c>
      <c r="R13" s="710" t="s">
        <v>17</v>
      </c>
      <c r="S13" s="711">
        <f t="shared" si="0"/>
        <v>100</v>
      </c>
      <c r="T13" s="710" t="s">
        <v>17</v>
      </c>
      <c r="U13" s="711">
        <f t="shared" si="1"/>
        <v>100</v>
      </c>
      <c r="V13" s="710" t="s">
        <v>17</v>
      </c>
      <c r="W13" s="711">
        <f t="shared" si="2"/>
        <v>100</v>
      </c>
      <c r="X13" s="712"/>
      <c r="Y13" s="3161"/>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91"/>
      <c r="Q14" s="1527">
        <f t="shared" si="6"/>
        <v>111</v>
      </c>
      <c r="R14" s="710" t="s">
        <v>17</v>
      </c>
      <c r="S14" s="711">
        <f t="shared" si="0"/>
        <v>100</v>
      </c>
      <c r="T14" s="710" t="s">
        <v>17</v>
      </c>
      <c r="U14" s="711">
        <f t="shared" si="1"/>
        <v>100</v>
      </c>
      <c r="V14" s="710" t="s">
        <v>17</v>
      </c>
      <c r="W14" s="711">
        <f t="shared" si="2"/>
        <v>100</v>
      </c>
      <c r="X14" s="712"/>
      <c r="Y14" s="3161"/>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3" t="s">
        <v>2381</v>
      </c>
      <c r="Q15" s="1536" t="str">
        <f t="shared" si="6"/>
        <v>产业集聚程度</v>
      </c>
      <c r="R15" s="714" t="s">
        <v>17</v>
      </c>
      <c r="S15" s="715">
        <f t="shared" si="0"/>
        <v>100</v>
      </c>
      <c r="T15" s="714" t="s">
        <v>17</v>
      </c>
      <c r="U15" s="715">
        <f t="shared" si="1"/>
        <v>100</v>
      </c>
      <c r="V15" s="714" t="s">
        <v>17</v>
      </c>
      <c r="W15" s="715">
        <f t="shared" si="2"/>
        <v>100</v>
      </c>
      <c r="X15" s="1539"/>
      <c r="Y15" s="3293"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94"/>
      <c r="Q16" s="1536"/>
      <c r="R16" s="714"/>
      <c r="S16" s="715"/>
      <c r="T16" s="714"/>
      <c r="U16" s="715"/>
      <c r="V16" s="714"/>
      <c r="W16" s="715"/>
      <c r="X16" s="1539"/>
      <c r="Y16" s="3294"/>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4"/>
      <c r="Q17" s="1536" t="str">
        <f>B17</f>
        <v>交通便捷度</v>
      </c>
      <c r="R17" s="714" t="s">
        <v>17</v>
      </c>
      <c r="S17" s="715">
        <f>F17</f>
        <v>100</v>
      </c>
      <c r="T17" s="714" t="s">
        <v>17</v>
      </c>
      <c r="U17" s="715">
        <f>H17</f>
        <v>100</v>
      </c>
      <c r="V17" s="714" t="s">
        <v>17</v>
      </c>
      <c r="W17" s="715">
        <f>J17</f>
        <v>100</v>
      </c>
      <c r="X17" s="1539"/>
      <c r="Y17" s="329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94"/>
      <c r="Q18" s="1536"/>
      <c r="R18" s="714"/>
      <c r="S18" s="715"/>
      <c r="T18" s="714"/>
      <c r="U18" s="715"/>
      <c r="V18" s="714"/>
      <c r="W18" s="715"/>
      <c r="X18" s="1539"/>
      <c r="Y18" s="3294"/>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4"/>
      <c r="Q19" s="1536" t="str">
        <f>B19</f>
        <v>公共配套设施</v>
      </c>
      <c r="R19" s="714" t="s">
        <v>17</v>
      </c>
      <c r="S19" s="715">
        <f>F19</f>
        <v>100</v>
      </c>
      <c r="T19" s="714" t="s">
        <v>17</v>
      </c>
      <c r="U19" s="715">
        <f>H19</f>
        <v>100</v>
      </c>
      <c r="V19" s="714" t="s">
        <v>17</v>
      </c>
      <c r="W19" s="715">
        <f>J19</f>
        <v>100</v>
      </c>
      <c r="X19" s="1539"/>
      <c r="Y19" s="329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94"/>
      <c r="Q20" s="1536"/>
      <c r="R20" s="714"/>
      <c r="S20" s="715"/>
      <c r="T20" s="714"/>
      <c r="U20" s="715"/>
      <c r="V20" s="714"/>
      <c r="W20" s="715"/>
      <c r="X20" s="1539"/>
      <c r="Y20" s="3294"/>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4"/>
      <c r="Q21" s="1536" t="str">
        <f>B21</f>
        <v>基础设施水平</v>
      </c>
      <c r="R21" s="714" t="s">
        <v>17</v>
      </c>
      <c r="S21" s="715">
        <f>F21</f>
        <v>100</v>
      </c>
      <c r="T21" s="714" t="s">
        <v>17</v>
      </c>
      <c r="U21" s="715">
        <f>H21</f>
        <v>100</v>
      </c>
      <c r="V21" s="714" t="s">
        <v>17</v>
      </c>
      <c r="W21" s="715">
        <f>J21</f>
        <v>100</v>
      </c>
      <c r="X21" s="1539"/>
      <c r="Y21" s="329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94"/>
      <c r="Q22" s="1536"/>
      <c r="R22" s="714"/>
      <c r="S22" s="715"/>
      <c r="T22" s="714"/>
      <c r="U22" s="715"/>
      <c r="V22" s="714"/>
      <c r="W22" s="715"/>
      <c r="X22" s="1539"/>
      <c r="Y22" s="3294"/>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4"/>
      <c r="Q23" s="1536" t="str">
        <f>B23</f>
        <v>环境质量</v>
      </c>
      <c r="R23" s="714" t="s">
        <v>17</v>
      </c>
      <c r="S23" s="715">
        <f>F23</f>
        <v>100</v>
      </c>
      <c r="T23" s="714" t="s">
        <v>17</v>
      </c>
      <c r="U23" s="715">
        <f>H23</f>
        <v>100</v>
      </c>
      <c r="V23" s="714" t="s">
        <v>17</v>
      </c>
      <c r="W23" s="715">
        <f>J23</f>
        <v>100</v>
      </c>
      <c r="X23" s="1539"/>
      <c r="Y23" s="3294"/>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94"/>
      <c r="Q24" s="1536"/>
      <c r="R24" s="714"/>
      <c r="S24" s="715"/>
      <c r="T24" s="714"/>
      <c r="U24" s="715"/>
      <c r="V24" s="714"/>
      <c r="W24" s="715"/>
      <c r="X24" s="1539"/>
      <c r="Y24" s="3294"/>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4"/>
      <c r="Q25" s="1536">
        <f>B25</f>
        <v>111</v>
      </c>
      <c r="R25" s="714" t="s">
        <v>17</v>
      </c>
      <c r="S25" s="715">
        <f>F25</f>
        <v>100</v>
      </c>
      <c r="T25" s="714" t="s">
        <v>17</v>
      </c>
      <c r="U25" s="715">
        <f>H25</f>
        <v>100</v>
      </c>
      <c r="V25" s="714" t="s">
        <v>17</v>
      </c>
      <c r="W25" s="715">
        <f>J25</f>
        <v>100</v>
      </c>
      <c r="X25" s="1539"/>
      <c r="Y25" s="3294"/>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4"/>
      <c r="Q26" s="1536">
        <f t="shared" ref="Q26:Q40" si="11">B26</f>
        <v>111</v>
      </c>
      <c r="R26" s="714" t="s">
        <v>17</v>
      </c>
      <c r="S26" s="715">
        <f>F26</f>
        <v>100</v>
      </c>
      <c r="T26" s="714" t="s">
        <v>17</v>
      </c>
      <c r="U26" s="715">
        <f>H26</f>
        <v>100</v>
      </c>
      <c r="V26" s="714" t="s">
        <v>17</v>
      </c>
      <c r="W26" s="715">
        <f>J26</f>
        <v>100</v>
      </c>
      <c r="X26" s="1539"/>
      <c r="Y26" s="3294"/>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4"/>
      <c r="Q27" s="1527">
        <f t="shared" si="11"/>
        <v>111</v>
      </c>
      <c r="R27" s="710" t="s">
        <v>17</v>
      </c>
      <c r="S27" s="711">
        <f>F27</f>
        <v>100</v>
      </c>
      <c r="T27" s="710" t="s">
        <v>17</v>
      </c>
      <c r="U27" s="711">
        <f>H27</f>
        <v>100</v>
      </c>
      <c r="V27" s="710" t="s">
        <v>17</v>
      </c>
      <c r="W27" s="711">
        <f>J27</f>
        <v>100</v>
      </c>
      <c r="X27" s="712"/>
      <c r="Y27" s="3294"/>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4"/>
      <c r="Q28" s="1536">
        <f t="shared" si="11"/>
        <v>111</v>
      </c>
      <c r="R28" s="714" t="s">
        <v>17</v>
      </c>
      <c r="S28" s="715">
        <f t="shared" ref="S28:S40" si="12">F28</f>
        <v>100</v>
      </c>
      <c r="T28" s="714" t="s">
        <v>17</v>
      </c>
      <c r="U28" s="715">
        <f t="shared" ref="U28:U40" si="13">H28</f>
        <v>100</v>
      </c>
      <c r="V28" s="714" t="s">
        <v>17</v>
      </c>
      <c r="W28" s="715">
        <f t="shared" ref="W28:W40" si="14">J28</f>
        <v>100</v>
      </c>
      <c r="X28" s="1539"/>
      <c r="Y28" s="3294"/>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9" t="s">
        <v>2386</v>
      </c>
      <c r="Q29" s="1536" t="str">
        <f t="shared" si="11"/>
        <v>建筑类型</v>
      </c>
      <c r="R29" s="714" t="s">
        <v>17</v>
      </c>
      <c r="S29" s="715">
        <f t="shared" si="12"/>
        <v>100</v>
      </c>
      <c r="T29" s="714" t="s">
        <v>17</v>
      </c>
      <c r="U29" s="715">
        <f t="shared" si="13"/>
        <v>100</v>
      </c>
      <c r="V29" s="714" t="s">
        <v>17</v>
      </c>
      <c r="W29" s="715">
        <f t="shared" si="14"/>
        <v>100</v>
      </c>
      <c r="X29" s="1539"/>
      <c r="Y29" s="3298"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8"/>
      <c r="Q30" s="716" t="str">
        <f t="shared" si="11"/>
        <v>项目建筑规模</v>
      </c>
      <c r="R30" s="717" t="s">
        <v>17</v>
      </c>
      <c r="S30" s="718" t="e">
        <f t="shared" si="12"/>
        <v>#N/A</v>
      </c>
      <c r="T30" s="717" t="s">
        <v>17</v>
      </c>
      <c r="U30" s="718" t="e">
        <f t="shared" si="13"/>
        <v>#N/A</v>
      </c>
      <c r="V30" s="717" t="s">
        <v>17</v>
      </c>
      <c r="W30" s="718" t="e">
        <f t="shared" si="14"/>
        <v>#N/A</v>
      </c>
      <c r="X30" s="719"/>
      <c r="Y30" s="3298"/>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8"/>
      <c r="Q31" s="1536" t="str">
        <f t="shared" si="11"/>
        <v>建筑结构</v>
      </c>
      <c r="R31" s="714" t="s">
        <v>17</v>
      </c>
      <c r="S31" s="715">
        <f t="shared" si="12"/>
        <v>100</v>
      </c>
      <c r="T31" s="714" t="s">
        <v>17</v>
      </c>
      <c r="U31" s="715">
        <f t="shared" si="13"/>
        <v>100</v>
      </c>
      <c r="V31" s="714" t="s">
        <v>17</v>
      </c>
      <c r="W31" s="715">
        <f t="shared" si="14"/>
        <v>100</v>
      </c>
      <c r="X31" s="1539"/>
      <c r="Y31" s="3298"/>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8"/>
      <c r="Q32" s="1536" t="str">
        <f t="shared" si="11"/>
        <v>公共部分装修</v>
      </c>
      <c r="R32" s="714" t="s">
        <v>17</v>
      </c>
      <c r="S32" s="715">
        <f t="shared" si="12"/>
        <v>100</v>
      </c>
      <c r="T32" s="714" t="s">
        <v>17</v>
      </c>
      <c r="U32" s="715">
        <f t="shared" si="13"/>
        <v>100</v>
      </c>
      <c r="V32" s="714" t="s">
        <v>17</v>
      </c>
      <c r="W32" s="715">
        <f t="shared" si="14"/>
        <v>100</v>
      </c>
      <c r="X32" s="1539"/>
      <c r="Y32" s="3298"/>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8"/>
      <c r="Q33" s="1536" t="str">
        <f t="shared" si="11"/>
        <v>成新度</v>
      </c>
      <c r="R33" s="714" t="s">
        <v>17</v>
      </c>
      <c r="S33" s="715" t="e">
        <f t="shared" si="12"/>
        <v>#N/A</v>
      </c>
      <c r="T33" s="714" t="s">
        <v>17</v>
      </c>
      <c r="U33" s="715" t="e">
        <f t="shared" si="13"/>
        <v>#N/A</v>
      </c>
      <c r="V33" s="714" t="s">
        <v>17</v>
      </c>
      <c r="W33" s="715" t="e">
        <f t="shared" si="14"/>
        <v>#N/A</v>
      </c>
      <c r="X33" s="1539"/>
      <c r="Y33" s="3298"/>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8"/>
      <c r="Q34" s="1527" t="str">
        <f t="shared" si="11"/>
        <v>物业管理</v>
      </c>
      <c r="R34" s="710" t="s">
        <v>17</v>
      </c>
      <c r="S34" s="711">
        <f t="shared" si="12"/>
        <v>100</v>
      </c>
      <c r="T34" s="710" t="s">
        <v>17</v>
      </c>
      <c r="U34" s="711">
        <f t="shared" si="13"/>
        <v>100</v>
      </c>
      <c r="V34" s="710" t="s">
        <v>17</v>
      </c>
      <c r="W34" s="711">
        <f t="shared" si="14"/>
        <v>100</v>
      </c>
      <c r="X34" s="712"/>
      <c r="Y34" s="329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8" t="s">
        <v>2386</v>
      </c>
      <c r="Q35" s="1536" t="str">
        <f t="shared" si="11"/>
        <v>市政基础设施</v>
      </c>
      <c r="R35" s="714" t="s">
        <v>17</v>
      </c>
      <c r="S35" s="715">
        <f t="shared" si="12"/>
        <v>100</v>
      </c>
      <c r="T35" s="714" t="s">
        <v>17</v>
      </c>
      <c r="U35" s="715">
        <f t="shared" si="13"/>
        <v>100</v>
      </c>
      <c r="V35" s="714" t="s">
        <v>17</v>
      </c>
      <c r="W35" s="715">
        <f t="shared" si="14"/>
        <v>100</v>
      </c>
      <c r="X35" s="1539"/>
      <c r="Y35" s="3298"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8"/>
      <c r="Q36" s="1536" t="str">
        <f t="shared" si="11"/>
        <v>内部装修</v>
      </c>
      <c r="R36" s="714" t="s">
        <v>17</v>
      </c>
      <c r="S36" s="715">
        <f t="shared" si="12"/>
        <v>100</v>
      </c>
      <c r="T36" s="714" t="s">
        <v>17</v>
      </c>
      <c r="U36" s="715">
        <f t="shared" si="13"/>
        <v>100</v>
      </c>
      <c r="V36" s="714" t="s">
        <v>17</v>
      </c>
      <c r="W36" s="715">
        <f t="shared" si="14"/>
        <v>100</v>
      </c>
      <c r="X36" s="1539"/>
      <c r="Y36" s="3298"/>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8"/>
      <c r="Q37" s="1536" t="str">
        <f t="shared" si="11"/>
        <v>内部装修状况</v>
      </c>
      <c r="R37" s="714" t="s">
        <v>17</v>
      </c>
      <c r="S37" s="715">
        <f t="shared" si="12"/>
        <v>100</v>
      </c>
      <c r="T37" s="714" t="s">
        <v>17</v>
      </c>
      <c r="U37" s="715">
        <f t="shared" si="13"/>
        <v>100</v>
      </c>
      <c r="V37" s="714" t="s">
        <v>17</v>
      </c>
      <c r="W37" s="715">
        <f t="shared" si="14"/>
        <v>100</v>
      </c>
      <c r="X37" s="1539"/>
      <c r="Y37" s="3298"/>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8"/>
      <c r="Q38" s="716">
        <f t="shared" si="11"/>
        <v>111</v>
      </c>
      <c r="R38" s="717" t="s">
        <v>17</v>
      </c>
      <c r="S38" s="718">
        <f t="shared" si="12"/>
        <v>100</v>
      </c>
      <c r="T38" s="717" t="s">
        <v>17</v>
      </c>
      <c r="U38" s="718">
        <f t="shared" si="13"/>
        <v>100</v>
      </c>
      <c r="V38" s="717" t="s">
        <v>17</v>
      </c>
      <c r="W38" s="718">
        <f t="shared" si="14"/>
        <v>100</v>
      </c>
      <c r="X38" s="719"/>
      <c r="Y38" s="3298"/>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8"/>
      <c r="Q39" s="1536">
        <f t="shared" si="11"/>
        <v>111</v>
      </c>
      <c r="R39" s="714" t="s">
        <v>17</v>
      </c>
      <c r="S39" s="715">
        <f t="shared" si="12"/>
        <v>100</v>
      </c>
      <c r="T39" s="714" t="s">
        <v>17</v>
      </c>
      <c r="U39" s="715">
        <f t="shared" si="13"/>
        <v>100</v>
      </c>
      <c r="V39" s="714" t="s">
        <v>17</v>
      </c>
      <c r="W39" s="715">
        <f t="shared" si="14"/>
        <v>100</v>
      </c>
      <c r="X39" s="1539"/>
      <c r="Y39" s="3298"/>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9"/>
      <c r="Q40" s="1536">
        <f t="shared" si="11"/>
        <v>111</v>
      </c>
      <c r="R40" s="714" t="s">
        <v>17</v>
      </c>
      <c r="S40" s="715">
        <f t="shared" si="12"/>
        <v>100</v>
      </c>
      <c r="T40" s="714" t="s">
        <v>17</v>
      </c>
      <c r="U40" s="715">
        <f t="shared" si="13"/>
        <v>100</v>
      </c>
      <c r="V40" s="714" t="s">
        <v>17</v>
      </c>
      <c r="W40" s="715">
        <f t="shared" si="14"/>
        <v>100</v>
      </c>
      <c r="X40" s="1539"/>
      <c r="Y40" s="3299"/>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91" t="str">
        <f>A41</f>
        <v>成交单价（元/平方米）</v>
      </c>
      <c r="Q41" s="3291"/>
      <c r="R41" s="3292">
        <f>E41</f>
        <v>0</v>
      </c>
      <c r="S41" s="3292"/>
      <c r="T41" s="3292">
        <f>G41</f>
        <v>0</v>
      </c>
      <c r="U41" s="3292"/>
      <c r="V41" s="3292">
        <f>I41</f>
        <v>0</v>
      </c>
      <c r="W41" s="3292"/>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91" t="str">
        <f>A42</f>
        <v>比较价值（元/平方米）</v>
      </c>
      <c r="Q42" s="3291"/>
      <c r="R42" s="3292" t="e">
        <f>IF(F1="售价",ROUND(PRODUCT(R41,AA7:AA40),0),ROUND(PRODUCT(R41,AA7:AA40),1))</f>
        <v>#DIV/0!</v>
      </c>
      <c r="S42" s="3292"/>
      <c r="T42" s="3292" t="e">
        <f>IF(F1="售价",ROUND(PRODUCT(T41,AB7:AB40),0),ROUND(PRODUCT(T41,AB7:AB40),1))</f>
        <v>#DIV/0!</v>
      </c>
      <c r="U42" s="3292"/>
      <c r="V42" s="3292" t="e">
        <f>IF(F1="售价",ROUND(PRODUCT(V41,AC7:AC40),0),ROUND(PRODUCT(V41,AC7:AC40),1))</f>
        <v>#DIV/0!</v>
      </c>
      <c r="W42" s="3292"/>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8" t="str">
        <f>A43</f>
        <v>估价对象XX用房的比较价值（楼面单价，元/平方米）</v>
      </c>
      <c r="Q43" s="3289"/>
      <c r="R43" s="3290" t="e">
        <f>IF(F1="售价",ROUND(IF(D42="简单平均",AVERAGE(R42:V42),R42*F42+T42*H42+V42*J42),0),ROUND(IF(D42="简单平均",AVERAGE(R42:V42),R42*F42+T42*H42+V42*J42),1))</f>
        <v>#DIV/0!</v>
      </c>
      <c r="S43" s="3290"/>
      <c r="T43" s="3290"/>
      <c r="U43" s="3290"/>
      <c r="V43" s="3290"/>
      <c r="W43" s="3290"/>
      <c r="X43" s="699"/>
      <c r="Y43" s="699"/>
      <c r="Z43" s="699"/>
      <c r="AA43" s="699"/>
      <c r="AB43" s="699"/>
      <c r="AC43" s="699"/>
    </row>
    <row r="44" spans="1:29">
      <c r="A44" s="2948"/>
      <c r="B44" s="2948"/>
      <c r="C44" s="2948"/>
      <c r="D44" s="2948"/>
      <c r="E44" s="2948"/>
      <c r="F44" s="2948"/>
      <c r="G44" s="2952"/>
      <c r="H44" s="2948"/>
      <c r="I44" s="2948"/>
      <c r="J44" s="2948"/>
      <c r="K44" s="2953"/>
      <c r="L44" s="1020"/>
      <c r="M44" s="1058"/>
      <c r="N44" s="1058"/>
      <c r="O44" s="1058"/>
    </row>
    <row r="45" spans="1:29">
      <c r="A45" s="2948"/>
      <c r="B45" s="2948"/>
      <c r="C45" s="2948"/>
      <c r="D45" s="2948"/>
      <c r="E45" s="2948"/>
      <c r="F45" s="2948"/>
      <c r="G45" s="2948"/>
      <c r="H45" s="2948"/>
      <c r="I45" s="2948"/>
      <c r="J45" s="2948"/>
      <c r="K45" s="2953"/>
      <c r="L45" s="1020"/>
      <c r="M45" s="1058"/>
      <c r="N45" s="1058"/>
      <c r="O45" s="1058"/>
    </row>
    <row r="46" spans="1:29" ht="13.5" customHeight="1">
      <c r="A46" s="2948"/>
      <c r="B46" s="2948"/>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20"/>
      <c r="M46" s="1058"/>
      <c r="N46" s="1058"/>
      <c r="O46" s="1058"/>
    </row>
    <row r="47" spans="1:29" ht="13.5" customHeight="1">
      <c r="A47" s="2948"/>
      <c r="B47" s="2948"/>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20"/>
      <c r="M47" s="1058"/>
      <c r="N47" s="1058"/>
      <c r="O47" s="1058"/>
    </row>
    <row r="48" spans="1:29" s="459" customFormat="1" ht="13.5" customHeight="1">
      <c r="A48" s="2951"/>
      <c r="B48" s="2951"/>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61"/>
      <c r="M48" s="1059"/>
      <c r="N48" s="1059"/>
      <c r="O48" s="1059"/>
    </row>
    <row r="49" spans="1:17" s="459" customFormat="1">
      <c r="A49" s="2951"/>
      <c r="B49" s="2954"/>
      <c r="C49" s="2955"/>
      <c r="D49" s="2951"/>
      <c r="E49" s="2951"/>
      <c r="F49" s="2951"/>
      <c r="G49" s="2951"/>
      <c r="H49" s="2951"/>
      <c r="I49" s="2951"/>
      <c r="J49" s="2951"/>
      <c r="K49" s="2956"/>
      <c r="L49" s="1061"/>
      <c r="M49" s="1059"/>
      <c r="N49" s="1059"/>
      <c r="O49" s="1059"/>
    </row>
    <row r="50" spans="1:17">
      <c r="A50" s="2948"/>
      <c r="B50" s="2954"/>
      <c r="C50" s="2955"/>
      <c r="D50" s="2948"/>
      <c r="E50" s="2948"/>
      <c r="F50" s="2948"/>
      <c r="G50" s="2948"/>
      <c r="H50" s="2948"/>
      <c r="I50" s="2948"/>
      <c r="J50" s="2948"/>
      <c r="K50" s="2953"/>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2021-9</v>
      </c>
      <c r="D52" s="1347">
        <f>EDATE(C52,-1)</f>
        <v>44409</v>
      </c>
      <c r="E52" s="1347">
        <f t="shared" ref="E52:O52" si="16">EDATE(D52,-1)</f>
        <v>44378</v>
      </c>
      <c r="F52" s="1347">
        <f t="shared" si="16"/>
        <v>44348</v>
      </c>
      <c r="G52" s="1347">
        <f t="shared" si="16"/>
        <v>44317</v>
      </c>
      <c r="H52" s="1347">
        <f t="shared" si="16"/>
        <v>44287</v>
      </c>
      <c r="I52" s="1347">
        <f t="shared" si="16"/>
        <v>44256</v>
      </c>
      <c r="J52" s="1347">
        <f t="shared" si="16"/>
        <v>44228</v>
      </c>
      <c r="K52" s="1347">
        <f t="shared" si="16"/>
        <v>44197</v>
      </c>
      <c r="L52" s="1347">
        <f t="shared" si="16"/>
        <v>44166</v>
      </c>
      <c r="M52" s="1347">
        <f t="shared" si="16"/>
        <v>44136</v>
      </c>
      <c r="N52" s="1347">
        <f t="shared" si="16"/>
        <v>44105</v>
      </c>
      <c r="O52" s="1347">
        <f t="shared" si="16"/>
        <v>44075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3"/>
      <c r="O54" s="2994"/>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57"/>
      <c r="M2" s="2958"/>
      <c r="N2" s="2958"/>
      <c r="O2" s="2958"/>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7"/>
      <c r="M3" s="2958"/>
      <c r="N3" s="2958"/>
      <c r="O3" s="2958"/>
      <c r="P3" s="1327"/>
      <c r="Q3" s="708"/>
      <c r="R3" s="708"/>
      <c r="S3" s="708"/>
      <c r="T3" s="708"/>
      <c r="U3" s="708"/>
      <c r="V3" s="708"/>
      <c r="W3" s="708"/>
      <c r="X3" s="708"/>
      <c r="Y3" s="708"/>
      <c r="Z3" s="708"/>
      <c r="AA3" s="708"/>
      <c r="AB3" s="725"/>
      <c r="AC3" s="722"/>
    </row>
    <row r="4" spans="1:29" ht="15">
      <c r="A4" s="361" t="s">
        <v>2466</v>
      </c>
      <c r="B4" s="362"/>
      <c r="C4" s="3306" t="s">
        <v>2467</v>
      </c>
      <c r="D4" s="3307"/>
      <c r="E4" s="3308" t="s">
        <v>2468</v>
      </c>
      <c r="F4" s="3309"/>
      <c r="G4" s="3306" t="s">
        <v>2469</v>
      </c>
      <c r="H4" s="3307"/>
      <c r="I4" s="3306" t="s">
        <v>2470</v>
      </c>
      <c r="J4" s="3307"/>
      <c r="K4" s="567" t="s">
        <v>2471</v>
      </c>
      <c r="L4" s="2938"/>
      <c r="M4" s="2939"/>
      <c r="N4" s="2939"/>
      <c r="O4" s="2939"/>
      <c r="P4" s="3310" t="s">
        <v>2472</v>
      </c>
      <c r="Q4" s="3311"/>
      <c r="R4" s="3316" t="s">
        <v>2468</v>
      </c>
      <c r="S4" s="3317"/>
      <c r="T4" s="3316" t="s">
        <v>2469</v>
      </c>
      <c r="U4" s="3317"/>
      <c r="V4" s="3322" t="s">
        <v>2470</v>
      </c>
      <c r="W4" s="3322"/>
      <c r="X4" s="1539"/>
      <c r="Y4" s="3316" t="s">
        <v>2472</v>
      </c>
      <c r="Z4" s="3317"/>
      <c r="AA4" s="3303" t="s">
        <v>2468</v>
      </c>
      <c r="AB4" s="3304" t="s">
        <v>2469</v>
      </c>
      <c r="AC4" s="3303" t="s">
        <v>2470</v>
      </c>
    </row>
    <row r="5" spans="1:29" ht="15">
      <c r="A5" s="364"/>
      <c r="B5" s="365"/>
      <c r="C5" s="3325" t="s">
        <v>2363</v>
      </c>
      <c r="D5" s="3326"/>
      <c r="E5" s="3332" t="s">
        <v>2364</v>
      </c>
      <c r="F5" s="3333"/>
      <c r="G5" s="3325" t="s">
        <v>2365</v>
      </c>
      <c r="H5" s="3326"/>
      <c r="I5" s="3325" t="s">
        <v>2366</v>
      </c>
      <c r="J5" s="3326"/>
      <c r="K5" s="567"/>
      <c r="L5" s="2938"/>
      <c r="M5" s="2939"/>
      <c r="N5" s="2939"/>
      <c r="O5" s="2939"/>
      <c r="P5" s="3312"/>
      <c r="Q5" s="3313"/>
      <c r="R5" s="3318"/>
      <c r="S5" s="3319"/>
      <c r="T5" s="3318"/>
      <c r="U5" s="3319"/>
      <c r="V5" s="3322"/>
      <c r="W5" s="3322"/>
      <c r="X5" s="1539"/>
      <c r="Y5" s="3318"/>
      <c r="Z5" s="3319"/>
      <c r="AA5" s="3304"/>
      <c r="AB5" s="3304"/>
      <c r="AC5" s="3304"/>
    </row>
    <row r="6" spans="1:29" ht="15.75" thickBot="1">
      <c r="A6" s="366"/>
      <c r="B6" s="367"/>
      <c r="C6" s="3323" t="s">
        <v>2367</v>
      </c>
      <c r="D6" s="3324"/>
      <c r="E6" s="3330" t="s">
        <v>2367</v>
      </c>
      <c r="F6" s="3331"/>
      <c r="G6" s="3323" t="s">
        <v>2367</v>
      </c>
      <c r="H6" s="3324"/>
      <c r="I6" s="3323" t="s">
        <v>2367</v>
      </c>
      <c r="J6" s="3324"/>
      <c r="K6" s="567" t="s">
        <v>2368</v>
      </c>
      <c r="L6" s="2938"/>
      <c r="M6" s="2939"/>
      <c r="N6" s="2939"/>
      <c r="O6" s="2939"/>
      <c r="P6" s="3314"/>
      <c r="Q6" s="3315"/>
      <c r="R6" s="3318"/>
      <c r="S6" s="3319"/>
      <c r="T6" s="3320"/>
      <c r="U6" s="3321"/>
      <c r="V6" s="3322"/>
      <c r="W6" s="3322"/>
      <c r="X6" s="1539"/>
      <c r="Y6" s="3320"/>
      <c r="Z6" s="3321"/>
      <c r="AA6" s="3305"/>
      <c r="AB6" s="3305"/>
      <c r="AC6" s="3305"/>
    </row>
    <row r="7" spans="1:29" s="113" customFormat="1" ht="15.75" thickBot="1">
      <c r="A7" s="368" t="s">
        <v>2369</v>
      </c>
      <c r="B7" s="369"/>
      <c r="C7" s="370">
        <f>'数据-取费表'!B2</f>
        <v>44454</v>
      </c>
      <c r="D7" s="371">
        <v>100</v>
      </c>
      <c r="E7" s="372"/>
      <c r="F7" s="373">
        <f>SUMIF(48:48,YEAR(E7)&amp;"-"&amp;MONTH(E7),49:49)</f>
        <v>0</v>
      </c>
      <c r="G7" s="372"/>
      <c r="H7" s="371">
        <f>SUMIF(48:48,YEAR(G7)&amp;"-"&amp;MONTH(G7),49:49)</f>
        <v>0</v>
      </c>
      <c r="I7" s="372"/>
      <c r="J7" s="371">
        <f>SUMIF(48:48,YEAR(I7)&amp;"-"&amp;MONTH(I7),49:49)</f>
        <v>0</v>
      </c>
      <c r="K7" s="568"/>
      <c r="L7" s="2940"/>
      <c r="M7" s="2941"/>
      <c r="N7" s="2941"/>
      <c r="O7" s="2941"/>
      <c r="P7" s="3327" t="s">
        <v>2370</v>
      </c>
      <c r="Q7" s="3329"/>
      <c r="R7" s="710" t="s">
        <v>17</v>
      </c>
      <c r="S7" s="711">
        <f t="shared" ref="S7:S14" si="0">F7</f>
        <v>0</v>
      </c>
      <c r="T7" s="710" t="s">
        <v>17</v>
      </c>
      <c r="U7" s="711">
        <f t="shared" ref="U7:U14" si="1">H7</f>
        <v>0</v>
      </c>
      <c r="V7" s="710" t="s">
        <v>17</v>
      </c>
      <c r="W7" s="711">
        <f t="shared" ref="W7:W14" si="2">J7</f>
        <v>0</v>
      </c>
      <c r="X7" s="712"/>
      <c r="Y7" s="3327" t="s">
        <v>2370</v>
      </c>
      <c r="Z7" s="3328"/>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327" t="s">
        <v>2373</v>
      </c>
      <c r="Q8" s="3328"/>
      <c r="R8" s="710" t="s">
        <v>17</v>
      </c>
      <c r="S8" s="711">
        <f t="shared" si="0"/>
        <v>0</v>
      </c>
      <c r="T8" s="710" t="s">
        <v>17</v>
      </c>
      <c r="U8" s="711">
        <f t="shared" si="1"/>
        <v>0</v>
      </c>
      <c r="V8" s="710" t="s">
        <v>17</v>
      </c>
      <c r="W8" s="711">
        <f t="shared" si="2"/>
        <v>0</v>
      </c>
      <c r="X8" s="712"/>
      <c r="Y8" s="3327" t="s">
        <v>2373</v>
      </c>
      <c r="Z8" s="3328"/>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291" t="s">
        <v>2376</v>
      </c>
      <c r="Q9" s="1527" t="str">
        <f t="shared" ref="Q9:Q14" si="6">B9</f>
        <v>用途</v>
      </c>
      <c r="R9" s="710" t="s">
        <v>17</v>
      </c>
      <c r="S9" s="711">
        <f t="shared" si="0"/>
        <v>100</v>
      </c>
      <c r="T9" s="710" t="s">
        <v>17</v>
      </c>
      <c r="U9" s="711">
        <f t="shared" si="1"/>
        <v>100</v>
      </c>
      <c r="V9" s="710" t="s">
        <v>17</v>
      </c>
      <c r="W9" s="711">
        <f t="shared" si="2"/>
        <v>100</v>
      </c>
      <c r="X9" s="712"/>
      <c r="Y9" s="3161"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291"/>
      <c r="Q10" s="1527" t="str">
        <f t="shared" si="6"/>
        <v>土地使用年限（年）</v>
      </c>
      <c r="R10" s="710" t="s">
        <v>17</v>
      </c>
      <c r="S10" s="711">
        <f t="shared" si="0"/>
        <v>100</v>
      </c>
      <c r="T10" s="710" t="s">
        <v>17</v>
      </c>
      <c r="U10" s="711">
        <f t="shared" si="1"/>
        <v>100</v>
      </c>
      <c r="V10" s="710" t="s">
        <v>17</v>
      </c>
      <c r="W10" s="711">
        <f t="shared" si="2"/>
        <v>100</v>
      </c>
      <c r="X10" s="712"/>
      <c r="Y10" s="316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291"/>
      <c r="Q11" s="1527">
        <f t="shared" si="6"/>
        <v>111</v>
      </c>
      <c r="R11" s="710" t="s">
        <v>17</v>
      </c>
      <c r="S11" s="711">
        <f t="shared" si="0"/>
        <v>100</v>
      </c>
      <c r="T11" s="710" t="s">
        <v>17</v>
      </c>
      <c r="U11" s="711">
        <f t="shared" si="1"/>
        <v>100</v>
      </c>
      <c r="V11" s="710" t="s">
        <v>17</v>
      </c>
      <c r="W11" s="711">
        <f t="shared" si="2"/>
        <v>100</v>
      </c>
      <c r="X11" s="712"/>
      <c r="Y11" s="316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291"/>
      <c r="Q12" s="1527">
        <f t="shared" si="6"/>
        <v>111</v>
      </c>
      <c r="R12" s="710" t="s">
        <v>17</v>
      </c>
      <c r="S12" s="711">
        <f t="shared" si="0"/>
        <v>100</v>
      </c>
      <c r="T12" s="710" t="s">
        <v>17</v>
      </c>
      <c r="U12" s="711">
        <f t="shared" si="1"/>
        <v>100</v>
      </c>
      <c r="V12" s="710" t="s">
        <v>17</v>
      </c>
      <c r="W12" s="711">
        <f t="shared" si="2"/>
        <v>100</v>
      </c>
      <c r="X12" s="712"/>
      <c r="Y12" s="316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291"/>
      <c r="Q13" s="1527">
        <f t="shared" si="6"/>
        <v>111</v>
      </c>
      <c r="R13" s="710" t="s">
        <v>17</v>
      </c>
      <c r="S13" s="711">
        <f t="shared" si="0"/>
        <v>100</v>
      </c>
      <c r="T13" s="710" t="s">
        <v>17</v>
      </c>
      <c r="U13" s="711">
        <f t="shared" si="1"/>
        <v>100</v>
      </c>
      <c r="V13" s="710" t="s">
        <v>17</v>
      </c>
      <c r="W13" s="711">
        <f t="shared" si="2"/>
        <v>100</v>
      </c>
      <c r="X13" s="712"/>
      <c r="Y13" s="3161"/>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293" t="s">
        <v>2381</v>
      </c>
      <c r="Q14" s="1536" t="str">
        <f t="shared" si="6"/>
        <v>交通便捷度</v>
      </c>
      <c r="R14" s="714" t="s">
        <v>17</v>
      </c>
      <c r="S14" s="715">
        <f t="shared" si="0"/>
        <v>100</v>
      </c>
      <c r="T14" s="714" t="s">
        <v>17</v>
      </c>
      <c r="U14" s="715">
        <f t="shared" si="1"/>
        <v>100</v>
      </c>
      <c r="V14" s="714" t="s">
        <v>17</v>
      </c>
      <c r="W14" s="715">
        <f t="shared" si="2"/>
        <v>100</v>
      </c>
      <c r="X14" s="1539"/>
      <c r="Y14" s="3293"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5"/>
      <c r="M15" s="2939"/>
      <c r="N15" s="2939"/>
      <c r="O15" s="2939"/>
      <c r="P15" s="3294"/>
      <c r="Q15" s="1536"/>
      <c r="R15" s="714"/>
      <c r="S15" s="715"/>
      <c r="T15" s="714"/>
      <c r="U15" s="715"/>
      <c r="V15" s="714"/>
      <c r="W15" s="715"/>
      <c r="X15" s="1539"/>
      <c r="Y15" s="3294"/>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294"/>
      <c r="Q16" s="1536" t="str">
        <f>B16</f>
        <v>公共配套设施</v>
      </c>
      <c r="R16" s="714" t="s">
        <v>17</v>
      </c>
      <c r="S16" s="715">
        <f>F16</f>
        <v>100</v>
      </c>
      <c r="T16" s="714" t="s">
        <v>17</v>
      </c>
      <c r="U16" s="715">
        <f>H16</f>
        <v>100</v>
      </c>
      <c r="V16" s="714" t="s">
        <v>17</v>
      </c>
      <c r="W16" s="715">
        <f>J16</f>
        <v>100</v>
      </c>
      <c r="X16" s="1539"/>
      <c r="Y16" s="3294"/>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5"/>
      <c r="M17" s="2939"/>
      <c r="N17" s="2939"/>
      <c r="O17" s="2939"/>
      <c r="P17" s="3294"/>
      <c r="Q17" s="1536"/>
      <c r="R17" s="714"/>
      <c r="S17" s="715"/>
      <c r="T17" s="714"/>
      <c r="U17" s="715"/>
      <c r="V17" s="714"/>
      <c r="W17" s="715"/>
      <c r="X17" s="1539"/>
      <c r="Y17" s="3294"/>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294"/>
      <c r="Q18" s="1536" t="str">
        <f>B18</f>
        <v>基础设施水平</v>
      </c>
      <c r="R18" s="714" t="s">
        <v>17</v>
      </c>
      <c r="S18" s="715">
        <f>F18</f>
        <v>100</v>
      </c>
      <c r="T18" s="714" t="s">
        <v>17</v>
      </c>
      <c r="U18" s="715">
        <f>H18</f>
        <v>100</v>
      </c>
      <c r="V18" s="714" t="s">
        <v>17</v>
      </c>
      <c r="W18" s="715">
        <f>J18</f>
        <v>100</v>
      </c>
      <c r="X18" s="1539"/>
      <c r="Y18" s="3294"/>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5"/>
      <c r="M19" s="2939"/>
      <c r="N19" s="2939"/>
      <c r="O19" s="2939"/>
      <c r="P19" s="3294"/>
      <c r="Q19" s="1536"/>
      <c r="R19" s="714"/>
      <c r="S19" s="715"/>
      <c r="T19" s="714"/>
      <c r="U19" s="715"/>
      <c r="V19" s="714"/>
      <c r="W19" s="715"/>
      <c r="X19" s="1539"/>
      <c r="Y19" s="3294"/>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294"/>
      <c r="Q20" s="1536" t="str">
        <f>B20</f>
        <v>自然及人文环境</v>
      </c>
      <c r="R20" s="714" t="s">
        <v>17</v>
      </c>
      <c r="S20" s="715">
        <f>F20</f>
        <v>100</v>
      </c>
      <c r="T20" s="714" t="s">
        <v>17</v>
      </c>
      <c r="U20" s="715">
        <f>H20</f>
        <v>100</v>
      </c>
      <c r="V20" s="714" t="s">
        <v>17</v>
      </c>
      <c r="W20" s="715">
        <f>J20</f>
        <v>100</v>
      </c>
      <c r="X20" s="1539"/>
      <c r="Y20" s="3294"/>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5"/>
      <c r="M21" s="2939"/>
      <c r="N21" s="2939"/>
      <c r="O21" s="2939"/>
      <c r="P21" s="3294"/>
      <c r="Q21" s="1536"/>
      <c r="R21" s="714"/>
      <c r="S21" s="715"/>
      <c r="T21" s="714"/>
      <c r="U21" s="715"/>
      <c r="V21" s="714"/>
      <c r="W21" s="715"/>
      <c r="X21" s="1539"/>
      <c r="Y21" s="3294"/>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294"/>
      <c r="Q22" s="1536" t="str">
        <f>B22</f>
        <v>楼层</v>
      </c>
      <c r="R22" s="714" t="s">
        <v>17</v>
      </c>
      <c r="S22" s="715">
        <f>F22</f>
        <v>100</v>
      </c>
      <c r="T22" s="714" t="s">
        <v>17</v>
      </c>
      <c r="U22" s="715">
        <f>H22</f>
        <v>100</v>
      </c>
      <c r="V22" s="714" t="s">
        <v>17</v>
      </c>
      <c r="W22" s="715">
        <f>J22</f>
        <v>100</v>
      </c>
      <c r="X22" s="1539"/>
      <c r="Y22" s="3294"/>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294"/>
      <c r="Q23" s="1536">
        <f>B23</f>
        <v>111</v>
      </c>
      <c r="R23" s="714" t="s">
        <v>17</v>
      </c>
      <c r="S23" s="715">
        <f>F23</f>
        <v>100</v>
      </c>
      <c r="T23" s="714" t="s">
        <v>17</v>
      </c>
      <c r="U23" s="715">
        <f>H23</f>
        <v>100</v>
      </c>
      <c r="V23" s="714" t="s">
        <v>17</v>
      </c>
      <c r="W23" s="715">
        <f>J23</f>
        <v>100</v>
      </c>
      <c r="X23" s="1539"/>
      <c r="Y23" s="3294"/>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294"/>
      <c r="Q24" s="1536">
        <f t="shared" ref="Q24:Q36" si="11">B24</f>
        <v>111</v>
      </c>
      <c r="R24" s="714" t="s">
        <v>17</v>
      </c>
      <c r="S24" s="715">
        <f>F24</f>
        <v>100</v>
      </c>
      <c r="T24" s="714" t="s">
        <v>17</v>
      </c>
      <c r="U24" s="715">
        <f>H24</f>
        <v>100</v>
      </c>
      <c r="V24" s="714" t="s">
        <v>17</v>
      </c>
      <c r="W24" s="715">
        <f>J24</f>
        <v>100</v>
      </c>
      <c r="X24" s="1539"/>
      <c r="Y24" s="3294"/>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294"/>
      <c r="Q25" s="1527">
        <f t="shared" si="11"/>
        <v>111</v>
      </c>
      <c r="R25" s="710" t="s">
        <v>17</v>
      </c>
      <c r="S25" s="711">
        <f>F25</f>
        <v>100</v>
      </c>
      <c r="T25" s="710" t="s">
        <v>17</v>
      </c>
      <c r="U25" s="711">
        <f>H25</f>
        <v>100</v>
      </c>
      <c r="V25" s="710" t="s">
        <v>17</v>
      </c>
      <c r="W25" s="711">
        <f>J25</f>
        <v>100</v>
      </c>
      <c r="X25" s="712"/>
      <c r="Y25" s="3294"/>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349"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8"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298"/>
      <c r="Q27" s="716" t="str">
        <f t="shared" si="11"/>
        <v>项目停车位配比</v>
      </c>
      <c r="R27" s="717" t="s">
        <v>17</v>
      </c>
      <c r="S27" s="718">
        <f t="shared" si="12"/>
        <v>100</v>
      </c>
      <c r="T27" s="717" t="s">
        <v>17</v>
      </c>
      <c r="U27" s="718">
        <f t="shared" si="13"/>
        <v>100</v>
      </c>
      <c r="V27" s="717" t="s">
        <v>17</v>
      </c>
      <c r="W27" s="718">
        <f t="shared" si="14"/>
        <v>100</v>
      </c>
      <c r="X27" s="719"/>
      <c r="Y27" s="3298"/>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298"/>
      <c r="Q28" s="1536" t="str">
        <f t="shared" si="11"/>
        <v>公共部分装修</v>
      </c>
      <c r="R28" s="714" t="s">
        <v>17</v>
      </c>
      <c r="S28" s="715">
        <f t="shared" si="12"/>
        <v>100</v>
      </c>
      <c r="T28" s="714" t="s">
        <v>17</v>
      </c>
      <c r="U28" s="715">
        <f t="shared" si="13"/>
        <v>100</v>
      </c>
      <c r="V28" s="714" t="s">
        <v>17</v>
      </c>
      <c r="W28" s="715">
        <f t="shared" si="14"/>
        <v>100</v>
      </c>
      <c r="X28" s="1539"/>
      <c r="Y28" s="3298"/>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298"/>
      <c r="Q29" s="1536" t="str">
        <f t="shared" si="11"/>
        <v>成新率</v>
      </c>
      <c r="R29" s="714" t="s">
        <v>17</v>
      </c>
      <c r="S29" s="715" t="e">
        <f t="shared" si="12"/>
        <v>#N/A</v>
      </c>
      <c r="T29" s="714" t="s">
        <v>17</v>
      </c>
      <c r="U29" s="715" t="e">
        <f t="shared" si="13"/>
        <v>#N/A</v>
      </c>
      <c r="V29" s="714" t="s">
        <v>17</v>
      </c>
      <c r="W29" s="715" t="e">
        <f t="shared" si="14"/>
        <v>#N/A</v>
      </c>
      <c r="X29" s="1539"/>
      <c r="Y29" s="3298"/>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298"/>
      <c r="Q30" s="1536" t="str">
        <f t="shared" si="11"/>
        <v>物业等级</v>
      </c>
      <c r="R30" s="714" t="s">
        <v>17</v>
      </c>
      <c r="S30" s="715">
        <f t="shared" si="12"/>
        <v>100</v>
      </c>
      <c r="T30" s="714" t="s">
        <v>17</v>
      </c>
      <c r="U30" s="715">
        <f t="shared" si="13"/>
        <v>100</v>
      </c>
      <c r="V30" s="714" t="s">
        <v>17</v>
      </c>
      <c r="W30" s="715">
        <f t="shared" si="14"/>
        <v>100</v>
      </c>
      <c r="X30" s="1539"/>
      <c r="Y30" s="3298"/>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298"/>
      <c r="Q31" s="1527" t="str">
        <f t="shared" si="11"/>
        <v>停车位面积</v>
      </c>
      <c r="R31" s="710" t="s">
        <v>17</v>
      </c>
      <c r="S31" s="711" t="e">
        <f t="shared" si="12"/>
        <v>#N/A</v>
      </c>
      <c r="T31" s="710" t="s">
        <v>17</v>
      </c>
      <c r="U31" s="711" t="e">
        <f t="shared" si="13"/>
        <v>#N/A</v>
      </c>
      <c r="V31" s="710" t="s">
        <v>17</v>
      </c>
      <c r="W31" s="711" t="e">
        <f t="shared" si="14"/>
        <v>#N/A</v>
      </c>
      <c r="X31" s="712"/>
      <c r="Y31" s="3298"/>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298" t="s">
        <v>2386</v>
      </c>
      <c r="Q32" s="1536" t="str">
        <f t="shared" si="11"/>
        <v>车位类型</v>
      </c>
      <c r="R32" s="714" t="s">
        <v>17</v>
      </c>
      <c r="S32" s="715">
        <f t="shared" si="12"/>
        <v>100</v>
      </c>
      <c r="T32" s="714" t="s">
        <v>17</v>
      </c>
      <c r="U32" s="715">
        <f t="shared" si="13"/>
        <v>100</v>
      </c>
      <c r="V32" s="714" t="s">
        <v>17</v>
      </c>
      <c r="W32" s="715">
        <f t="shared" si="14"/>
        <v>100</v>
      </c>
      <c r="X32" s="1539"/>
      <c r="Y32" s="3298"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298"/>
      <c r="Q33" s="1536" t="str">
        <f t="shared" si="11"/>
        <v>是否直接入户</v>
      </c>
      <c r="R33" s="714" t="s">
        <v>17</v>
      </c>
      <c r="S33" s="715">
        <f t="shared" si="12"/>
        <v>100</v>
      </c>
      <c r="T33" s="714" t="s">
        <v>17</v>
      </c>
      <c r="U33" s="715">
        <f t="shared" si="13"/>
        <v>100</v>
      </c>
      <c r="V33" s="714" t="s">
        <v>17</v>
      </c>
      <c r="W33" s="715">
        <f t="shared" si="14"/>
        <v>100</v>
      </c>
      <c r="X33" s="1539"/>
      <c r="Y33" s="329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298"/>
      <c r="Q34" s="1536">
        <f t="shared" si="11"/>
        <v>111</v>
      </c>
      <c r="R34" s="714" t="s">
        <v>17</v>
      </c>
      <c r="S34" s="715">
        <f t="shared" si="12"/>
        <v>100</v>
      </c>
      <c r="T34" s="714" t="s">
        <v>17</v>
      </c>
      <c r="U34" s="715">
        <f t="shared" si="13"/>
        <v>100</v>
      </c>
      <c r="V34" s="714" t="s">
        <v>17</v>
      </c>
      <c r="W34" s="715">
        <f t="shared" si="14"/>
        <v>100</v>
      </c>
      <c r="X34" s="1539"/>
      <c r="Y34" s="329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298"/>
      <c r="Q35" s="716">
        <f t="shared" si="11"/>
        <v>111</v>
      </c>
      <c r="R35" s="717" t="s">
        <v>17</v>
      </c>
      <c r="S35" s="718">
        <f t="shared" si="12"/>
        <v>100</v>
      </c>
      <c r="T35" s="717" t="s">
        <v>17</v>
      </c>
      <c r="U35" s="718">
        <f t="shared" si="13"/>
        <v>100</v>
      </c>
      <c r="V35" s="717" t="s">
        <v>17</v>
      </c>
      <c r="W35" s="718">
        <f t="shared" si="14"/>
        <v>100</v>
      </c>
      <c r="X35" s="719"/>
      <c r="Y35" s="3298"/>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298"/>
      <c r="Q36" s="1536">
        <f t="shared" si="11"/>
        <v>111</v>
      </c>
      <c r="R36" s="714" t="s">
        <v>17</v>
      </c>
      <c r="S36" s="715">
        <f t="shared" si="12"/>
        <v>100</v>
      </c>
      <c r="T36" s="714" t="s">
        <v>17</v>
      </c>
      <c r="U36" s="715">
        <f t="shared" si="13"/>
        <v>100</v>
      </c>
      <c r="V36" s="714" t="s">
        <v>17</v>
      </c>
      <c r="W36" s="715">
        <f t="shared" si="14"/>
        <v>100</v>
      </c>
      <c r="X36" s="1539"/>
      <c r="Y36" s="3298"/>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47"/>
      <c r="M37" s="2948"/>
      <c r="N37" s="2939"/>
      <c r="O37" s="2948"/>
      <c r="P37" s="3291" t="str">
        <f>A37</f>
        <v>成交单价</v>
      </c>
      <c r="Q37" s="3291"/>
      <c r="R37" s="3292">
        <f>E37</f>
        <v>0</v>
      </c>
      <c r="S37" s="3292"/>
      <c r="T37" s="3292">
        <f>G37</f>
        <v>0</v>
      </c>
      <c r="U37" s="3292"/>
      <c r="V37" s="3292">
        <f>I37</f>
        <v>0</v>
      </c>
      <c r="W37" s="3292"/>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47"/>
      <c r="M38" s="2948"/>
      <c r="N38" s="2948"/>
      <c r="O38" s="2948"/>
      <c r="P38" s="3291" t="str">
        <f>A38</f>
        <v>比较价值（元/平方米）</v>
      </c>
      <c r="Q38" s="3291"/>
      <c r="R38" s="3292" t="e">
        <f>IF(F1="售价",ROUND(PRODUCT(R37,AA7:AA36),0),ROUND(PRODUCT(R37,AA7:AA36),1))</f>
        <v>#DIV/0!</v>
      </c>
      <c r="S38" s="3292"/>
      <c r="T38" s="3292" t="e">
        <f>IF(F1="售价",ROUND(PRODUCT(T37,AB7:AB36),0),ROUND(PRODUCT(T37,AB7:AB36),1))</f>
        <v>#DIV/0!</v>
      </c>
      <c r="U38" s="3292"/>
      <c r="V38" s="3292" t="e">
        <f>IF(F1="售价",ROUND(PRODUCT(V37,AC7:AC36),0),ROUND(PRODUCT(V37,AC7:AC36),1))</f>
        <v>#DIV/0!</v>
      </c>
      <c r="W38" s="3292"/>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47"/>
      <c r="M39" s="2948"/>
      <c r="N39" s="2948"/>
      <c r="O39" s="2948"/>
      <c r="P39" s="3288" t="str">
        <f>A39</f>
        <v>估价对象XX用房的比较价值（楼面单价，元/平方米）</v>
      </c>
      <c r="Q39" s="3289"/>
      <c r="R39" s="3350" t="e">
        <f>IF(F1="售价",ROUND(IF(D38="简单平均",AVERAGE(R38:W38),R38*F38+T38*H38+V38*J38),0),ROUND(IF(D38="简单平均",AVERAGE(R38:V38),R38*F38+T38*H38+V38*J38),1))</f>
        <v>#DIV/0!</v>
      </c>
      <c r="S39" s="3350"/>
      <c r="T39" s="3350"/>
      <c r="U39" s="3350"/>
      <c r="V39" s="3350"/>
      <c r="W39" s="3350"/>
      <c r="X39" s="699"/>
      <c r="Y39" s="699"/>
      <c r="Z39" s="699"/>
      <c r="AA39" s="699"/>
      <c r="AB39" s="699"/>
      <c r="AC39" s="699"/>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8" t="s">
        <v>2548</v>
      </c>
      <c r="B47" s="1058"/>
      <c r="C47" s="1071"/>
      <c r="D47" s="1071"/>
      <c r="E47" s="1071"/>
      <c r="F47" s="1329"/>
      <c r="G47" s="1329"/>
      <c r="H47" s="1071"/>
      <c r="I47" s="1071"/>
      <c r="J47" s="1071"/>
      <c r="K47" s="1072"/>
      <c r="L47" s="1073"/>
      <c r="M47" s="1071"/>
      <c r="N47" s="2992"/>
      <c r="O47" s="2992"/>
      <c r="P47" s="2981"/>
      <c r="Q47" s="2962"/>
      <c r="R47" s="2948"/>
      <c r="S47" s="2948"/>
      <c r="T47" s="2948"/>
      <c r="U47" s="2948"/>
      <c r="V47" s="2948"/>
      <c r="W47" s="2948"/>
      <c r="X47" s="2948"/>
      <c r="Y47" s="2948"/>
      <c r="Z47" s="2948"/>
      <c r="AA47" s="2948"/>
      <c r="AB47" s="2948"/>
      <c r="AC47" s="2948"/>
    </row>
    <row r="48" spans="1:29" s="465" customFormat="1" ht="15">
      <c r="A48" s="462" t="s">
        <v>2549</v>
      </c>
      <c r="B48" s="463"/>
      <c r="C48" s="1346" t="str">
        <f>YEAR(C7)&amp;"-"&amp;MONTH(C7)</f>
        <v>2021-9</v>
      </c>
      <c r="D48" s="1347">
        <f>EDATE(C48,-1)</f>
        <v>44409</v>
      </c>
      <c r="E48" s="1347">
        <f t="shared" ref="E48:O48" si="16">EDATE(D48,-1)</f>
        <v>44378</v>
      </c>
      <c r="F48" s="1347">
        <f t="shared" si="16"/>
        <v>44348</v>
      </c>
      <c r="G48" s="1347">
        <f t="shared" si="16"/>
        <v>44317</v>
      </c>
      <c r="H48" s="1347">
        <f t="shared" si="16"/>
        <v>44287</v>
      </c>
      <c r="I48" s="1347">
        <f t="shared" si="16"/>
        <v>44256</v>
      </c>
      <c r="J48" s="1347">
        <f t="shared" si="16"/>
        <v>44228</v>
      </c>
      <c r="K48" s="1347">
        <f t="shared" si="16"/>
        <v>44197</v>
      </c>
      <c r="L48" s="1347">
        <f t="shared" si="16"/>
        <v>44166</v>
      </c>
      <c r="M48" s="1347">
        <f t="shared" si="16"/>
        <v>44136</v>
      </c>
      <c r="N48" s="1347">
        <f t="shared" si="16"/>
        <v>44105</v>
      </c>
      <c r="O48" s="1347">
        <f t="shared" si="16"/>
        <v>44075</v>
      </c>
      <c r="P48" s="2982"/>
      <c r="Q48" s="2964"/>
      <c r="R48" s="2964"/>
      <c r="S48" s="2964"/>
      <c r="T48" s="2964"/>
      <c r="U48" s="2964"/>
      <c r="V48" s="2964"/>
      <c r="W48" s="2964"/>
      <c r="X48" s="2964"/>
      <c r="Y48" s="2964"/>
      <c r="Z48" s="2964"/>
      <c r="AA48" s="2964"/>
      <c r="AB48" s="2964"/>
      <c r="AC48" s="2964"/>
    </row>
    <row r="49" spans="1:29" s="113" customFormat="1" ht="15">
      <c r="A49" s="466"/>
      <c r="B49" s="467"/>
      <c r="C49" s="1339">
        <v>100</v>
      </c>
      <c r="D49" s="469"/>
      <c r="E49" s="469"/>
      <c r="F49" s="469"/>
      <c r="G49" s="469"/>
      <c r="H49" s="469"/>
      <c r="I49" s="469"/>
      <c r="J49" s="469"/>
      <c r="K49" s="469"/>
      <c r="L49" s="469"/>
      <c r="M49" s="470"/>
      <c r="N49" s="469"/>
      <c r="O49" s="470"/>
      <c r="P49" s="2983"/>
      <c r="Q49" s="2883"/>
      <c r="R49" s="2883"/>
      <c r="S49" s="2883"/>
      <c r="T49" s="2883"/>
      <c r="U49" s="2883"/>
      <c r="V49" s="2883"/>
      <c r="W49" s="2883"/>
      <c r="X49" s="2883"/>
      <c r="Y49" s="2883"/>
      <c r="Z49" s="2883"/>
      <c r="AA49" s="2883"/>
      <c r="AB49" s="2883"/>
      <c r="AC49" s="2883"/>
    </row>
    <row r="50" spans="1:29" s="113" customFormat="1" ht="15.75" thickBot="1">
      <c r="A50" s="472" t="s">
        <v>2406</v>
      </c>
      <c r="B50" s="473"/>
      <c r="C50" s="474"/>
      <c r="D50" s="475"/>
      <c r="E50" s="475"/>
      <c r="F50" s="475"/>
      <c r="G50" s="475"/>
      <c r="H50" s="475"/>
      <c r="I50" s="475"/>
      <c r="J50" s="475"/>
      <c r="K50" s="475"/>
      <c r="L50" s="475"/>
      <c r="M50" s="476"/>
      <c r="N50" s="475"/>
      <c r="O50" s="476"/>
      <c r="P50" s="2983"/>
      <c r="Q50" s="2962"/>
      <c r="R50" s="2883"/>
      <c r="S50" s="2883"/>
      <c r="T50" s="2883"/>
      <c r="U50" s="2883"/>
      <c r="V50" s="2883"/>
      <c r="W50" s="2883"/>
      <c r="X50" s="2883"/>
      <c r="Y50" s="2883"/>
      <c r="Z50" s="2883"/>
      <c r="AA50" s="2883"/>
      <c r="AB50" s="2883"/>
      <c r="AC50" s="2883"/>
    </row>
    <row r="51" spans="1:29" s="113" customFormat="1" ht="15">
      <c r="A51" s="478" t="s">
        <v>2371</v>
      </c>
      <c r="B51" s="467"/>
      <c r="C51" s="479" t="s">
        <v>2473</v>
      </c>
      <c r="D51" s="480"/>
      <c r="E51" s="480"/>
      <c r="F51" s="480"/>
      <c r="G51" s="480"/>
      <c r="H51" s="480"/>
      <c r="I51" s="480"/>
      <c r="J51" s="480"/>
      <c r="K51" s="480"/>
      <c r="L51" s="481"/>
      <c r="M51" s="482"/>
      <c r="N51" s="2975"/>
      <c r="O51" s="2975"/>
      <c r="P51" s="2984"/>
      <c r="Q51" s="2962"/>
      <c r="R51" s="2883"/>
      <c r="S51" s="2883"/>
      <c r="T51" s="2883"/>
      <c r="U51" s="2883"/>
      <c r="V51" s="2883"/>
      <c r="W51" s="2883"/>
      <c r="X51" s="2883"/>
      <c r="Y51" s="2883"/>
      <c r="Z51" s="2883"/>
      <c r="AA51" s="2883"/>
      <c r="AB51" s="2883"/>
      <c r="AC51" s="2883"/>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3"/>
      <c r="S52" s="2883"/>
      <c r="T52" s="2883"/>
      <c r="U52" s="2883"/>
      <c r="V52" s="2883"/>
      <c r="W52" s="2883"/>
      <c r="X52" s="2883"/>
      <c r="Y52" s="2883"/>
      <c r="Z52" s="2883"/>
      <c r="AA52" s="2883"/>
      <c r="AB52" s="2883"/>
      <c r="AC52" s="2883"/>
    </row>
    <row r="53" spans="1:29">
      <c r="A53" s="484" t="s">
        <v>2409</v>
      </c>
      <c r="B53" s="485" t="s">
        <v>2375</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2424</v>
      </c>
      <c r="C65" s="535" t="s">
        <v>2418</v>
      </c>
      <c r="D65" s="535" t="s">
        <v>2419</v>
      </c>
      <c r="E65" s="535" t="s">
        <v>2420</v>
      </c>
      <c r="F65" s="535" t="s">
        <v>2421</v>
      </c>
      <c r="G65" s="535" t="s">
        <v>2422</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2510</v>
      </c>
      <c r="C67" s="616" t="s">
        <v>2496</v>
      </c>
      <c r="D67" s="616" t="s">
        <v>2497</v>
      </c>
      <c r="E67" s="616" t="s">
        <v>2498</v>
      </c>
      <c r="F67" s="616" t="s">
        <v>2499</v>
      </c>
      <c r="G67" s="616" t="s">
        <v>2500</v>
      </c>
      <c r="H67" s="496"/>
      <c r="I67" s="496"/>
      <c r="J67" s="496"/>
      <c r="K67" s="496"/>
      <c r="L67" s="496"/>
      <c r="M67" s="1291"/>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2430</v>
      </c>
      <c r="C69" s="535" t="s">
        <v>2418</v>
      </c>
      <c r="D69" s="535" t="s">
        <v>2419</v>
      </c>
      <c r="E69" s="535" t="s">
        <v>2420</v>
      </c>
      <c r="F69" s="535" t="s">
        <v>2421</v>
      </c>
      <c r="G69" s="535" t="s">
        <v>2422</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2550</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3"/>
      <c r="S73" s="2883"/>
      <c r="T73" s="2883"/>
      <c r="U73" s="2883"/>
      <c r="V73" s="2883"/>
      <c r="W73" s="2883"/>
      <c r="X73" s="2883"/>
      <c r="Y73" s="2883"/>
      <c r="Z73" s="2883"/>
      <c r="AA73" s="2883"/>
      <c r="AB73" s="2883"/>
      <c r="AC73" s="2883"/>
    </row>
    <row r="74" spans="1:29" s="113" customFormat="1" ht="15.75" thickBot="1">
      <c r="A74" s="536"/>
      <c r="B74" s="500"/>
      <c r="C74" s="517"/>
      <c r="D74" s="493"/>
      <c r="E74" s="493"/>
      <c r="F74" s="493"/>
      <c r="G74" s="493"/>
      <c r="H74" s="493"/>
      <c r="I74" s="493"/>
      <c r="J74" s="493"/>
      <c r="K74" s="493"/>
      <c r="L74" s="493"/>
      <c r="M74" s="494"/>
      <c r="N74" s="2977"/>
      <c r="O74" s="2977"/>
      <c r="P74" s="2985"/>
      <c r="Q74" s="2962"/>
      <c r="R74" s="2883"/>
      <c r="S74" s="2883"/>
      <c r="T74" s="2883"/>
      <c r="U74" s="2883"/>
      <c r="V74" s="2883"/>
      <c r="W74" s="2883"/>
      <c r="X74" s="2883"/>
      <c r="Y74" s="2883"/>
      <c r="Z74" s="2883"/>
      <c r="AA74" s="2883"/>
      <c r="AB74" s="2883"/>
      <c r="AC74" s="2883"/>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3"/>
      <c r="S75" s="2883"/>
      <c r="T75" s="2883"/>
      <c r="U75" s="2883"/>
      <c r="V75" s="2883"/>
      <c r="W75" s="2883"/>
      <c r="X75" s="2883"/>
      <c r="Y75" s="2883"/>
      <c r="Z75" s="2883"/>
      <c r="AA75" s="2883"/>
      <c r="AB75" s="2883"/>
      <c r="AC75" s="2883"/>
    </row>
    <row r="76" spans="1:29" s="113" customFormat="1" ht="15.75" thickBot="1">
      <c r="A76" s="536"/>
      <c r="B76" s="500"/>
      <c r="C76" s="517"/>
      <c r="D76" s="493"/>
      <c r="E76" s="493"/>
      <c r="F76" s="493"/>
      <c r="G76" s="493"/>
      <c r="H76" s="493"/>
      <c r="I76" s="493"/>
      <c r="J76" s="493"/>
      <c r="K76" s="493"/>
      <c r="L76" s="493"/>
      <c r="M76" s="494"/>
      <c r="N76" s="2977"/>
      <c r="O76" s="2977"/>
      <c r="P76" s="2985"/>
      <c r="Q76" s="2962"/>
      <c r="R76" s="2883"/>
      <c r="S76" s="2883"/>
      <c r="T76" s="2883"/>
      <c r="U76" s="2883"/>
      <c r="V76" s="2883"/>
      <c r="W76" s="2883"/>
      <c r="X76" s="2883"/>
      <c r="Y76" s="2883"/>
      <c r="Z76" s="2883"/>
      <c r="AA76" s="2883"/>
      <c r="AB76" s="2883"/>
      <c r="AC76" s="2883"/>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2384</v>
      </c>
      <c r="B79" s="485" t="s">
        <v>2551</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2552</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2437</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2554</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2556</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2557</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29" ht="15">
      <c r="A4" s="361" t="s">
        <v>2466</v>
      </c>
      <c r="B4" s="362"/>
      <c r="C4" s="3306" t="s">
        <v>2467</v>
      </c>
      <c r="D4" s="3307"/>
      <c r="E4" s="3308" t="s">
        <v>2468</v>
      </c>
      <c r="F4" s="3309"/>
      <c r="G4" s="3306" t="s">
        <v>2469</v>
      </c>
      <c r="H4" s="3307"/>
      <c r="I4" s="3306" t="s">
        <v>2470</v>
      </c>
      <c r="J4" s="3307"/>
      <c r="K4" s="567" t="s">
        <v>2471</v>
      </c>
      <c r="L4" s="2938"/>
      <c r="M4" s="2939"/>
      <c r="N4" s="2939"/>
      <c r="O4" s="2939"/>
      <c r="P4" s="3310" t="s">
        <v>2472</v>
      </c>
      <c r="Q4" s="3311"/>
      <c r="R4" s="3316" t="s">
        <v>2468</v>
      </c>
      <c r="S4" s="3317"/>
      <c r="T4" s="3316" t="s">
        <v>2469</v>
      </c>
      <c r="U4" s="3317"/>
      <c r="V4" s="3322" t="s">
        <v>2470</v>
      </c>
      <c r="W4" s="3322"/>
      <c r="X4" s="1539"/>
      <c r="Y4" s="3316" t="s">
        <v>2472</v>
      </c>
      <c r="Z4" s="3317"/>
      <c r="AA4" s="3303" t="s">
        <v>2468</v>
      </c>
      <c r="AB4" s="3304" t="s">
        <v>2469</v>
      </c>
      <c r="AC4" s="3303" t="s">
        <v>2470</v>
      </c>
    </row>
    <row r="5" spans="1:29" ht="15">
      <c r="A5" s="364"/>
      <c r="B5" s="365"/>
      <c r="C5" s="3325" t="s">
        <v>2363</v>
      </c>
      <c r="D5" s="3326"/>
      <c r="E5" s="3332" t="s">
        <v>2364</v>
      </c>
      <c r="F5" s="3333"/>
      <c r="G5" s="3325" t="s">
        <v>2365</v>
      </c>
      <c r="H5" s="3326"/>
      <c r="I5" s="3325" t="s">
        <v>2366</v>
      </c>
      <c r="J5" s="3326"/>
      <c r="K5" s="567"/>
      <c r="L5" s="2938"/>
      <c r="M5" s="2939"/>
      <c r="N5" s="2939"/>
      <c r="O5" s="2939"/>
      <c r="P5" s="3312"/>
      <c r="Q5" s="3313"/>
      <c r="R5" s="3318"/>
      <c r="S5" s="3319"/>
      <c r="T5" s="3318"/>
      <c r="U5" s="3319"/>
      <c r="V5" s="3322"/>
      <c r="W5" s="3322"/>
      <c r="X5" s="1539"/>
      <c r="Y5" s="3318"/>
      <c r="Z5" s="3319"/>
      <c r="AA5" s="3304"/>
      <c r="AB5" s="3304"/>
      <c r="AC5" s="3304"/>
    </row>
    <row r="6" spans="1:29" ht="15.75" thickBot="1">
      <c r="A6" s="366"/>
      <c r="B6" s="367"/>
      <c r="C6" s="3323" t="s">
        <v>2367</v>
      </c>
      <c r="D6" s="3324"/>
      <c r="E6" s="3330" t="s">
        <v>2367</v>
      </c>
      <c r="F6" s="3331"/>
      <c r="G6" s="3323" t="s">
        <v>2367</v>
      </c>
      <c r="H6" s="3324"/>
      <c r="I6" s="3323" t="s">
        <v>2367</v>
      </c>
      <c r="J6" s="3324"/>
      <c r="K6" s="567" t="s">
        <v>2368</v>
      </c>
      <c r="L6" s="2938"/>
      <c r="M6" s="2939"/>
      <c r="N6" s="2939"/>
      <c r="O6" s="2939"/>
      <c r="P6" s="3314"/>
      <c r="Q6" s="3315"/>
      <c r="R6" s="3318"/>
      <c r="S6" s="3319"/>
      <c r="T6" s="3320"/>
      <c r="U6" s="3321"/>
      <c r="V6" s="3322"/>
      <c r="W6" s="3322"/>
      <c r="X6" s="1539"/>
      <c r="Y6" s="3320"/>
      <c r="Z6" s="3321"/>
      <c r="AA6" s="3305"/>
      <c r="AB6" s="3305"/>
      <c r="AC6" s="3305"/>
    </row>
    <row r="7" spans="1:29" s="113" customFormat="1" ht="15.75" thickBot="1">
      <c r="A7" s="368" t="s">
        <v>2369</v>
      </c>
      <c r="B7" s="369"/>
      <c r="C7" s="370">
        <f>'数据-取费表'!B2</f>
        <v>44454</v>
      </c>
      <c r="D7" s="371">
        <v>100</v>
      </c>
      <c r="E7" s="372"/>
      <c r="F7" s="373">
        <f>SUMIF(46:46,YEAR(E7)&amp;"-"&amp;MONTH(E7),47:47)</f>
        <v>0</v>
      </c>
      <c r="G7" s="2160"/>
      <c r="H7" s="371">
        <f>SUMIF(46:46,YEAR(G7)&amp;"-"&amp;MONTH(G7),47:47)</f>
        <v>0</v>
      </c>
      <c r="I7" s="372"/>
      <c r="J7" s="371">
        <f>SUMIF(46:46,YEAR(I7)&amp;"-"&amp;MONTH(I7),47:47)</f>
        <v>0</v>
      </c>
      <c r="K7" s="568"/>
      <c r="L7" s="2940"/>
      <c r="M7" s="2941"/>
      <c r="N7" s="2941"/>
      <c r="O7" s="2941"/>
      <c r="P7" s="3327" t="s">
        <v>2370</v>
      </c>
      <c r="Q7" s="3329"/>
      <c r="R7" s="710" t="s">
        <v>17</v>
      </c>
      <c r="S7" s="711">
        <f t="shared" ref="S7:S14" si="0">F7</f>
        <v>0</v>
      </c>
      <c r="T7" s="710" t="s">
        <v>17</v>
      </c>
      <c r="U7" s="711">
        <f t="shared" ref="U7:U14" si="1">H7</f>
        <v>0</v>
      </c>
      <c r="V7" s="710" t="s">
        <v>17</v>
      </c>
      <c r="W7" s="711">
        <f t="shared" ref="W7:W14" si="2">J7</f>
        <v>0</v>
      </c>
      <c r="X7" s="712"/>
      <c r="Y7" s="3327" t="s">
        <v>2370</v>
      </c>
      <c r="Z7" s="3328"/>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327" t="s">
        <v>2373</v>
      </c>
      <c r="Q8" s="3328"/>
      <c r="R8" s="710" t="s">
        <v>17</v>
      </c>
      <c r="S8" s="711">
        <f t="shared" si="0"/>
        <v>0</v>
      </c>
      <c r="T8" s="710" t="s">
        <v>17</v>
      </c>
      <c r="U8" s="711">
        <f t="shared" si="1"/>
        <v>0</v>
      </c>
      <c r="V8" s="710" t="s">
        <v>17</v>
      </c>
      <c r="W8" s="711">
        <f t="shared" si="2"/>
        <v>0</v>
      </c>
      <c r="X8" s="712"/>
      <c r="Y8" s="3327" t="s">
        <v>2373</v>
      </c>
      <c r="Z8" s="3328"/>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291" t="s">
        <v>2376</v>
      </c>
      <c r="Q9" s="1527" t="str">
        <f t="shared" ref="Q9:Q14" si="6">B9</f>
        <v>用途</v>
      </c>
      <c r="R9" s="710" t="s">
        <v>17</v>
      </c>
      <c r="S9" s="711">
        <f t="shared" si="0"/>
        <v>100</v>
      </c>
      <c r="T9" s="710" t="s">
        <v>17</v>
      </c>
      <c r="U9" s="711">
        <f t="shared" si="1"/>
        <v>100</v>
      </c>
      <c r="V9" s="710" t="s">
        <v>17</v>
      </c>
      <c r="W9" s="711">
        <f t="shared" si="2"/>
        <v>100</v>
      </c>
      <c r="X9" s="712"/>
      <c r="Y9" s="3161"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291"/>
      <c r="Q10" s="1527" t="str">
        <f t="shared" si="6"/>
        <v>土地使用年限（年）</v>
      </c>
      <c r="R10" s="710" t="s">
        <v>17</v>
      </c>
      <c r="S10" s="711">
        <f t="shared" si="0"/>
        <v>100</v>
      </c>
      <c r="T10" s="710" t="s">
        <v>17</v>
      </c>
      <c r="U10" s="711">
        <f t="shared" si="1"/>
        <v>100</v>
      </c>
      <c r="V10" s="710" t="s">
        <v>17</v>
      </c>
      <c r="W10" s="711">
        <f t="shared" si="2"/>
        <v>100</v>
      </c>
      <c r="X10" s="712"/>
      <c r="Y10" s="3161"/>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291"/>
      <c r="Q11" s="1527">
        <f t="shared" si="6"/>
        <v>111</v>
      </c>
      <c r="R11" s="710" t="s">
        <v>17</v>
      </c>
      <c r="S11" s="711">
        <f t="shared" si="0"/>
        <v>100</v>
      </c>
      <c r="T11" s="710" t="s">
        <v>17</v>
      </c>
      <c r="U11" s="711">
        <f t="shared" si="1"/>
        <v>100</v>
      </c>
      <c r="V11" s="710" t="s">
        <v>17</v>
      </c>
      <c r="W11" s="711">
        <f t="shared" si="2"/>
        <v>100</v>
      </c>
      <c r="X11" s="712"/>
      <c r="Y11" s="3161"/>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291"/>
      <c r="Q12" s="1527">
        <f t="shared" si="6"/>
        <v>111</v>
      </c>
      <c r="R12" s="710" t="s">
        <v>17</v>
      </c>
      <c r="S12" s="711">
        <f t="shared" si="0"/>
        <v>100</v>
      </c>
      <c r="T12" s="710" t="s">
        <v>17</v>
      </c>
      <c r="U12" s="711">
        <f t="shared" si="1"/>
        <v>100</v>
      </c>
      <c r="V12" s="710" t="s">
        <v>17</v>
      </c>
      <c r="W12" s="711">
        <f t="shared" si="2"/>
        <v>100</v>
      </c>
      <c r="X12" s="712"/>
      <c r="Y12" s="3161"/>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5"/>
      <c r="M13" s="2939"/>
      <c r="N13" s="2939"/>
      <c r="O13" s="2997"/>
      <c r="P13" s="3291"/>
      <c r="Q13" s="1527">
        <f t="shared" si="6"/>
        <v>111</v>
      </c>
      <c r="R13" s="710" t="s">
        <v>17</v>
      </c>
      <c r="S13" s="711">
        <f t="shared" si="0"/>
        <v>100</v>
      </c>
      <c r="T13" s="710" t="s">
        <v>17</v>
      </c>
      <c r="U13" s="711">
        <f t="shared" si="1"/>
        <v>100</v>
      </c>
      <c r="V13" s="710" t="s">
        <v>17</v>
      </c>
      <c r="W13" s="711">
        <f t="shared" si="2"/>
        <v>100</v>
      </c>
      <c r="X13" s="712"/>
      <c r="Y13" s="3161"/>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293" t="s">
        <v>2381</v>
      </c>
      <c r="Q14" s="1536" t="str">
        <f t="shared" si="6"/>
        <v>交通便捷度</v>
      </c>
      <c r="R14" s="714" t="s">
        <v>17</v>
      </c>
      <c r="S14" s="715">
        <f t="shared" si="0"/>
        <v>100</v>
      </c>
      <c r="T14" s="714" t="s">
        <v>17</v>
      </c>
      <c r="U14" s="715">
        <f t="shared" si="1"/>
        <v>100</v>
      </c>
      <c r="V14" s="714" t="s">
        <v>17</v>
      </c>
      <c r="W14" s="715">
        <f t="shared" si="2"/>
        <v>100</v>
      </c>
      <c r="X14" s="1539"/>
      <c r="Y14" s="3293"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5"/>
      <c r="M15" s="2939"/>
      <c r="N15" s="2939"/>
      <c r="O15" s="2997"/>
      <c r="P15" s="3294"/>
      <c r="Q15" s="1536"/>
      <c r="R15" s="714"/>
      <c r="S15" s="715"/>
      <c r="T15" s="714"/>
      <c r="U15" s="715"/>
      <c r="V15" s="714"/>
      <c r="W15" s="715"/>
      <c r="X15" s="1539"/>
      <c r="Y15" s="3294"/>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294"/>
      <c r="Q16" s="1536" t="str">
        <f>B16</f>
        <v>公共配套设施</v>
      </c>
      <c r="R16" s="714" t="s">
        <v>17</v>
      </c>
      <c r="S16" s="715">
        <f>F16</f>
        <v>100</v>
      </c>
      <c r="T16" s="714" t="s">
        <v>17</v>
      </c>
      <c r="U16" s="715">
        <f>H16</f>
        <v>100</v>
      </c>
      <c r="V16" s="714" t="s">
        <v>17</v>
      </c>
      <c r="W16" s="715">
        <f>J16</f>
        <v>100</v>
      </c>
      <c r="X16" s="1539"/>
      <c r="Y16" s="3294"/>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5"/>
      <c r="M17" s="2939"/>
      <c r="N17" s="2939"/>
      <c r="O17" s="2997"/>
      <c r="P17" s="3294"/>
      <c r="Q17" s="1536"/>
      <c r="R17" s="714"/>
      <c r="S17" s="715"/>
      <c r="T17" s="714"/>
      <c r="U17" s="715"/>
      <c r="V17" s="714"/>
      <c r="W17" s="715"/>
      <c r="X17" s="1539"/>
      <c r="Y17" s="3294"/>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294"/>
      <c r="Q18" s="1536" t="str">
        <f>B18</f>
        <v>基础设施水平</v>
      </c>
      <c r="R18" s="714" t="s">
        <v>17</v>
      </c>
      <c r="S18" s="715">
        <f>F18</f>
        <v>100</v>
      </c>
      <c r="T18" s="714" t="s">
        <v>17</v>
      </c>
      <c r="U18" s="715">
        <f>H18</f>
        <v>100</v>
      </c>
      <c r="V18" s="714" t="s">
        <v>17</v>
      </c>
      <c r="W18" s="715">
        <f>J18</f>
        <v>100</v>
      </c>
      <c r="X18" s="1539"/>
      <c r="Y18" s="3294"/>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5"/>
      <c r="M19" s="2939"/>
      <c r="N19" s="2939"/>
      <c r="O19" s="2997"/>
      <c r="P19" s="3294"/>
      <c r="Q19" s="1536"/>
      <c r="R19" s="714"/>
      <c r="S19" s="715"/>
      <c r="T19" s="714"/>
      <c r="U19" s="715"/>
      <c r="V19" s="714"/>
      <c r="W19" s="715"/>
      <c r="X19" s="1539"/>
      <c r="Y19" s="3294"/>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294"/>
      <c r="Q20" s="1536" t="str">
        <f>B20</f>
        <v>自然及人文环境</v>
      </c>
      <c r="R20" s="714" t="s">
        <v>17</v>
      </c>
      <c r="S20" s="715">
        <f>F20</f>
        <v>100</v>
      </c>
      <c r="T20" s="714" t="s">
        <v>17</v>
      </c>
      <c r="U20" s="715">
        <f>H20</f>
        <v>100</v>
      </c>
      <c r="V20" s="714" t="s">
        <v>17</v>
      </c>
      <c r="W20" s="715">
        <f>J20</f>
        <v>100</v>
      </c>
      <c r="X20" s="1539"/>
      <c r="Y20" s="3294"/>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5"/>
      <c r="M21" s="2939"/>
      <c r="N21" s="2939"/>
      <c r="O21" s="2997"/>
      <c r="P21" s="3294"/>
      <c r="Q21" s="1536"/>
      <c r="R21" s="714"/>
      <c r="S21" s="715"/>
      <c r="T21" s="714"/>
      <c r="U21" s="715"/>
      <c r="V21" s="714"/>
      <c r="W21" s="715"/>
      <c r="X21" s="1539"/>
      <c r="Y21" s="3294"/>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294"/>
      <c r="Q22" s="1536" t="str">
        <f>B22</f>
        <v>楼层</v>
      </c>
      <c r="R22" s="714" t="s">
        <v>17</v>
      </c>
      <c r="S22" s="715">
        <f>F22</f>
        <v>100</v>
      </c>
      <c r="T22" s="714" t="s">
        <v>17</v>
      </c>
      <c r="U22" s="715">
        <f>H22</f>
        <v>100</v>
      </c>
      <c r="V22" s="714" t="s">
        <v>17</v>
      </c>
      <c r="W22" s="715">
        <f>J22</f>
        <v>100</v>
      </c>
      <c r="X22" s="1539"/>
      <c r="Y22" s="3294"/>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294"/>
      <c r="Q23" s="1536">
        <f>B23</f>
        <v>111</v>
      </c>
      <c r="R23" s="714" t="s">
        <v>17</v>
      </c>
      <c r="S23" s="715">
        <f>F23</f>
        <v>100</v>
      </c>
      <c r="T23" s="714" t="s">
        <v>17</v>
      </c>
      <c r="U23" s="715">
        <f>H23</f>
        <v>100</v>
      </c>
      <c r="V23" s="714" t="s">
        <v>17</v>
      </c>
      <c r="W23" s="715">
        <f>J23</f>
        <v>100</v>
      </c>
      <c r="X23" s="1539"/>
      <c r="Y23" s="3294"/>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294"/>
      <c r="Q24" s="1536">
        <f t="shared" ref="Q24:Q34" si="11">B24</f>
        <v>111</v>
      </c>
      <c r="R24" s="714" t="s">
        <v>17</v>
      </c>
      <c r="S24" s="715">
        <f>F24</f>
        <v>100</v>
      </c>
      <c r="T24" s="714" t="s">
        <v>17</v>
      </c>
      <c r="U24" s="715">
        <f>H24</f>
        <v>100</v>
      </c>
      <c r="V24" s="714" t="s">
        <v>17</v>
      </c>
      <c r="W24" s="715">
        <f>J24</f>
        <v>100</v>
      </c>
      <c r="X24" s="1539"/>
      <c r="Y24" s="3294"/>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0"/>
      <c r="M25" s="2941"/>
      <c r="N25" s="2941"/>
      <c r="O25" s="2995"/>
      <c r="P25" s="3294"/>
      <c r="Q25" s="1527">
        <f t="shared" si="11"/>
        <v>111</v>
      </c>
      <c r="R25" s="710" t="s">
        <v>17</v>
      </c>
      <c r="S25" s="711">
        <f>F25</f>
        <v>100</v>
      </c>
      <c r="T25" s="710" t="s">
        <v>17</v>
      </c>
      <c r="U25" s="711">
        <f>H25</f>
        <v>100</v>
      </c>
      <c r="V25" s="710" t="s">
        <v>17</v>
      </c>
      <c r="W25" s="711">
        <f>J25</f>
        <v>100</v>
      </c>
      <c r="X25" s="712"/>
      <c r="Y25" s="3294"/>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5"/>
      <c r="M26" s="2939"/>
      <c r="N26" s="2939"/>
      <c r="O26" s="2997"/>
      <c r="P26" s="3349"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8"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298"/>
      <c r="Q27" s="716" t="str">
        <f t="shared" si="11"/>
        <v>成新率</v>
      </c>
      <c r="R27" s="717" t="s">
        <v>17</v>
      </c>
      <c r="S27" s="718" t="e">
        <f t="shared" si="12"/>
        <v>#N/A</v>
      </c>
      <c r="T27" s="717" t="s">
        <v>17</v>
      </c>
      <c r="U27" s="718" t="e">
        <f t="shared" si="13"/>
        <v>#N/A</v>
      </c>
      <c r="V27" s="717" t="s">
        <v>17</v>
      </c>
      <c r="W27" s="718" t="e">
        <f t="shared" si="14"/>
        <v>#N/A</v>
      </c>
      <c r="X27" s="719"/>
      <c r="Y27" s="3298"/>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298"/>
      <c r="Q28" s="1536" t="str">
        <f t="shared" si="11"/>
        <v>物业等级</v>
      </c>
      <c r="R28" s="714" t="s">
        <v>17</v>
      </c>
      <c r="S28" s="715">
        <f t="shared" si="12"/>
        <v>100</v>
      </c>
      <c r="T28" s="714" t="s">
        <v>17</v>
      </c>
      <c r="U28" s="715">
        <f t="shared" si="13"/>
        <v>100</v>
      </c>
      <c r="V28" s="714" t="s">
        <v>17</v>
      </c>
      <c r="W28" s="715">
        <f t="shared" si="14"/>
        <v>100</v>
      </c>
      <c r="X28" s="1539"/>
      <c r="Y28" s="3298"/>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298"/>
      <c r="Q29" s="1536" t="str">
        <f t="shared" si="11"/>
        <v>有无电梯</v>
      </c>
      <c r="R29" s="714" t="s">
        <v>17</v>
      </c>
      <c r="S29" s="715">
        <f t="shared" si="12"/>
        <v>100</v>
      </c>
      <c r="T29" s="714" t="s">
        <v>17</v>
      </c>
      <c r="U29" s="715">
        <f t="shared" si="13"/>
        <v>100</v>
      </c>
      <c r="V29" s="714" t="s">
        <v>17</v>
      </c>
      <c r="W29" s="715">
        <f t="shared" si="14"/>
        <v>100</v>
      </c>
      <c r="X29" s="1539"/>
      <c r="Y29" s="3298"/>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298"/>
      <c r="Q30" s="1536" t="str">
        <f t="shared" si="11"/>
        <v>建筑面积</v>
      </c>
      <c r="R30" s="714" t="s">
        <v>17</v>
      </c>
      <c r="S30" s="715" t="e">
        <f t="shared" si="12"/>
        <v>#N/A</v>
      </c>
      <c r="T30" s="714" t="s">
        <v>17</v>
      </c>
      <c r="U30" s="715" t="e">
        <f t="shared" si="13"/>
        <v>#N/A</v>
      </c>
      <c r="V30" s="714" t="s">
        <v>17</v>
      </c>
      <c r="W30" s="715" t="e">
        <f t="shared" si="14"/>
        <v>#N/A</v>
      </c>
      <c r="X30" s="1539"/>
      <c r="Y30" s="3298"/>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298"/>
      <c r="Q31" s="1527" t="str">
        <f t="shared" si="11"/>
        <v>是否封闭</v>
      </c>
      <c r="R31" s="710" t="s">
        <v>17</v>
      </c>
      <c r="S31" s="711">
        <f t="shared" si="12"/>
        <v>100</v>
      </c>
      <c r="T31" s="710" t="s">
        <v>17</v>
      </c>
      <c r="U31" s="711">
        <f t="shared" si="13"/>
        <v>100</v>
      </c>
      <c r="V31" s="710" t="s">
        <v>17</v>
      </c>
      <c r="W31" s="711">
        <f t="shared" si="14"/>
        <v>100</v>
      </c>
      <c r="X31" s="712"/>
      <c r="Y31" s="329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298" t="s">
        <v>2386</v>
      </c>
      <c r="Q32" s="1536">
        <f t="shared" si="11"/>
        <v>111</v>
      </c>
      <c r="R32" s="714" t="s">
        <v>17</v>
      </c>
      <c r="S32" s="715">
        <f t="shared" si="12"/>
        <v>100</v>
      </c>
      <c r="T32" s="714" t="s">
        <v>17</v>
      </c>
      <c r="U32" s="715">
        <f t="shared" si="13"/>
        <v>100</v>
      </c>
      <c r="V32" s="714" t="s">
        <v>17</v>
      </c>
      <c r="W32" s="715">
        <f t="shared" si="14"/>
        <v>100</v>
      </c>
      <c r="X32" s="1539"/>
      <c r="Y32" s="3298"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298"/>
      <c r="Q33" s="1536">
        <f t="shared" si="11"/>
        <v>111</v>
      </c>
      <c r="R33" s="714" t="s">
        <v>17</v>
      </c>
      <c r="S33" s="715">
        <f t="shared" si="12"/>
        <v>100</v>
      </c>
      <c r="T33" s="714" t="s">
        <v>17</v>
      </c>
      <c r="U33" s="715">
        <f t="shared" si="13"/>
        <v>100</v>
      </c>
      <c r="V33" s="714" t="s">
        <v>17</v>
      </c>
      <c r="W33" s="715">
        <f t="shared" si="14"/>
        <v>100</v>
      </c>
      <c r="X33" s="1539"/>
      <c r="Y33" s="3298"/>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5"/>
      <c r="M34" s="2939"/>
      <c r="N34" s="2939"/>
      <c r="O34" s="2997"/>
      <c r="P34" s="3298"/>
      <c r="Q34" s="1536">
        <f t="shared" si="11"/>
        <v>111</v>
      </c>
      <c r="R34" s="714" t="s">
        <v>17</v>
      </c>
      <c r="S34" s="715">
        <f t="shared" si="12"/>
        <v>100</v>
      </c>
      <c r="T34" s="714" t="s">
        <v>17</v>
      </c>
      <c r="U34" s="715">
        <f t="shared" si="13"/>
        <v>100</v>
      </c>
      <c r="V34" s="714" t="s">
        <v>17</v>
      </c>
      <c r="W34" s="715">
        <f t="shared" si="14"/>
        <v>100</v>
      </c>
      <c r="X34" s="1539"/>
      <c r="Y34" s="3298"/>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47"/>
      <c r="M35" s="2948"/>
      <c r="N35" s="2939"/>
      <c r="O35" s="2948"/>
      <c r="P35" s="3291" t="str">
        <f>A35</f>
        <v>成交单价（元/平方米）</v>
      </c>
      <c r="Q35" s="3291"/>
      <c r="R35" s="3292">
        <f>E35</f>
        <v>0</v>
      </c>
      <c r="S35" s="3292"/>
      <c r="T35" s="3292">
        <f>G35</f>
        <v>0</v>
      </c>
      <c r="U35" s="3292"/>
      <c r="V35" s="3292">
        <f>I35</f>
        <v>0</v>
      </c>
      <c r="W35" s="3292"/>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47"/>
      <c r="M36" s="2948"/>
      <c r="N36" s="2939"/>
      <c r="O36" s="2948"/>
      <c r="P36" s="3291" t="str">
        <f>A36</f>
        <v>比较价值（元/平方米）</v>
      </c>
      <c r="Q36" s="3291"/>
      <c r="R36" s="3292" t="e">
        <f>IF(F1="售价",ROUND(PRODUCT(R35,AA7:AA34),0),ROUND(PRODUCT(R35,AA7:AA34),1))</f>
        <v>#DIV/0!</v>
      </c>
      <c r="S36" s="3292"/>
      <c r="T36" s="3292" t="e">
        <f>IF(F1="售价",ROUND(PRODUCT(T35,AB7:AB34),0),ROUND(PRODUCT(T35,AB7:AB34),1))</f>
        <v>#DIV/0!</v>
      </c>
      <c r="U36" s="3292"/>
      <c r="V36" s="3292" t="e">
        <f>IF(F1="售价",ROUND(PRODUCT(V35,AC7:AC34),0),ROUND(PRODUCT(V35,AC7:AC34),1))</f>
        <v>#DIV/0!</v>
      </c>
      <c r="W36" s="3292"/>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47"/>
      <c r="M37" s="2948"/>
      <c r="N37" s="2948"/>
      <c r="O37" s="2948"/>
      <c r="P37" s="3288" t="str">
        <f>A37</f>
        <v>估价对象XX用房的比较价值（楼面单价，元/平方米）</v>
      </c>
      <c r="Q37" s="3289"/>
      <c r="R37" s="3350" t="e">
        <f>IF(F1="售价",ROUND(IF(D36="简单平均",AVERAGE(R36:W36),R36*F36+T36*H36+V36*J36),0),ROUND(IF(D36="简单平均",AVERAGE(R36:V36),R36*F36+T36*H36+V36*J36),1))</f>
        <v>#DIV/0!</v>
      </c>
      <c r="S37" s="3350"/>
      <c r="T37" s="3350"/>
      <c r="U37" s="3350"/>
      <c r="V37" s="3350"/>
      <c r="W37" s="3350"/>
      <c r="X37" s="699"/>
      <c r="Y37" s="699"/>
      <c r="Z37" s="699"/>
      <c r="AA37" s="699"/>
      <c r="AB37" s="699"/>
      <c r="AC37" s="699"/>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3" t="s">
        <v>2495</v>
      </c>
      <c r="B45" s="699"/>
      <c r="C45" s="704"/>
      <c r="D45" s="704"/>
      <c r="E45" s="704"/>
      <c r="F45" s="705"/>
      <c r="G45" s="705"/>
      <c r="H45" s="704"/>
      <c r="I45" s="704"/>
      <c r="J45" s="704"/>
      <c r="K45" s="706"/>
      <c r="L45" s="707"/>
      <c r="M45" s="704"/>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2369</v>
      </c>
      <c r="B46" s="463"/>
      <c r="C46" s="1346" t="str">
        <f>YEAR(C7)&amp;"-"&amp;MONTH(C7)</f>
        <v>2021-9</v>
      </c>
      <c r="D46" s="1347">
        <f>EDATE(C46,-1)</f>
        <v>44409</v>
      </c>
      <c r="E46" s="1347">
        <f t="shared" ref="E46:O46" si="16">EDATE(D46,-1)</f>
        <v>44378</v>
      </c>
      <c r="F46" s="1347">
        <f t="shared" si="16"/>
        <v>44348</v>
      </c>
      <c r="G46" s="1347">
        <f t="shared" si="16"/>
        <v>44317</v>
      </c>
      <c r="H46" s="1347">
        <f t="shared" si="16"/>
        <v>44287</v>
      </c>
      <c r="I46" s="1347">
        <f t="shared" si="16"/>
        <v>44256</v>
      </c>
      <c r="J46" s="1347">
        <f t="shared" si="16"/>
        <v>44228</v>
      </c>
      <c r="K46" s="1347">
        <f t="shared" si="16"/>
        <v>44197</v>
      </c>
      <c r="L46" s="1347">
        <f t="shared" si="16"/>
        <v>44166</v>
      </c>
      <c r="M46" s="1347">
        <f t="shared" si="16"/>
        <v>44136</v>
      </c>
      <c r="N46" s="1347">
        <f t="shared" si="16"/>
        <v>44105</v>
      </c>
      <c r="O46" s="1347">
        <f t="shared" si="16"/>
        <v>44075</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5">
        <v>100</v>
      </c>
      <c r="D47" s="469"/>
      <c r="E47" s="469"/>
      <c r="F47" s="469"/>
      <c r="G47" s="469"/>
      <c r="H47" s="469"/>
      <c r="I47" s="469"/>
      <c r="J47" s="469"/>
      <c r="K47" s="469"/>
      <c r="L47" s="469"/>
      <c r="M47" s="470"/>
      <c r="N47" s="469"/>
      <c r="O47" s="471"/>
      <c r="P47" s="2962"/>
      <c r="Q47" s="2883"/>
      <c r="R47" s="2883"/>
      <c r="S47" s="2883"/>
      <c r="T47" s="2883"/>
      <c r="U47" s="2883"/>
      <c r="V47" s="2883"/>
      <c r="W47" s="2883"/>
      <c r="X47" s="2883"/>
      <c r="Y47" s="2883"/>
      <c r="Z47" s="2883"/>
      <c r="AA47" s="2883"/>
      <c r="AB47" s="2883"/>
      <c r="AC47" s="2883"/>
      <c r="AD47" s="2883"/>
    </row>
    <row r="48" spans="1:30" s="113" customFormat="1" ht="15.75" thickBot="1">
      <c r="A48" s="472" t="s">
        <v>2406</v>
      </c>
      <c r="B48" s="473"/>
      <c r="C48" s="474"/>
      <c r="D48" s="475"/>
      <c r="E48" s="475"/>
      <c r="F48" s="475"/>
      <c r="G48" s="475"/>
      <c r="H48" s="475"/>
      <c r="I48" s="475"/>
      <c r="J48" s="475"/>
      <c r="K48" s="475"/>
      <c r="L48" s="475"/>
      <c r="M48" s="476"/>
      <c r="N48" s="475"/>
      <c r="O48" s="477"/>
      <c r="P48" s="2962"/>
      <c r="Q48" s="2962"/>
      <c r="R48" s="2883"/>
      <c r="S48" s="2883"/>
      <c r="T48" s="2883"/>
      <c r="U48" s="2883"/>
      <c r="V48" s="2883"/>
      <c r="W48" s="2883"/>
      <c r="X48" s="2883"/>
      <c r="Y48" s="2883"/>
      <c r="Z48" s="2883"/>
      <c r="AA48" s="2883"/>
      <c r="AB48" s="2883"/>
      <c r="AC48" s="2883"/>
      <c r="AD48" s="2883"/>
    </row>
    <row r="49" spans="1:30" s="113" customFormat="1" ht="15">
      <c r="A49" s="478" t="s">
        <v>2371</v>
      </c>
      <c r="B49" s="467"/>
      <c r="C49" s="479" t="s">
        <v>2473</v>
      </c>
      <c r="D49" s="480"/>
      <c r="E49" s="480"/>
      <c r="F49" s="480"/>
      <c r="G49" s="480"/>
      <c r="H49" s="480"/>
      <c r="I49" s="480"/>
      <c r="J49" s="480"/>
      <c r="K49" s="480"/>
      <c r="L49" s="481"/>
      <c r="M49" s="482"/>
      <c r="N49" s="2975"/>
      <c r="O49" s="2975"/>
      <c r="P49" s="3000"/>
      <c r="Q49" s="2962"/>
      <c r="R49" s="2883"/>
      <c r="S49" s="2883"/>
      <c r="T49" s="2883"/>
      <c r="U49" s="2883"/>
      <c r="V49" s="2883"/>
      <c r="W49" s="2883"/>
      <c r="X49" s="2883"/>
      <c r="Y49" s="2883"/>
      <c r="Z49" s="2883"/>
      <c r="AA49" s="2883"/>
      <c r="AB49" s="2883"/>
      <c r="AC49" s="2883"/>
      <c r="AD49" s="2883"/>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3"/>
      <c r="S50" s="2883"/>
      <c r="T50" s="2883"/>
      <c r="U50" s="2883"/>
      <c r="V50" s="2883"/>
      <c r="W50" s="2883"/>
      <c r="X50" s="2883"/>
      <c r="Y50" s="2883"/>
      <c r="Z50" s="2883"/>
      <c r="AA50" s="2883"/>
      <c r="AB50" s="2883"/>
      <c r="AC50" s="2883"/>
      <c r="AD50" s="2883"/>
    </row>
    <row r="51" spans="1:30">
      <c r="A51" s="484" t="s">
        <v>2409</v>
      </c>
      <c r="B51" s="485" t="s">
        <v>2375</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2561</v>
      </c>
      <c r="C63" s="535" t="s">
        <v>2418</v>
      </c>
      <c r="D63" s="535" t="s">
        <v>2419</v>
      </c>
      <c r="E63" s="535" t="s">
        <v>2420</v>
      </c>
      <c r="F63" s="535" t="s">
        <v>2421</v>
      </c>
      <c r="G63" s="535" t="s">
        <v>2422</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2510</v>
      </c>
      <c r="C65" s="616" t="s">
        <v>2496</v>
      </c>
      <c r="D65" s="616" t="s">
        <v>2497</v>
      </c>
      <c r="E65" s="616" t="s">
        <v>2498</v>
      </c>
      <c r="F65" s="616" t="s">
        <v>2499</v>
      </c>
      <c r="G65" s="616" t="s">
        <v>2500</v>
      </c>
      <c r="H65" s="496"/>
      <c r="I65" s="496"/>
      <c r="J65" s="496"/>
      <c r="K65" s="496"/>
      <c r="L65" s="496"/>
      <c r="M65" s="1291"/>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2430</v>
      </c>
      <c r="C67" s="535" t="s">
        <v>2418</v>
      </c>
      <c r="D67" s="535" t="s">
        <v>2419</v>
      </c>
      <c r="E67" s="535" t="s">
        <v>2420</v>
      </c>
      <c r="F67" s="535" t="s">
        <v>2421</v>
      </c>
      <c r="G67" s="535" t="s">
        <v>2422</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2550</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3"/>
      <c r="S71" s="2883"/>
      <c r="T71" s="2883"/>
      <c r="U71" s="2883"/>
      <c r="V71" s="2883"/>
      <c r="W71" s="2883"/>
      <c r="X71" s="2883"/>
      <c r="Y71" s="2883"/>
      <c r="Z71" s="2883"/>
      <c r="AA71" s="2883"/>
      <c r="AB71" s="2883"/>
      <c r="AC71" s="2883"/>
      <c r="AD71" s="2883"/>
    </row>
    <row r="72" spans="1:30" s="113" customFormat="1" ht="15.75" thickBot="1">
      <c r="A72" s="536"/>
      <c r="B72" s="500"/>
      <c r="C72" s="517"/>
      <c r="D72" s="493"/>
      <c r="E72" s="493"/>
      <c r="F72" s="493"/>
      <c r="G72" s="493"/>
      <c r="H72" s="493"/>
      <c r="I72" s="493"/>
      <c r="J72" s="493"/>
      <c r="K72" s="493"/>
      <c r="L72" s="493"/>
      <c r="M72" s="494"/>
      <c r="N72" s="2977"/>
      <c r="O72" s="2977"/>
      <c r="P72" s="3001"/>
      <c r="Q72" s="2962"/>
      <c r="R72" s="2883"/>
      <c r="S72" s="2883"/>
      <c r="T72" s="2883"/>
      <c r="U72" s="2883"/>
      <c r="V72" s="2883"/>
      <c r="W72" s="2883"/>
      <c r="X72" s="2883"/>
      <c r="Y72" s="2883"/>
      <c r="Z72" s="2883"/>
      <c r="AA72" s="2883"/>
      <c r="AB72" s="2883"/>
      <c r="AC72" s="2883"/>
      <c r="AD72" s="2883"/>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3"/>
      <c r="S73" s="2883"/>
      <c r="T73" s="2883"/>
      <c r="U73" s="2883"/>
      <c r="V73" s="2883"/>
      <c r="W73" s="2883"/>
      <c r="X73" s="2883"/>
      <c r="Y73" s="2883"/>
      <c r="Z73" s="2883"/>
      <c r="AA73" s="2883"/>
      <c r="AB73" s="2883"/>
      <c r="AC73" s="2883"/>
      <c r="AD73" s="2883"/>
    </row>
    <row r="74" spans="1:30" s="113" customFormat="1" ht="15.75" thickBot="1">
      <c r="A74" s="536"/>
      <c r="B74" s="500"/>
      <c r="C74" s="517"/>
      <c r="D74" s="493"/>
      <c r="E74" s="493"/>
      <c r="F74" s="493"/>
      <c r="G74" s="493"/>
      <c r="H74" s="493"/>
      <c r="I74" s="493"/>
      <c r="J74" s="493"/>
      <c r="K74" s="493"/>
      <c r="L74" s="493"/>
      <c r="M74" s="494"/>
      <c r="N74" s="2977"/>
      <c r="O74" s="2977"/>
      <c r="P74" s="3001"/>
      <c r="Q74" s="2962"/>
      <c r="R74" s="2883"/>
      <c r="S74" s="2883"/>
      <c r="T74" s="2883"/>
      <c r="U74" s="2883"/>
      <c r="V74" s="2883"/>
      <c r="W74" s="2883"/>
      <c r="X74" s="2883"/>
      <c r="Y74" s="2883"/>
      <c r="Z74" s="2883"/>
      <c r="AA74" s="2883"/>
      <c r="AB74" s="2883"/>
      <c r="AC74" s="2883"/>
      <c r="AD74" s="2883"/>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2384</v>
      </c>
      <c r="B77" s="485" t="s">
        <v>2437</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2554</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2562</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2564</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7"/>
      <c r="B98" s="1067"/>
      <c r="C98" s="1067"/>
      <c r="D98" s="1067"/>
      <c r="E98" s="1067"/>
      <c r="F98" s="1067"/>
      <c r="G98" s="1067"/>
      <c r="H98" s="1067"/>
      <c r="I98" s="1067"/>
      <c r="J98" s="1067"/>
      <c r="K98" s="1068"/>
      <c r="L98" s="1069"/>
      <c r="M98" s="1067"/>
      <c r="N98" s="2948"/>
      <c r="O98" s="2948"/>
      <c r="P98" s="2948"/>
      <c r="Q98" s="2948"/>
      <c r="R98" s="2948"/>
      <c r="S98" s="2948"/>
      <c r="T98" s="2948"/>
      <c r="U98" s="2948"/>
      <c r="V98" s="2948"/>
      <c r="W98" s="2948"/>
      <c r="X98" s="2948"/>
      <c r="Y98" s="2948"/>
      <c r="Z98" s="2948"/>
      <c r="AA98" s="2948"/>
      <c r="AB98" s="2948"/>
      <c r="AC98" s="2948"/>
      <c r="AD98" s="2948"/>
    </row>
    <row r="99" spans="1:30">
      <c r="A99" s="1067"/>
      <c r="B99" s="1067"/>
      <c r="C99" s="1067"/>
      <c r="D99" s="1067"/>
      <c r="E99" s="1067"/>
      <c r="F99" s="1067"/>
      <c r="G99" s="1067"/>
      <c r="H99" s="1067"/>
      <c r="I99" s="1067"/>
      <c r="J99" s="1067"/>
      <c r="K99" s="1068"/>
      <c r="L99" s="1069"/>
      <c r="M99" s="1067"/>
      <c r="N99" s="2948"/>
      <c r="O99" s="2948"/>
      <c r="P99" s="2948"/>
      <c r="Q99" s="2948"/>
      <c r="R99" s="2948"/>
      <c r="S99" s="2948"/>
      <c r="T99" s="2948"/>
      <c r="U99" s="2948"/>
      <c r="V99" s="2948"/>
      <c r="W99" s="2948"/>
      <c r="X99" s="2948"/>
      <c r="Y99" s="2948"/>
      <c r="Z99" s="2948"/>
      <c r="AA99" s="2948"/>
      <c r="AB99" s="2948"/>
      <c r="AC99" s="2948"/>
      <c r="AD99" s="2948"/>
    </row>
    <row r="100" spans="1:30">
      <c r="A100" s="1067"/>
      <c r="B100" s="1067"/>
      <c r="C100" s="1067"/>
      <c r="D100" s="1067"/>
      <c r="E100" s="1067"/>
      <c r="F100" s="1067"/>
      <c r="G100" s="1067"/>
      <c r="H100" s="1067"/>
      <c r="I100" s="1067"/>
      <c r="J100" s="1067"/>
      <c r="K100" s="1068"/>
      <c r="L100" s="1069"/>
      <c r="M100" s="1067"/>
      <c r="N100" s="2948"/>
      <c r="O100" s="2948"/>
      <c r="P100" s="2948"/>
      <c r="Q100" s="2948"/>
      <c r="R100" s="2948"/>
      <c r="S100" s="2948"/>
      <c r="T100" s="2948"/>
      <c r="U100" s="2948"/>
      <c r="V100" s="2948"/>
      <c r="W100" s="2948"/>
      <c r="X100" s="2948"/>
      <c r="Y100" s="2948"/>
      <c r="Z100" s="2948"/>
      <c r="AA100" s="2948"/>
      <c r="AB100" s="2948"/>
      <c r="AC100" s="2948"/>
      <c r="AD100" s="2948"/>
    </row>
    <row r="101" spans="1:30">
      <c r="A101" s="1067"/>
      <c r="B101" s="1067"/>
      <c r="C101" s="1067"/>
      <c r="D101" s="1067"/>
      <c r="E101" s="1067"/>
      <c r="F101" s="1067"/>
      <c r="G101" s="1067"/>
      <c r="H101" s="1067"/>
      <c r="I101" s="1067"/>
      <c r="J101" s="1067"/>
      <c r="K101" s="1068"/>
      <c r="L101" s="1069"/>
      <c r="M101" s="1067"/>
      <c r="N101" s="2948"/>
      <c r="O101" s="2948"/>
      <c r="P101" s="2948"/>
      <c r="Q101" s="2948"/>
      <c r="R101" s="2948"/>
      <c r="S101" s="2948"/>
      <c r="T101" s="2948"/>
      <c r="U101" s="2948"/>
      <c r="V101" s="2948"/>
      <c r="W101" s="2948"/>
      <c r="X101" s="2948"/>
      <c r="Y101" s="2948"/>
      <c r="Z101" s="2948"/>
      <c r="AA101" s="2948"/>
      <c r="AB101" s="2948"/>
      <c r="AC101" s="2948"/>
      <c r="AD101" s="2948"/>
    </row>
    <row r="102" spans="1:30">
      <c r="A102" s="1067"/>
      <c r="B102" s="1067"/>
      <c r="C102" s="1067"/>
      <c r="D102" s="1067"/>
      <c r="E102" s="1067"/>
      <c r="F102" s="1067"/>
      <c r="G102" s="1067"/>
      <c r="H102" s="1067"/>
      <c r="I102" s="1067"/>
      <c r="J102" s="1067"/>
      <c r="K102" s="1068"/>
      <c r="L102" s="1069"/>
      <c r="M102" s="1067"/>
      <c r="N102" s="2948"/>
      <c r="O102" s="2948"/>
      <c r="P102" s="2948"/>
      <c r="Q102" s="2948"/>
      <c r="R102" s="2948"/>
      <c r="S102" s="2948"/>
      <c r="T102" s="2948"/>
      <c r="U102" s="2948"/>
      <c r="V102" s="2948"/>
      <c r="W102" s="2948"/>
      <c r="X102" s="2948"/>
      <c r="Y102" s="2948"/>
      <c r="Z102" s="2948"/>
      <c r="AA102" s="2948"/>
      <c r="AB102" s="2948"/>
      <c r="AC102" s="2948"/>
      <c r="AD102" s="2948"/>
    </row>
    <row r="103" spans="1:30">
      <c r="A103" s="1067"/>
      <c r="B103" s="1067"/>
      <c r="C103" s="1067"/>
      <c r="D103" s="1067"/>
      <c r="E103" s="1067"/>
      <c r="F103" s="1067"/>
      <c r="G103" s="1067"/>
      <c r="H103" s="1067"/>
      <c r="I103" s="1067"/>
      <c r="J103" s="1067"/>
      <c r="K103" s="1068"/>
      <c r="L103" s="1069"/>
      <c r="M103" s="1067"/>
      <c r="N103" s="1067"/>
      <c r="O103" s="1067"/>
      <c r="P103" s="2948"/>
      <c r="Q103" s="2948"/>
      <c r="R103" s="2948"/>
      <c r="S103" s="2948"/>
      <c r="T103" s="2948"/>
      <c r="U103" s="2948"/>
      <c r="V103" s="2948"/>
      <c r="W103" s="2948"/>
      <c r="X103" s="2948"/>
      <c r="Y103" s="2948"/>
      <c r="Z103" s="2948"/>
      <c r="AA103" s="2948"/>
      <c r="AB103" s="2948"/>
      <c r="AC103" s="2948"/>
      <c r="AD103" s="2948"/>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57"/>
      <c r="M2" s="2958"/>
      <c r="N2" s="2958"/>
      <c r="O2" s="2958"/>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30" ht="15">
      <c r="A4" s="361" t="s">
        <v>2466</v>
      </c>
      <c r="B4" s="362"/>
      <c r="C4" s="3306" t="s">
        <v>2467</v>
      </c>
      <c r="D4" s="3307"/>
      <c r="E4" s="3308" t="s">
        <v>2468</v>
      </c>
      <c r="F4" s="3309"/>
      <c r="G4" s="3306" t="s">
        <v>2469</v>
      </c>
      <c r="H4" s="3307"/>
      <c r="I4" s="3306" t="s">
        <v>2470</v>
      </c>
      <c r="J4" s="3307"/>
      <c r="K4" s="567" t="s">
        <v>2471</v>
      </c>
      <c r="L4" s="2938"/>
      <c r="M4" s="2939"/>
      <c r="N4" s="2939"/>
      <c r="O4" s="2939"/>
      <c r="P4" s="3310" t="s">
        <v>2472</v>
      </c>
      <c r="Q4" s="3311"/>
      <c r="R4" s="3316" t="s">
        <v>2468</v>
      </c>
      <c r="S4" s="3317"/>
      <c r="T4" s="3316" t="s">
        <v>2469</v>
      </c>
      <c r="U4" s="3317"/>
      <c r="V4" s="3322" t="s">
        <v>2470</v>
      </c>
      <c r="W4" s="3322"/>
      <c r="X4" s="1539"/>
      <c r="Y4" s="3316" t="s">
        <v>2472</v>
      </c>
      <c r="Z4" s="3317"/>
      <c r="AA4" s="3303" t="s">
        <v>2468</v>
      </c>
      <c r="AB4" s="3304" t="s">
        <v>2469</v>
      </c>
      <c r="AC4" s="3303" t="s">
        <v>2470</v>
      </c>
    </row>
    <row r="5" spans="1:30" ht="15">
      <c r="A5" s="364"/>
      <c r="B5" s="365"/>
      <c r="C5" s="3325" t="s">
        <v>2363</v>
      </c>
      <c r="D5" s="3326"/>
      <c r="E5" s="3332" t="s">
        <v>2364</v>
      </c>
      <c r="F5" s="3333"/>
      <c r="G5" s="3325" t="s">
        <v>2365</v>
      </c>
      <c r="H5" s="3326"/>
      <c r="I5" s="3325" t="s">
        <v>2366</v>
      </c>
      <c r="J5" s="3326"/>
      <c r="K5" s="567"/>
      <c r="L5" s="2938"/>
      <c r="M5" s="2939"/>
      <c r="N5" s="2939"/>
      <c r="O5" s="2939"/>
      <c r="P5" s="3312"/>
      <c r="Q5" s="3313"/>
      <c r="R5" s="3318"/>
      <c r="S5" s="3319"/>
      <c r="T5" s="3318"/>
      <c r="U5" s="3319"/>
      <c r="V5" s="3322"/>
      <c r="W5" s="3322"/>
      <c r="X5" s="1539"/>
      <c r="Y5" s="3318"/>
      <c r="Z5" s="3319"/>
      <c r="AA5" s="3304"/>
      <c r="AB5" s="3304"/>
      <c r="AC5" s="3304"/>
    </row>
    <row r="6" spans="1:30" ht="15.75" thickBot="1">
      <c r="A6" s="366"/>
      <c r="B6" s="367"/>
      <c r="C6" s="3323" t="s">
        <v>2367</v>
      </c>
      <c r="D6" s="3324"/>
      <c r="E6" s="3330" t="s">
        <v>2367</v>
      </c>
      <c r="F6" s="3331"/>
      <c r="G6" s="3323" t="s">
        <v>2367</v>
      </c>
      <c r="H6" s="3324"/>
      <c r="I6" s="3323" t="s">
        <v>2367</v>
      </c>
      <c r="J6" s="3324"/>
      <c r="K6" s="567" t="s">
        <v>2368</v>
      </c>
      <c r="L6" s="2938"/>
      <c r="M6" s="2939"/>
      <c r="N6" s="2939"/>
      <c r="O6" s="2939"/>
      <c r="P6" s="3314"/>
      <c r="Q6" s="3315"/>
      <c r="R6" s="3318"/>
      <c r="S6" s="3319"/>
      <c r="T6" s="3320"/>
      <c r="U6" s="3321"/>
      <c r="V6" s="3322"/>
      <c r="W6" s="3322"/>
      <c r="X6" s="1539"/>
      <c r="Y6" s="3320"/>
      <c r="Z6" s="3321"/>
      <c r="AA6" s="3305"/>
      <c r="AB6" s="3305"/>
      <c r="AC6" s="3305"/>
    </row>
    <row r="7" spans="1:30" s="113" customFormat="1" ht="15.75" thickBot="1">
      <c r="A7" s="368" t="s">
        <v>2369</v>
      </c>
      <c r="B7" s="369"/>
      <c r="C7" s="370">
        <f>'数据-取费表'!B2</f>
        <v>44454</v>
      </c>
      <c r="D7" s="371">
        <v>100</v>
      </c>
      <c r="E7" s="372"/>
      <c r="F7" s="373">
        <f>SUMIF(70:70,YEAR(E7)&amp;"-"&amp;INT((MONTH(E7)+2)/3),71:71)</f>
        <v>0</v>
      </c>
      <c r="G7" s="2160"/>
      <c r="H7" s="371">
        <f>SUMIF(70:70,YEAR(G7)&amp;"-"&amp;INT((MONTH(G7)+2)/3),71:71)</f>
        <v>0</v>
      </c>
      <c r="I7" s="2160"/>
      <c r="J7" s="371">
        <f>SUMIF(70:70,YEAR(I7)&amp;"-"&amp;INT((MONTH(I7)+2)/3),71:71)</f>
        <v>0</v>
      </c>
      <c r="K7" s="568"/>
      <c r="L7" s="2940"/>
      <c r="M7" s="2941"/>
      <c r="N7" s="2941"/>
      <c r="O7" s="2941"/>
      <c r="P7" s="3327" t="s">
        <v>2370</v>
      </c>
      <c r="Q7" s="3329"/>
      <c r="R7" s="710" t="s">
        <v>17</v>
      </c>
      <c r="S7" s="711">
        <f t="shared" ref="S7:S15" si="0">F7</f>
        <v>0</v>
      </c>
      <c r="T7" s="710" t="s">
        <v>17</v>
      </c>
      <c r="U7" s="711">
        <f t="shared" ref="U7:U15" si="1">H7</f>
        <v>0</v>
      </c>
      <c r="V7" s="710" t="s">
        <v>17</v>
      </c>
      <c r="W7" s="711">
        <f t="shared" ref="W7:W15" si="2">J7</f>
        <v>0</v>
      </c>
      <c r="X7" s="712"/>
      <c r="Y7" s="3327" t="s">
        <v>2370</v>
      </c>
      <c r="Z7" s="3328"/>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327" t="s">
        <v>2373</v>
      </c>
      <c r="Q8" s="3328"/>
      <c r="R8" s="710" t="s">
        <v>17</v>
      </c>
      <c r="S8" s="711">
        <f t="shared" si="0"/>
        <v>0</v>
      </c>
      <c r="T8" s="710" t="s">
        <v>17</v>
      </c>
      <c r="U8" s="711">
        <f t="shared" si="1"/>
        <v>0</v>
      </c>
      <c r="V8" s="710" t="s">
        <v>17</v>
      </c>
      <c r="W8" s="711">
        <f t="shared" si="2"/>
        <v>0</v>
      </c>
      <c r="X8" s="712"/>
      <c r="Y8" s="3327" t="s">
        <v>2373</v>
      </c>
      <c r="Z8" s="3328"/>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0"/>
      <c r="M9" s="2941"/>
      <c r="N9" s="2941"/>
      <c r="O9" s="2995"/>
      <c r="P9" s="3291" t="s">
        <v>2376</v>
      </c>
      <c r="Q9" s="1527" t="str">
        <f t="shared" ref="Q9:Q15" si="6">B9</f>
        <v>用途</v>
      </c>
      <c r="R9" s="710" t="s">
        <v>17</v>
      </c>
      <c r="S9" s="711">
        <f t="shared" si="0"/>
        <v>100</v>
      </c>
      <c r="T9" s="710" t="s">
        <v>17</v>
      </c>
      <c r="U9" s="711">
        <f t="shared" si="1"/>
        <v>100</v>
      </c>
      <c r="V9" s="710" t="s">
        <v>17</v>
      </c>
      <c r="W9" s="711">
        <f t="shared" si="2"/>
        <v>100</v>
      </c>
      <c r="X9" s="712"/>
      <c r="Y9" s="3161"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102</v>
      </c>
      <c r="G10" s="422"/>
      <c r="H10" s="132">
        <f>ROUND(100/'数据-取费表'!G16,0)</f>
        <v>102</v>
      </c>
      <c r="I10" s="422"/>
      <c r="J10" s="132">
        <f>ROUND(100/'数据-取费表'!G16,0)</f>
        <v>102</v>
      </c>
      <c r="K10" s="628"/>
      <c r="L10" s="2942"/>
      <c r="M10" s="2943"/>
      <c r="N10" s="2943"/>
      <c r="O10" s="2996"/>
      <c r="P10" s="3291"/>
      <c r="Q10" s="1527" t="str">
        <f t="shared" si="6"/>
        <v>土地使用年限（年）</v>
      </c>
      <c r="R10" s="710" t="s">
        <v>17</v>
      </c>
      <c r="S10" s="711">
        <f t="shared" si="0"/>
        <v>102</v>
      </c>
      <c r="T10" s="710" t="s">
        <v>17</v>
      </c>
      <c r="U10" s="711">
        <f t="shared" si="1"/>
        <v>102</v>
      </c>
      <c r="V10" s="710" t="s">
        <v>17</v>
      </c>
      <c r="W10" s="711">
        <f t="shared" si="2"/>
        <v>102</v>
      </c>
      <c r="X10" s="712"/>
      <c r="Y10" s="3161"/>
      <c r="Z10" s="55" t="str">
        <f t="shared" si="7"/>
        <v>土地使用年限（年）</v>
      </c>
      <c r="AA10" s="713">
        <f t="shared" si="3"/>
        <v>0.98039215686274506</v>
      </c>
      <c r="AB10" s="713">
        <f t="shared" si="4"/>
        <v>0.98039215686274506</v>
      </c>
      <c r="AC10" s="713">
        <f t="shared" si="5"/>
        <v>0.98039215686274506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291"/>
      <c r="Q11" s="1527" t="str">
        <f t="shared" si="6"/>
        <v>容积率</v>
      </c>
      <c r="R11" s="710" t="s">
        <v>17</v>
      </c>
      <c r="S11" s="711" t="e">
        <f t="shared" si="0"/>
        <v>#N/A</v>
      </c>
      <c r="T11" s="710" t="s">
        <v>17</v>
      </c>
      <c r="U11" s="711" t="e">
        <f t="shared" si="1"/>
        <v>#N/A</v>
      </c>
      <c r="V11" s="710" t="s">
        <v>17</v>
      </c>
      <c r="W11" s="711" t="e">
        <f t="shared" si="2"/>
        <v>#N/A</v>
      </c>
      <c r="X11" s="712"/>
      <c r="Y11" s="3161"/>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291"/>
      <c r="Q12" s="1527" t="str">
        <f t="shared" si="6"/>
        <v>配建</v>
      </c>
      <c r="R12" s="710" t="s">
        <v>17</v>
      </c>
      <c r="S12" s="711">
        <f t="shared" si="0"/>
        <v>100</v>
      </c>
      <c r="T12" s="710" t="s">
        <v>17</v>
      </c>
      <c r="U12" s="711">
        <f t="shared" si="1"/>
        <v>100</v>
      </c>
      <c r="V12" s="710" t="s">
        <v>17</v>
      </c>
      <c r="W12" s="711">
        <f t="shared" si="2"/>
        <v>100</v>
      </c>
      <c r="X12" s="712"/>
      <c r="Y12" s="3161"/>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291"/>
      <c r="Q13" s="1527">
        <f t="shared" si="6"/>
        <v>111</v>
      </c>
      <c r="R13" s="710" t="s">
        <v>17</v>
      </c>
      <c r="S13" s="711">
        <f t="shared" si="0"/>
        <v>100</v>
      </c>
      <c r="T13" s="710" t="s">
        <v>17</v>
      </c>
      <c r="U13" s="711">
        <f t="shared" si="1"/>
        <v>100</v>
      </c>
      <c r="V13" s="710" t="s">
        <v>17</v>
      </c>
      <c r="W13" s="711">
        <f t="shared" si="2"/>
        <v>100</v>
      </c>
      <c r="X13" s="712"/>
      <c r="Y13" s="3161"/>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291"/>
      <c r="Q14" s="1527">
        <f t="shared" si="6"/>
        <v>111</v>
      </c>
      <c r="R14" s="710" t="s">
        <v>17</v>
      </c>
      <c r="S14" s="711">
        <f t="shared" si="0"/>
        <v>100</v>
      </c>
      <c r="T14" s="710" t="s">
        <v>17</v>
      </c>
      <c r="U14" s="711">
        <f t="shared" si="1"/>
        <v>100</v>
      </c>
      <c r="V14" s="710" t="s">
        <v>17</v>
      </c>
      <c r="W14" s="711">
        <f t="shared" si="2"/>
        <v>100</v>
      </c>
      <c r="X14" s="712"/>
      <c r="Y14" s="3161"/>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293" t="s">
        <v>2381</v>
      </c>
      <c r="Q15" s="1536" t="str">
        <f t="shared" si="6"/>
        <v>居住社区成熟度</v>
      </c>
      <c r="R15" s="714" t="s">
        <v>17</v>
      </c>
      <c r="S15" s="715">
        <f t="shared" si="0"/>
        <v>100</v>
      </c>
      <c r="T15" s="714" t="s">
        <v>17</v>
      </c>
      <c r="U15" s="715">
        <f t="shared" si="1"/>
        <v>100</v>
      </c>
      <c r="V15" s="714" t="s">
        <v>17</v>
      </c>
      <c r="W15" s="715">
        <f t="shared" si="2"/>
        <v>100</v>
      </c>
      <c r="X15" s="1539"/>
      <c r="Y15" s="3293"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5"/>
      <c r="M16" s="2939"/>
      <c r="N16" s="2939"/>
      <c r="O16" s="2997"/>
      <c r="P16" s="3294"/>
      <c r="Q16" s="1536"/>
      <c r="R16" s="714"/>
      <c r="S16" s="715"/>
      <c r="T16" s="714"/>
      <c r="U16" s="715"/>
      <c r="V16" s="714"/>
      <c r="W16" s="715"/>
      <c r="X16" s="1539"/>
      <c r="Y16" s="3294"/>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294"/>
      <c r="Q17" s="1536" t="str">
        <f>B17</f>
        <v>商业繁华度</v>
      </c>
      <c r="R17" s="714" t="s">
        <v>17</v>
      </c>
      <c r="S17" s="715">
        <f>F17</f>
        <v>100</v>
      </c>
      <c r="T17" s="714" t="s">
        <v>17</v>
      </c>
      <c r="U17" s="715">
        <f>H17</f>
        <v>100</v>
      </c>
      <c r="V17" s="714" t="s">
        <v>17</v>
      </c>
      <c r="W17" s="715">
        <f>J17</f>
        <v>100</v>
      </c>
      <c r="X17" s="1539"/>
      <c r="Y17" s="3294"/>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5"/>
      <c r="M18" s="2939"/>
      <c r="N18" s="2939"/>
      <c r="O18" s="2997"/>
      <c r="P18" s="3294"/>
      <c r="Q18" s="1536"/>
      <c r="R18" s="714"/>
      <c r="S18" s="715"/>
      <c r="T18" s="714"/>
      <c r="U18" s="715"/>
      <c r="V18" s="714"/>
      <c r="W18" s="715"/>
      <c r="X18" s="1539"/>
      <c r="Y18" s="3294"/>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294"/>
      <c r="Q19" s="1536" t="str">
        <f>B19</f>
        <v>办公集聚程度</v>
      </c>
      <c r="R19" s="714" t="s">
        <v>17</v>
      </c>
      <c r="S19" s="715">
        <f>F19</f>
        <v>100</v>
      </c>
      <c r="T19" s="714" t="s">
        <v>17</v>
      </c>
      <c r="U19" s="715">
        <f>H19</f>
        <v>100</v>
      </c>
      <c r="V19" s="714" t="s">
        <v>17</v>
      </c>
      <c r="W19" s="715">
        <f>J19</f>
        <v>100</v>
      </c>
      <c r="X19" s="1539"/>
      <c r="Y19" s="3294"/>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5"/>
      <c r="M20" s="2939"/>
      <c r="N20" s="2939"/>
      <c r="O20" s="2997"/>
      <c r="P20" s="3294"/>
      <c r="Q20" s="1536"/>
      <c r="R20" s="714"/>
      <c r="S20" s="715"/>
      <c r="T20" s="714"/>
      <c r="U20" s="715"/>
      <c r="V20" s="714"/>
      <c r="W20" s="715"/>
      <c r="X20" s="1539"/>
      <c r="Y20" s="3294"/>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294"/>
      <c r="Q21" s="1536" t="str">
        <f>B21</f>
        <v>交通便捷度</v>
      </c>
      <c r="R21" s="714" t="s">
        <v>17</v>
      </c>
      <c r="S21" s="715">
        <f>F21</f>
        <v>100</v>
      </c>
      <c r="T21" s="714" t="s">
        <v>17</v>
      </c>
      <c r="U21" s="715">
        <f>H21</f>
        <v>100</v>
      </c>
      <c r="V21" s="714" t="s">
        <v>17</v>
      </c>
      <c r="W21" s="715">
        <f>J21</f>
        <v>100</v>
      </c>
      <c r="X21" s="1539"/>
      <c r="Y21" s="3294"/>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5"/>
      <c r="M22" s="2939"/>
      <c r="N22" s="2939"/>
      <c r="O22" s="2997"/>
      <c r="P22" s="3294"/>
      <c r="Q22" s="1536"/>
      <c r="R22" s="714"/>
      <c r="S22" s="715"/>
      <c r="T22" s="714"/>
      <c r="U22" s="715"/>
      <c r="V22" s="714"/>
      <c r="W22" s="715"/>
      <c r="X22" s="1539"/>
      <c r="Y22" s="3294"/>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294"/>
      <c r="Q23" s="1536" t="str">
        <f t="shared" ref="Q23:Q37" si="8">B23</f>
        <v>区域土地利用方向</v>
      </c>
      <c r="R23" s="714" t="s">
        <v>17</v>
      </c>
      <c r="S23" s="715">
        <f>F23</f>
        <v>100</v>
      </c>
      <c r="T23" s="714" t="s">
        <v>17</v>
      </c>
      <c r="U23" s="715">
        <f>H23</f>
        <v>100</v>
      </c>
      <c r="V23" s="714" t="s">
        <v>17</v>
      </c>
      <c r="W23" s="715">
        <f>J23</f>
        <v>100</v>
      </c>
      <c r="X23" s="1539"/>
      <c r="Y23" s="3294"/>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5"/>
      <c r="M24" s="2939"/>
      <c r="N24" s="2939"/>
      <c r="O24" s="2997"/>
      <c r="P24" s="3294"/>
      <c r="Q24" s="1536"/>
      <c r="R24" s="714"/>
      <c r="S24" s="715"/>
      <c r="T24" s="714"/>
      <c r="U24" s="715"/>
      <c r="V24" s="714"/>
      <c r="W24" s="715"/>
      <c r="X24" s="1539"/>
      <c r="Y24" s="3294"/>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294"/>
      <c r="Q25" s="1536" t="str">
        <f t="shared" si="8"/>
        <v>自然及人文环境状况</v>
      </c>
      <c r="R25" s="714" t="s">
        <v>17</v>
      </c>
      <c r="S25" s="715">
        <f>F25</f>
        <v>100</v>
      </c>
      <c r="T25" s="714" t="s">
        <v>17</v>
      </c>
      <c r="U25" s="715">
        <f>H25</f>
        <v>100</v>
      </c>
      <c r="V25" s="714" t="s">
        <v>17</v>
      </c>
      <c r="W25" s="715">
        <f>J25</f>
        <v>100</v>
      </c>
      <c r="X25" s="1539"/>
      <c r="Y25" s="3294"/>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5"/>
      <c r="M26" s="2939"/>
      <c r="N26" s="2939"/>
      <c r="O26" s="2997"/>
      <c r="P26" s="3294"/>
      <c r="Q26" s="1536"/>
      <c r="R26" s="714"/>
      <c r="S26" s="715"/>
      <c r="T26" s="714"/>
      <c r="U26" s="715"/>
      <c r="V26" s="714"/>
      <c r="W26" s="715"/>
      <c r="X26" s="1539"/>
      <c r="Y26" s="3294"/>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294"/>
      <c r="Q27" s="1527" t="str">
        <f t="shared" si="8"/>
        <v>公共配套设施</v>
      </c>
      <c r="R27" s="710" t="s">
        <v>17</v>
      </c>
      <c r="S27" s="711">
        <f>F27</f>
        <v>100</v>
      </c>
      <c r="T27" s="710" t="s">
        <v>17</v>
      </c>
      <c r="U27" s="711">
        <f>H27</f>
        <v>100</v>
      </c>
      <c r="V27" s="710" t="s">
        <v>17</v>
      </c>
      <c r="W27" s="711">
        <f>J27</f>
        <v>100</v>
      </c>
      <c r="X27" s="712"/>
      <c r="Y27" s="3294"/>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0"/>
      <c r="M28" s="2941"/>
      <c r="N28" s="2941"/>
      <c r="O28" s="2995"/>
      <c r="P28" s="3294"/>
      <c r="Q28" s="1527"/>
      <c r="R28" s="710"/>
      <c r="S28" s="711"/>
      <c r="T28" s="710"/>
      <c r="U28" s="711"/>
      <c r="V28" s="710"/>
      <c r="W28" s="711"/>
      <c r="X28" s="712"/>
      <c r="Y28" s="3294"/>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294"/>
      <c r="Q29" s="1527" t="str">
        <f t="shared" ref="Q29" si="9">B29</f>
        <v>基础设施水平</v>
      </c>
      <c r="R29" s="710" t="s">
        <v>17</v>
      </c>
      <c r="S29" s="711">
        <f>F29</f>
        <v>100</v>
      </c>
      <c r="T29" s="710" t="s">
        <v>17</v>
      </c>
      <c r="U29" s="711">
        <f>H29</f>
        <v>100</v>
      </c>
      <c r="V29" s="710" t="s">
        <v>17</v>
      </c>
      <c r="W29" s="711">
        <f>J29</f>
        <v>100</v>
      </c>
      <c r="X29" s="712"/>
      <c r="Y29" s="3294"/>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0"/>
      <c r="M30" s="2941"/>
      <c r="N30" s="2941"/>
      <c r="O30" s="2995"/>
      <c r="P30" s="3294"/>
      <c r="Q30" s="1527"/>
      <c r="R30" s="710"/>
      <c r="S30" s="711"/>
      <c r="T30" s="710"/>
      <c r="U30" s="711"/>
      <c r="V30" s="710"/>
      <c r="W30" s="711"/>
      <c r="X30" s="712"/>
      <c r="Y30" s="3294"/>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294"/>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94"/>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294"/>
      <c r="Q32" s="1536" t="str">
        <f t="shared" si="8"/>
        <v>毗邻道路的类型与等级</v>
      </c>
      <c r="R32" s="714" t="s">
        <v>17</v>
      </c>
      <c r="S32" s="715">
        <f t="shared" si="10"/>
        <v>100</v>
      </c>
      <c r="T32" s="714" t="s">
        <v>17</v>
      </c>
      <c r="U32" s="715">
        <f t="shared" si="11"/>
        <v>100</v>
      </c>
      <c r="V32" s="714" t="s">
        <v>17</v>
      </c>
      <c r="W32" s="715">
        <f t="shared" si="12"/>
        <v>100</v>
      </c>
      <c r="X32" s="1539"/>
      <c r="Y32" s="3294"/>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5"/>
      <c r="M33" s="2939"/>
      <c r="N33" s="2939"/>
      <c r="O33" s="2997"/>
      <c r="P33" s="3294"/>
      <c r="Q33" s="1536"/>
      <c r="R33" s="714"/>
      <c r="S33" s="715"/>
      <c r="T33" s="714"/>
      <c r="U33" s="715"/>
      <c r="V33" s="714"/>
      <c r="W33" s="715"/>
      <c r="X33" s="1539"/>
      <c r="Y33" s="3294"/>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294"/>
      <c r="Q34" s="1536" t="str">
        <f t="shared" si="8"/>
        <v>土地级别</v>
      </c>
      <c r="R34" s="714" t="s">
        <v>17</v>
      </c>
      <c r="S34" s="715">
        <f t="shared" si="10"/>
        <v>100</v>
      </c>
      <c r="T34" s="714" t="s">
        <v>17</v>
      </c>
      <c r="U34" s="715">
        <f t="shared" si="11"/>
        <v>100</v>
      </c>
      <c r="V34" s="714" t="s">
        <v>17</v>
      </c>
      <c r="W34" s="715">
        <f t="shared" si="12"/>
        <v>100</v>
      </c>
      <c r="X34" s="1539"/>
      <c r="Y34" s="3294"/>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294"/>
      <c r="Q35" s="1536">
        <f t="shared" si="8"/>
        <v>111</v>
      </c>
      <c r="R35" s="714" t="s">
        <v>17</v>
      </c>
      <c r="S35" s="715">
        <f t="shared" si="10"/>
        <v>100</v>
      </c>
      <c r="T35" s="714" t="s">
        <v>17</v>
      </c>
      <c r="U35" s="715">
        <f t="shared" si="11"/>
        <v>100</v>
      </c>
      <c r="V35" s="714" t="s">
        <v>17</v>
      </c>
      <c r="W35" s="715">
        <f t="shared" si="12"/>
        <v>100</v>
      </c>
      <c r="X35" s="1539"/>
      <c r="Y35" s="3294"/>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349" t="s">
        <v>2386</v>
      </c>
      <c r="Q36" s="1536">
        <f t="shared" si="8"/>
        <v>111</v>
      </c>
      <c r="R36" s="714" t="s">
        <v>17</v>
      </c>
      <c r="S36" s="715">
        <f t="shared" si="10"/>
        <v>100</v>
      </c>
      <c r="T36" s="714" t="s">
        <v>17</v>
      </c>
      <c r="U36" s="715">
        <f t="shared" si="11"/>
        <v>100</v>
      </c>
      <c r="V36" s="714" t="s">
        <v>17</v>
      </c>
      <c r="W36" s="715">
        <f t="shared" si="12"/>
        <v>100</v>
      </c>
      <c r="X36" s="1539"/>
      <c r="Y36" s="3298"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298"/>
      <c r="Q37" s="1536">
        <f t="shared" si="8"/>
        <v>111</v>
      </c>
      <c r="R37" s="717" t="s">
        <v>17</v>
      </c>
      <c r="S37" s="718">
        <f t="shared" si="10"/>
        <v>100</v>
      </c>
      <c r="T37" s="717" t="s">
        <v>17</v>
      </c>
      <c r="U37" s="718">
        <f t="shared" si="11"/>
        <v>100</v>
      </c>
      <c r="V37" s="717" t="s">
        <v>17</v>
      </c>
      <c r="W37" s="718">
        <f t="shared" si="12"/>
        <v>100</v>
      </c>
      <c r="X37" s="719"/>
      <c r="Y37" s="3298"/>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298"/>
      <c r="Q38" s="1536" t="str">
        <f>B38</f>
        <v>宗地面积</v>
      </c>
      <c r="R38" s="714" t="s">
        <v>17</v>
      </c>
      <c r="S38" s="715" t="e">
        <f t="shared" si="10"/>
        <v>#N/A</v>
      </c>
      <c r="T38" s="714" t="s">
        <v>17</v>
      </c>
      <c r="U38" s="715" t="e">
        <f t="shared" si="11"/>
        <v>#N/A</v>
      </c>
      <c r="V38" s="714" t="s">
        <v>17</v>
      </c>
      <c r="W38" s="715" t="e">
        <f t="shared" si="12"/>
        <v>#N/A</v>
      </c>
      <c r="X38" s="1539"/>
      <c r="Y38" s="3298"/>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5"/>
      <c r="M39" s="2939"/>
      <c r="N39" s="2939"/>
      <c r="O39" s="2997"/>
      <c r="P39" s="3298"/>
      <c r="Q39" s="1536" t="str">
        <f t="shared" ref="Q39:Q45" si="14">B39</f>
        <v>宗地形状</v>
      </c>
      <c r="R39" s="714" t="s">
        <v>17</v>
      </c>
      <c r="S39" s="715">
        <f t="shared" si="10"/>
        <v>100</v>
      </c>
      <c r="T39" s="714" t="s">
        <v>17</v>
      </c>
      <c r="U39" s="715">
        <f t="shared" si="11"/>
        <v>100</v>
      </c>
      <c r="V39" s="714" t="s">
        <v>17</v>
      </c>
      <c r="W39" s="715">
        <f t="shared" si="12"/>
        <v>100</v>
      </c>
      <c r="X39" s="1539"/>
      <c r="Y39" s="3298"/>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5"/>
      <c r="M40" s="2939"/>
      <c r="N40" s="2939"/>
      <c r="O40" s="2997"/>
      <c r="P40" s="3298"/>
      <c r="Q40" s="1536" t="str">
        <f t="shared" si="14"/>
        <v>临街宽度及深度</v>
      </c>
      <c r="R40" s="714" t="s">
        <v>17</v>
      </c>
      <c r="S40" s="715">
        <f t="shared" si="10"/>
        <v>100</v>
      </c>
      <c r="T40" s="714" t="s">
        <v>17</v>
      </c>
      <c r="U40" s="715">
        <f t="shared" si="11"/>
        <v>100</v>
      </c>
      <c r="V40" s="714" t="s">
        <v>17</v>
      </c>
      <c r="W40" s="715">
        <f t="shared" si="12"/>
        <v>100</v>
      </c>
      <c r="X40" s="1539"/>
      <c r="Y40" s="3298"/>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0"/>
      <c r="M41" s="2941"/>
      <c r="N41" s="2941"/>
      <c r="O41" s="2995"/>
      <c r="P41" s="3298"/>
      <c r="Q41" s="1536" t="str">
        <f t="shared" si="14"/>
        <v>宗地开发程度</v>
      </c>
      <c r="R41" s="710" t="s">
        <v>17</v>
      </c>
      <c r="S41" s="711">
        <f t="shared" si="10"/>
        <v>100</v>
      </c>
      <c r="T41" s="710" t="s">
        <v>17</v>
      </c>
      <c r="U41" s="711">
        <f t="shared" si="11"/>
        <v>100</v>
      </c>
      <c r="V41" s="710" t="s">
        <v>17</v>
      </c>
      <c r="W41" s="711">
        <f t="shared" si="12"/>
        <v>100</v>
      </c>
      <c r="X41" s="712"/>
      <c r="Y41" s="3298"/>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5"/>
      <c r="M42" s="2939"/>
      <c r="N42" s="2939"/>
      <c r="O42" s="2997"/>
      <c r="P42" s="3298" t="s">
        <v>2386</v>
      </c>
      <c r="Q42" s="1536" t="str">
        <f t="shared" si="14"/>
        <v>工程地质条件</v>
      </c>
      <c r="R42" s="714" t="s">
        <v>17</v>
      </c>
      <c r="S42" s="715">
        <f t="shared" si="10"/>
        <v>100</v>
      </c>
      <c r="T42" s="714" t="s">
        <v>17</v>
      </c>
      <c r="U42" s="715">
        <f t="shared" si="11"/>
        <v>100</v>
      </c>
      <c r="V42" s="714" t="s">
        <v>17</v>
      </c>
      <c r="W42" s="715">
        <f t="shared" si="12"/>
        <v>100</v>
      </c>
      <c r="X42" s="1539"/>
      <c r="Y42" s="3298"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298"/>
      <c r="Q43" s="1536">
        <f t="shared" si="14"/>
        <v>111</v>
      </c>
      <c r="R43" s="714" t="s">
        <v>17</v>
      </c>
      <c r="S43" s="715">
        <f t="shared" si="10"/>
        <v>100</v>
      </c>
      <c r="T43" s="714" t="s">
        <v>17</v>
      </c>
      <c r="U43" s="715">
        <f t="shared" si="11"/>
        <v>100</v>
      </c>
      <c r="V43" s="714" t="s">
        <v>17</v>
      </c>
      <c r="W43" s="715">
        <f t="shared" si="12"/>
        <v>100</v>
      </c>
      <c r="X43" s="1539"/>
      <c r="Y43" s="3298"/>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298"/>
      <c r="Q44" s="1536">
        <f t="shared" si="14"/>
        <v>111</v>
      </c>
      <c r="R44" s="714" t="s">
        <v>17</v>
      </c>
      <c r="S44" s="715">
        <f t="shared" si="10"/>
        <v>100</v>
      </c>
      <c r="T44" s="714" t="s">
        <v>17</v>
      </c>
      <c r="U44" s="715">
        <f t="shared" si="11"/>
        <v>100</v>
      </c>
      <c r="V44" s="714" t="s">
        <v>17</v>
      </c>
      <c r="W44" s="715">
        <f t="shared" si="12"/>
        <v>100</v>
      </c>
      <c r="X44" s="1539"/>
      <c r="Y44" s="3298"/>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298"/>
      <c r="Q45" s="1536">
        <f t="shared" si="14"/>
        <v>111</v>
      </c>
      <c r="R45" s="717" t="s">
        <v>17</v>
      </c>
      <c r="S45" s="718">
        <f t="shared" si="10"/>
        <v>100</v>
      </c>
      <c r="T45" s="717" t="s">
        <v>17</v>
      </c>
      <c r="U45" s="718">
        <f t="shared" si="11"/>
        <v>100</v>
      </c>
      <c r="V45" s="717" t="s">
        <v>17</v>
      </c>
      <c r="W45" s="718">
        <f t="shared" si="12"/>
        <v>100</v>
      </c>
      <c r="X45" s="719"/>
      <c r="Y45" s="3298"/>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47"/>
      <c r="M46" s="2948"/>
      <c r="N46" s="2939"/>
      <c r="O46" s="2948"/>
      <c r="P46" s="3291" t="str">
        <f>A46</f>
        <v>成交单价</v>
      </c>
      <c r="Q46" s="3291"/>
      <c r="R46" s="3322">
        <f>E46</f>
        <v>0</v>
      </c>
      <c r="S46" s="3322"/>
      <c r="T46" s="3322">
        <f>G46</f>
        <v>0</v>
      </c>
      <c r="U46" s="3322"/>
      <c r="V46" s="3322">
        <f>I46</f>
        <v>0</v>
      </c>
      <c r="W46" s="3322"/>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47"/>
      <c r="M47" s="2948"/>
      <c r="N47" s="2948"/>
      <c r="O47" s="2948"/>
      <c r="P47" s="3291" t="str">
        <f>A47</f>
        <v>比较价值（元/平方米）</v>
      </c>
      <c r="Q47" s="3291"/>
      <c r="R47" s="3351" t="e">
        <f>ROUND(PRODUCT(R46,AA7:AA45),0)</f>
        <v>#DIV/0!</v>
      </c>
      <c r="S47" s="3351"/>
      <c r="T47" s="3351" t="e">
        <f>ROUND(PRODUCT(T46,AB7:AB45),0)</f>
        <v>#DIV/0!</v>
      </c>
      <c r="U47" s="3351"/>
      <c r="V47" s="3351" t="e">
        <f>ROUND(PRODUCT(V46,AC7:AC45),0)</f>
        <v>#DIV/0!</v>
      </c>
      <c r="W47" s="3351"/>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7"/>
      <c r="M48" s="2948"/>
      <c r="N48" s="2948"/>
      <c r="O48" s="2948"/>
      <c r="P48" s="3288" t="str">
        <f>A48</f>
        <v>估价对象XX用房的比较价值（楼面单价，元/平方米）</v>
      </c>
      <c r="Q48" s="3289"/>
      <c r="R48" s="3352" t="e">
        <f>ROUND(IF(D47="简单平均",AVERAGE(R47:W47),R47*F47+T47*H47+V47*J47),0)</f>
        <v>#DIV/0!</v>
      </c>
      <c r="S48" s="3352"/>
      <c r="T48" s="3352"/>
      <c r="U48" s="3352"/>
      <c r="V48" s="3352"/>
      <c r="W48" s="3352"/>
      <c r="X48" s="699"/>
      <c r="Y48" s="699"/>
      <c r="Z48" s="699"/>
      <c r="AA48" s="699"/>
      <c r="AB48" s="699"/>
      <c r="AC48" s="699"/>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2"/>
      <c r="D54" s="700"/>
      <c r="E54" s="700"/>
      <c r="F54" s="700"/>
      <c r="G54" s="700"/>
      <c r="H54" s="700"/>
      <c r="I54" s="700"/>
      <c r="J54" s="700"/>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2579</v>
      </c>
      <c r="B55" s="641" t="s">
        <v>2580</v>
      </c>
      <c r="C55" s="2169" t="s">
        <v>2581</v>
      </c>
      <c r="D55" s="2170" t="s">
        <v>2582</v>
      </c>
      <c r="E55" s="642" t="s">
        <v>2583</v>
      </c>
      <c r="F55" s="1021" t="s">
        <v>2584</v>
      </c>
      <c r="G55" s="3306" t="s">
        <v>2585</v>
      </c>
      <c r="H55" s="3353"/>
      <c r="I55" s="140" t="s">
        <v>2586</v>
      </c>
      <c r="J55" s="2171" t="str">
        <f>项目基本情况!F35</f>
        <v>辽宁省朝阳市</v>
      </c>
      <c r="K55" s="2172" t="s">
        <v>2587</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2588</v>
      </c>
      <c r="B56" s="645" t="e">
        <f>C48</f>
        <v>#DIV/0!</v>
      </c>
      <c r="C56" s="646">
        <v>1</v>
      </c>
      <c r="D56" s="1075">
        <v>1</v>
      </c>
      <c r="E56" s="646">
        <f>'数据-汇总表'!E8+'数据-汇总表'!E9</f>
        <v>28660.61</v>
      </c>
      <c r="F56" s="1017" t="e">
        <f t="shared" ref="F56:F65" si="15">ROUND(B56*E56/10000,0)</f>
        <v>#DIV/0!</v>
      </c>
      <c r="G56" s="3302"/>
      <c r="H56" s="3291"/>
      <c r="I56" s="1022">
        <v>1</v>
      </c>
      <c r="J56" s="1025">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2589</v>
      </c>
      <c r="B57" s="224" t="e">
        <f>ROUND($C$48*C57*D57,0)</f>
        <v>#DIV/0!</v>
      </c>
      <c r="C57" s="176">
        <f t="shared" ref="C57:C65" si="16">IF($C$55="北京市系数",I57,J57)</f>
        <v>0</v>
      </c>
      <c r="D57" s="1076">
        <v>0.25</v>
      </c>
      <c r="E57" s="650"/>
      <c r="F57" s="1017" t="e">
        <f t="shared" si="15"/>
        <v>#DIV/0!</v>
      </c>
      <c r="G57" s="3354" t="s">
        <v>2590</v>
      </c>
      <c r="H57" s="1018">
        <f>项目基本情况!B37</f>
        <v>0</v>
      </c>
      <c r="I57" s="1022">
        <f>SUMIF(修正!A45:A56,H57,修正!B45:B56)</f>
        <v>0</v>
      </c>
      <c r="J57" s="1026"/>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2591</v>
      </c>
      <c r="B58" s="224" t="e">
        <f t="shared" ref="B58:B65" si="17">ROUND($C$48*C58*D58,0)</f>
        <v>#DIV/0!</v>
      </c>
      <c r="C58" s="176">
        <f t="shared" si="16"/>
        <v>0</v>
      </c>
      <c r="D58" s="1076">
        <v>0.25</v>
      </c>
      <c r="E58" s="650"/>
      <c r="F58" s="1017" t="e">
        <f t="shared" si="15"/>
        <v>#DIV/0!</v>
      </c>
      <c r="G58" s="3354"/>
      <c r="H58" s="1018">
        <f>项目基本情况!B37</f>
        <v>0</v>
      </c>
      <c r="I58" s="1022">
        <f>SUMIF(修正!A45:A56,H58,修正!C45:C56)</f>
        <v>0</v>
      </c>
      <c r="J58" s="1026"/>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2592</v>
      </c>
      <c r="B59" s="224" t="e">
        <f t="shared" si="17"/>
        <v>#DIV/0!</v>
      </c>
      <c r="C59" s="176">
        <f t="shared" si="16"/>
        <v>0</v>
      </c>
      <c r="D59" s="1076">
        <v>0.25</v>
      </c>
      <c r="E59" s="650"/>
      <c r="F59" s="1017" t="e">
        <f t="shared" si="15"/>
        <v>#DIV/0!</v>
      </c>
      <c r="G59" s="3354"/>
      <c r="H59" s="1018">
        <f>项目基本情况!B37</f>
        <v>0</v>
      </c>
      <c r="I59" s="1022">
        <f>SUMIF(修正!A45:A56,H59,修正!D45:D56)</f>
        <v>0</v>
      </c>
      <c r="J59" s="1026"/>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2593</v>
      </c>
      <c r="B60" s="224" t="e">
        <f t="shared" si="17"/>
        <v>#DIV/0!</v>
      </c>
      <c r="C60" s="176">
        <f t="shared" si="16"/>
        <v>0</v>
      </c>
      <c r="D60" s="1076">
        <v>0.25</v>
      </c>
      <c r="E60" s="650"/>
      <c r="F60" s="1017" t="e">
        <f t="shared" si="15"/>
        <v>#DIV/0!</v>
      </c>
      <c r="G60" s="3354"/>
      <c r="H60" s="1018">
        <f>项目基本情况!B37</f>
        <v>0</v>
      </c>
      <c r="I60" s="1022">
        <f>SUMIF(修正!A45:A56,H60,修正!E45:E56)</f>
        <v>0</v>
      </c>
      <c r="J60" s="1026"/>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2602</v>
      </c>
      <c r="B66" s="652" t="s">
        <v>28</v>
      </c>
      <c r="C66" s="652" t="s">
        <v>29</v>
      </c>
      <c r="D66" s="652" t="s">
        <v>997</v>
      </c>
      <c r="E66" s="652">
        <f>IF(B46="楼面地价",SUM(E56:E65),'数据-汇总表'!D3)</f>
        <v>28660.61</v>
      </c>
      <c r="F66" s="653" t="e">
        <f>IF(B46="楼面地价",SUM(F56:F65),ROUND(C48*E66/10000,0))</f>
        <v>#DIV/0!</v>
      </c>
      <c r="G66" s="726"/>
      <c r="H66" s="726"/>
      <c r="I66" s="726"/>
      <c r="J66" s="726"/>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9"/>
      <c r="B67" s="701"/>
      <c r="C67" s="702"/>
      <c r="D67" s="699"/>
      <c r="E67" s="699"/>
      <c r="F67" s="699"/>
      <c r="G67" s="699"/>
      <c r="H67" s="699"/>
      <c r="I67" s="699"/>
      <c r="J67" s="1058"/>
      <c r="K67" s="1019"/>
      <c r="L67" s="1020"/>
      <c r="M67" s="1058"/>
      <c r="N67" s="1058"/>
      <c r="O67" s="1058"/>
      <c r="P67" s="2948"/>
      <c r="Q67" s="2948"/>
      <c r="R67" s="2948"/>
      <c r="S67" s="2948"/>
      <c r="T67" s="2948"/>
      <c r="U67" s="2948"/>
      <c r="V67" s="2948"/>
      <c r="W67" s="2948"/>
      <c r="X67" s="2948"/>
      <c r="Y67" s="2948"/>
      <c r="Z67" s="2948"/>
      <c r="AA67" s="2948"/>
      <c r="AB67" s="2948"/>
      <c r="AC67" s="2948"/>
    </row>
    <row r="68" spans="1:29">
      <c r="A68" s="699"/>
      <c r="B68" s="701"/>
      <c r="C68" s="701" t="str">
        <f>YEAR(C7)&amp;"-"&amp;MONTH(C7)&amp;"-1"</f>
        <v>2021-9-1</v>
      </c>
      <c r="D68" s="701">
        <f>EDATE(C68,-3)</f>
        <v>44348</v>
      </c>
      <c r="E68" s="701">
        <f>EDATE(D68,-3)</f>
        <v>44256</v>
      </c>
      <c r="F68" s="701">
        <f t="shared" ref="F68:O68" si="18">EDATE(E68,-3)</f>
        <v>44166</v>
      </c>
      <c r="G68" s="701">
        <f t="shared" si="18"/>
        <v>44075</v>
      </c>
      <c r="H68" s="701">
        <f t="shared" si="18"/>
        <v>43983</v>
      </c>
      <c r="I68" s="701">
        <f t="shared" si="18"/>
        <v>43891</v>
      </c>
      <c r="J68" s="701">
        <f t="shared" si="18"/>
        <v>43800</v>
      </c>
      <c r="K68" s="701">
        <f t="shared" si="18"/>
        <v>43709</v>
      </c>
      <c r="L68" s="701">
        <f t="shared" si="18"/>
        <v>43617</v>
      </c>
      <c r="M68" s="701">
        <f t="shared" si="18"/>
        <v>43525</v>
      </c>
      <c r="N68" s="701">
        <f t="shared" si="18"/>
        <v>43435</v>
      </c>
      <c r="O68" s="701">
        <f t="shared" si="18"/>
        <v>43344</v>
      </c>
      <c r="P68" s="2948"/>
      <c r="Q68" s="2948"/>
      <c r="R68" s="2948"/>
      <c r="S68" s="2948"/>
      <c r="T68" s="2948"/>
      <c r="U68" s="2948"/>
      <c r="V68" s="2948"/>
      <c r="W68" s="2948"/>
      <c r="X68" s="2948"/>
      <c r="Y68" s="2948"/>
      <c r="Z68" s="2948"/>
      <c r="AA68" s="2948"/>
      <c r="AB68" s="2948"/>
      <c r="AC68" s="2948"/>
    </row>
    <row r="69" spans="1:29" ht="21.75" thickBot="1">
      <c r="A69" s="703" t="s">
        <v>2495</v>
      </c>
      <c r="B69" s="699"/>
      <c r="C69" s="704"/>
      <c r="D69" s="704"/>
      <c r="E69" s="704"/>
      <c r="F69" s="705"/>
      <c r="G69" s="705"/>
      <c r="H69" s="704"/>
      <c r="I69" s="704"/>
      <c r="J69" s="1071"/>
      <c r="K69" s="1072"/>
      <c r="L69" s="1073"/>
      <c r="M69" s="1071"/>
      <c r="N69" s="2992"/>
      <c r="O69" s="2992"/>
      <c r="P69" s="2992"/>
      <c r="Q69" s="2962"/>
      <c r="R69" s="2948"/>
      <c r="S69" s="2948"/>
      <c r="T69" s="2948"/>
      <c r="U69" s="2948"/>
      <c r="V69" s="2948"/>
      <c r="W69" s="2948"/>
      <c r="X69" s="2948"/>
      <c r="Y69" s="2948"/>
      <c r="Z69" s="2948"/>
      <c r="AA69" s="2948"/>
      <c r="AB69" s="2948"/>
      <c r="AC69" s="2948"/>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2999"/>
      <c r="Q70" s="2964"/>
      <c r="R70" s="2964"/>
      <c r="S70" s="2964"/>
      <c r="T70" s="2964"/>
      <c r="U70" s="2964"/>
      <c r="V70" s="2964"/>
      <c r="W70" s="2964"/>
      <c r="X70" s="2964"/>
      <c r="Y70" s="2964"/>
      <c r="Z70" s="2964"/>
      <c r="AA70" s="2964"/>
      <c r="AB70" s="2964"/>
      <c r="AC70" s="2964"/>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2"/>
      <c r="Q71" s="2883"/>
      <c r="R71" s="2883"/>
      <c r="S71" s="2883"/>
      <c r="T71" s="2883"/>
      <c r="U71" s="2883"/>
      <c r="V71" s="2883"/>
      <c r="W71" s="2883"/>
      <c r="X71" s="2883"/>
      <c r="Y71" s="2883"/>
      <c r="Z71" s="2883"/>
      <c r="AA71" s="2883"/>
      <c r="AB71" s="2883"/>
      <c r="AC71" s="2883"/>
    </row>
    <row r="72" spans="1:29" s="113" customFormat="1" ht="15.75" thickBot="1">
      <c r="A72" s="472" t="s">
        <v>2406</v>
      </c>
      <c r="B72" s="473"/>
      <c r="C72" s="474"/>
      <c r="D72" s="475"/>
      <c r="E72" s="475"/>
      <c r="F72" s="475"/>
      <c r="G72" s="475"/>
      <c r="H72" s="475"/>
      <c r="I72" s="475"/>
      <c r="J72" s="475"/>
      <c r="K72" s="475"/>
      <c r="L72" s="475"/>
      <c r="M72" s="476"/>
      <c r="N72" s="475"/>
      <c r="O72" s="1074"/>
      <c r="P72" s="2962"/>
      <c r="Q72" s="2962"/>
      <c r="R72" s="2883"/>
      <c r="S72" s="2883"/>
      <c r="T72" s="2883"/>
      <c r="U72" s="2883"/>
      <c r="V72" s="2883"/>
      <c r="W72" s="2883"/>
      <c r="X72" s="2883"/>
      <c r="Y72" s="2883"/>
      <c r="Z72" s="2883"/>
      <c r="AA72" s="2883"/>
      <c r="AB72" s="2883"/>
      <c r="AC72" s="2883"/>
    </row>
    <row r="73" spans="1:29" s="113" customFormat="1" ht="15">
      <c r="A73" s="478" t="s">
        <v>2371</v>
      </c>
      <c r="B73" s="467"/>
      <c r="C73" s="479" t="s">
        <v>2473</v>
      </c>
      <c r="D73" s="480"/>
      <c r="E73" s="480"/>
      <c r="F73" s="480"/>
      <c r="G73" s="480"/>
      <c r="H73" s="480"/>
      <c r="I73" s="480"/>
      <c r="J73" s="480"/>
      <c r="K73" s="480"/>
      <c r="L73" s="481"/>
      <c r="M73" s="482"/>
      <c r="N73" s="2975"/>
      <c r="O73" s="2975"/>
      <c r="P73" s="3000"/>
      <c r="Q73" s="2962"/>
      <c r="R73" s="2883"/>
      <c r="S73" s="2883"/>
      <c r="T73" s="2883"/>
      <c r="U73" s="2883"/>
      <c r="V73" s="2883"/>
      <c r="W73" s="2883"/>
      <c r="X73" s="2883"/>
      <c r="Y73" s="2883"/>
      <c r="Z73" s="2883"/>
      <c r="AA73" s="2883"/>
      <c r="AB73" s="2883"/>
      <c r="AC73" s="2883"/>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3"/>
      <c r="S74" s="2883"/>
      <c r="T74" s="2883"/>
      <c r="U74" s="2883"/>
      <c r="V74" s="2883"/>
      <c r="W74" s="2883"/>
      <c r="X74" s="2883"/>
      <c r="Y74" s="2883"/>
      <c r="Z74" s="2883"/>
      <c r="AA74" s="2883"/>
      <c r="AB74" s="2883"/>
      <c r="AC74" s="2883"/>
    </row>
    <row r="75" spans="1:29">
      <c r="A75" s="484" t="s">
        <v>2409</v>
      </c>
      <c r="B75" s="485" t="s">
        <v>2375</v>
      </c>
      <c r="C75" s="487"/>
      <c r="D75" s="487"/>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2378</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2380</v>
      </c>
      <c r="B88" s="485" t="s">
        <v>2417</v>
      </c>
      <c r="C88" s="530" t="s">
        <v>2418</v>
      </c>
      <c r="D88" s="530" t="s">
        <v>2419</v>
      </c>
      <c r="E88" s="530" t="s">
        <v>2420</v>
      </c>
      <c r="F88" s="530" t="s">
        <v>2421</v>
      </c>
      <c r="G88" s="530" t="s">
        <v>2422</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2605</v>
      </c>
      <c r="C90" s="535" t="s">
        <v>2418</v>
      </c>
      <c r="D90" s="535" t="s">
        <v>2419</v>
      </c>
      <c r="E90" s="535" t="s">
        <v>2420</v>
      </c>
      <c r="F90" s="535" t="s">
        <v>2421</v>
      </c>
      <c r="G90" s="535" t="s">
        <v>2422</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2518</v>
      </c>
      <c r="C92" s="535" t="s">
        <v>2418</v>
      </c>
      <c r="D92" s="535" t="s">
        <v>2419</v>
      </c>
      <c r="E92" s="535" t="s">
        <v>2420</v>
      </c>
      <c r="F92" s="535" t="s">
        <v>2421</v>
      </c>
      <c r="G92" s="535" t="s">
        <v>2422</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2423</v>
      </c>
      <c r="C94" s="535" t="s">
        <v>2418</v>
      </c>
      <c r="D94" s="535" t="s">
        <v>2419</v>
      </c>
      <c r="E94" s="535" t="s">
        <v>2420</v>
      </c>
      <c r="F94" s="535" t="s">
        <v>2421</v>
      </c>
      <c r="G94" s="535" t="s">
        <v>2422</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5"/>
      <c r="O96" s="2975"/>
      <c r="P96" s="3001"/>
      <c r="Q96" s="2962"/>
      <c r="R96" s="2883"/>
      <c r="S96" s="2883"/>
      <c r="T96" s="2883"/>
      <c r="U96" s="2883"/>
      <c r="V96" s="2883"/>
      <c r="W96" s="2883"/>
      <c r="X96" s="2883"/>
      <c r="Y96" s="2883"/>
      <c r="Z96" s="2883"/>
      <c r="AA96" s="2883"/>
      <c r="AB96" s="2883"/>
      <c r="AC96" s="288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3"/>
      <c r="S97" s="2883"/>
      <c r="T97" s="2883"/>
      <c r="U97" s="2883"/>
      <c r="V97" s="2883"/>
      <c r="W97" s="2883"/>
      <c r="X97" s="2883"/>
      <c r="Y97" s="2883"/>
      <c r="Z97" s="2883"/>
      <c r="AA97" s="2883"/>
      <c r="AB97" s="2883"/>
      <c r="AC97" s="2883"/>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5"/>
      <c r="O98" s="2975"/>
      <c r="P98" s="3001"/>
      <c r="Q98" s="2962"/>
      <c r="R98" s="2883"/>
      <c r="S98" s="2883"/>
      <c r="T98" s="2883"/>
      <c r="U98" s="2883"/>
      <c r="V98" s="2883"/>
      <c r="W98" s="2883"/>
      <c r="X98" s="2883"/>
      <c r="Y98" s="2883"/>
      <c r="Z98" s="2883"/>
      <c r="AA98" s="2883"/>
      <c r="AB98" s="2883"/>
      <c r="AC98" s="288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3"/>
      <c r="S99" s="2883"/>
      <c r="T99" s="2883"/>
      <c r="U99" s="2883"/>
      <c r="V99" s="2883"/>
      <c r="W99" s="2883"/>
      <c r="X99" s="2883"/>
      <c r="Y99" s="2883"/>
      <c r="Z99" s="2883"/>
      <c r="AA99" s="2883"/>
      <c r="AB99" s="2883"/>
      <c r="AC99" s="2883"/>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2512</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2571</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2613</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2614</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2615</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2616</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C44" sqref="C4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f>F61</f>
        <v>3701</v>
      </c>
      <c r="C2" s="1039"/>
      <c r="D2" s="1039"/>
      <c r="E2" s="1039"/>
      <c r="F2" s="1040"/>
      <c r="G2" s="1039"/>
      <c r="H2" s="1039"/>
      <c r="I2" s="1039"/>
      <c r="J2" s="1039"/>
      <c r="K2" s="1041"/>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2150</v>
      </c>
      <c r="B3" s="566">
        <f>ROUND(IF(D3="",B2*10000/'数据-汇总表'!E3,B2*10000/D3),0)</f>
        <v>1291</v>
      </c>
      <c r="C3" s="209" t="s">
        <v>2567</v>
      </c>
      <c r="D3" s="1355"/>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29" ht="15">
      <c r="A4" s="361" t="s">
        <v>2466</v>
      </c>
      <c r="B4" s="362"/>
      <c r="C4" s="3306" t="s">
        <v>2467</v>
      </c>
      <c r="D4" s="3307"/>
      <c r="E4" s="3308" t="s">
        <v>2468</v>
      </c>
      <c r="F4" s="3309"/>
      <c r="G4" s="3306" t="s">
        <v>2469</v>
      </c>
      <c r="H4" s="3307"/>
      <c r="I4" s="3306" t="s">
        <v>2470</v>
      </c>
      <c r="J4" s="3307"/>
      <c r="K4" s="567" t="s">
        <v>2471</v>
      </c>
      <c r="L4" s="2938"/>
      <c r="M4" s="2939"/>
      <c r="N4" s="2939"/>
      <c r="O4" s="2939"/>
      <c r="P4" s="3310" t="s">
        <v>2472</v>
      </c>
      <c r="Q4" s="3311"/>
      <c r="R4" s="3316" t="s">
        <v>2468</v>
      </c>
      <c r="S4" s="3317"/>
      <c r="T4" s="3316" t="s">
        <v>2469</v>
      </c>
      <c r="U4" s="3317"/>
      <c r="V4" s="3322" t="s">
        <v>2470</v>
      </c>
      <c r="W4" s="3322"/>
      <c r="X4" s="1539"/>
      <c r="Y4" s="3316" t="s">
        <v>2472</v>
      </c>
      <c r="Z4" s="3317"/>
      <c r="AA4" s="3303" t="s">
        <v>2468</v>
      </c>
      <c r="AB4" s="3304" t="s">
        <v>2469</v>
      </c>
      <c r="AC4" s="3303" t="s">
        <v>2470</v>
      </c>
    </row>
    <row r="5" spans="1:29" ht="15">
      <c r="A5" s="364"/>
      <c r="B5" s="365"/>
      <c r="C5" s="3355" t="str">
        <f>项目基本情况!F10</f>
        <v>朝阳喀左经济开发区</v>
      </c>
      <c r="D5" s="3326"/>
      <c r="E5" s="3332" t="str">
        <f>土地案例!A2</f>
        <v>喀左县公营子镇端正村</v>
      </c>
      <c r="F5" s="3333"/>
      <c r="G5" s="3325" t="str">
        <f>土地案例!A4</f>
        <v>喀左县公营子镇端正、大垤卜村</v>
      </c>
      <c r="H5" s="3326"/>
      <c r="I5" s="3325" t="str">
        <f>土地案例!A5</f>
        <v>喀左县公营子镇土城子村</v>
      </c>
      <c r="J5" s="3326"/>
      <c r="K5" s="567"/>
      <c r="L5" s="2938"/>
      <c r="M5" s="2939"/>
      <c r="N5" s="2939"/>
      <c r="O5" s="2939"/>
      <c r="P5" s="3312"/>
      <c r="Q5" s="3313"/>
      <c r="R5" s="3318"/>
      <c r="S5" s="3319"/>
      <c r="T5" s="3318"/>
      <c r="U5" s="3319"/>
      <c r="V5" s="3322"/>
      <c r="W5" s="3322"/>
      <c r="X5" s="1539"/>
      <c r="Y5" s="3318"/>
      <c r="Z5" s="3319"/>
      <c r="AA5" s="3304"/>
      <c r="AB5" s="3304"/>
      <c r="AC5" s="3304"/>
    </row>
    <row r="6" spans="1:29" ht="15.75" thickBot="1">
      <c r="A6" s="366"/>
      <c r="B6" s="367"/>
      <c r="C6" s="3356" t="s">
        <v>2618</v>
      </c>
      <c r="D6" s="3357"/>
      <c r="E6" s="3358" t="s">
        <v>2618</v>
      </c>
      <c r="F6" s="3359"/>
      <c r="G6" s="3356" t="s">
        <v>2618</v>
      </c>
      <c r="H6" s="3357"/>
      <c r="I6" s="3356" t="s">
        <v>2618</v>
      </c>
      <c r="J6" s="3357"/>
      <c r="K6" s="567" t="s">
        <v>2368</v>
      </c>
      <c r="L6" s="2938"/>
      <c r="M6" s="2939"/>
      <c r="N6" s="2939"/>
      <c r="O6" s="2939"/>
      <c r="P6" s="3314"/>
      <c r="Q6" s="3315"/>
      <c r="R6" s="3318"/>
      <c r="S6" s="3319"/>
      <c r="T6" s="3320"/>
      <c r="U6" s="3321"/>
      <c r="V6" s="3322"/>
      <c r="W6" s="3322"/>
      <c r="X6" s="1539"/>
      <c r="Y6" s="3320"/>
      <c r="Z6" s="3321"/>
      <c r="AA6" s="3305"/>
      <c r="AB6" s="3305"/>
      <c r="AC6" s="3305"/>
    </row>
    <row r="7" spans="1:29" s="113" customFormat="1" ht="15.75" thickBot="1">
      <c r="A7" s="368" t="s">
        <v>2369</v>
      </c>
      <c r="B7" s="369"/>
      <c r="C7" s="370">
        <f>'数据-取费表'!B2</f>
        <v>44454</v>
      </c>
      <c r="D7" s="371">
        <v>100</v>
      </c>
      <c r="E7" s="372" t="str">
        <f>土地案例!AB2</f>
        <v>2021-07-05</v>
      </c>
      <c r="F7" s="373">
        <f>SUMIF(65:65,YEAR(E7)&amp;"-"&amp;INT((MONTH(E7)+2)/3),66:66)</f>
        <v>100</v>
      </c>
      <c r="G7" s="2160" t="str">
        <f>土地案例!AB4</f>
        <v>2021-07-05</v>
      </c>
      <c r="H7" s="371">
        <f>SUMIF(65:65,YEAR(G7)&amp;"-"&amp;INT((MONTH(G7)+2)/3),66:66)</f>
        <v>100</v>
      </c>
      <c r="I7" s="2160" t="str">
        <f>土地案例!AB5</f>
        <v>2021-07-05</v>
      </c>
      <c r="J7" s="371">
        <f>SUMIF(65:65,YEAR(I7)&amp;"-"&amp;INT((MONTH(I7)+2)/3),66:66)</f>
        <v>100</v>
      </c>
      <c r="K7" s="568"/>
      <c r="L7" s="2940"/>
      <c r="M7" s="2941"/>
      <c r="N7" s="2941"/>
      <c r="O7" s="2941"/>
      <c r="P7" s="3327" t="s">
        <v>2370</v>
      </c>
      <c r="Q7" s="3329"/>
      <c r="R7" s="710" t="s">
        <v>17</v>
      </c>
      <c r="S7" s="711">
        <f t="shared" ref="S7:S15" si="0">F7</f>
        <v>100</v>
      </c>
      <c r="T7" s="710" t="s">
        <v>17</v>
      </c>
      <c r="U7" s="711">
        <f t="shared" ref="U7:U15" si="1">H7</f>
        <v>100</v>
      </c>
      <c r="V7" s="710" t="s">
        <v>17</v>
      </c>
      <c r="W7" s="711">
        <f t="shared" ref="W7:W15" si="2">J7</f>
        <v>100</v>
      </c>
      <c r="X7" s="712"/>
      <c r="Y7" s="3327" t="s">
        <v>2370</v>
      </c>
      <c r="Z7" s="3328"/>
      <c r="AA7" s="713">
        <f>D7/F7</f>
        <v>1</v>
      </c>
      <c r="AB7" s="713">
        <f>D7/H7</f>
        <v>1</v>
      </c>
      <c r="AC7" s="713">
        <f>D7/J7</f>
        <v>1</v>
      </c>
    </row>
    <row r="8" spans="1:29" s="113" customFormat="1" ht="15.75" thickBot="1">
      <c r="A8" s="368" t="s">
        <v>2371</v>
      </c>
      <c r="B8" s="369"/>
      <c r="C8" s="374" t="s">
        <v>2372</v>
      </c>
      <c r="D8" s="371">
        <v>100</v>
      </c>
      <c r="E8" s="374" t="s">
        <v>3370</v>
      </c>
      <c r="F8" s="373">
        <f>SUMIF(68:68,E8,69:69)-SUMIF(68:68,C8,69:69)+100</f>
        <v>100</v>
      </c>
      <c r="G8" s="374" t="s">
        <v>3370</v>
      </c>
      <c r="H8" s="371">
        <f>SUMIF(68:68,G8,69:69)-SUMIF(68:68,C8,69:69)+100</f>
        <v>100</v>
      </c>
      <c r="I8" s="374" t="s">
        <v>3370</v>
      </c>
      <c r="J8" s="371">
        <f>SUMIF(68:68,I8,69:69)-SUMIF(68:68,C8,69:69)+100</f>
        <v>100</v>
      </c>
      <c r="K8" s="568"/>
      <c r="L8" s="2940"/>
      <c r="M8" s="2941"/>
      <c r="N8" s="2941"/>
      <c r="O8" s="2941"/>
      <c r="P8" s="3327" t="s">
        <v>2373</v>
      </c>
      <c r="Q8" s="3328"/>
      <c r="R8" s="710" t="s">
        <v>17</v>
      </c>
      <c r="S8" s="711">
        <f t="shared" si="0"/>
        <v>100</v>
      </c>
      <c r="T8" s="710" t="s">
        <v>17</v>
      </c>
      <c r="U8" s="711">
        <f t="shared" si="1"/>
        <v>100</v>
      </c>
      <c r="V8" s="710" t="s">
        <v>17</v>
      </c>
      <c r="W8" s="711">
        <f t="shared" si="2"/>
        <v>100</v>
      </c>
      <c r="X8" s="712"/>
      <c r="Y8" s="3327" t="s">
        <v>2373</v>
      </c>
      <c r="Z8" s="3328"/>
      <c r="AA8" s="713">
        <f t="shared" ref="AA8:AA40" si="3">D8/F8</f>
        <v>1</v>
      </c>
      <c r="AB8" s="713">
        <f t="shared" ref="AB8:AB40" si="4">D8/H8</f>
        <v>1</v>
      </c>
      <c r="AC8" s="713">
        <f t="shared" ref="AC8:AC40" si="5">D8/J8</f>
        <v>1</v>
      </c>
    </row>
    <row r="9" spans="1:29" s="113" customFormat="1">
      <c r="A9" s="375" t="s">
        <v>2374</v>
      </c>
      <c r="B9" s="67" t="s">
        <v>2375</v>
      </c>
      <c r="C9" s="2163" t="s">
        <v>6</v>
      </c>
      <c r="D9" s="131">
        <v>100</v>
      </c>
      <c r="E9" s="2163" t="s">
        <v>6</v>
      </c>
      <c r="F9" s="131">
        <f>SUMIF(70:70,E9,71:71)-SUMIF(70:70,C9,71:71)+100</f>
        <v>100</v>
      </c>
      <c r="G9" s="2163" t="s">
        <v>6</v>
      </c>
      <c r="H9" s="131">
        <f>SUMIF(70:70,G9,71:71)-SUMIF(70:70,C9,71:71)+100</f>
        <v>100</v>
      </c>
      <c r="I9" s="2163" t="s">
        <v>6</v>
      </c>
      <c r="J9" s="131">
        <f>SUMIF(70:70,I9,71:71)-SUMIF(70:70,C9,71:71)+100</f>
        <v>100</v>
      </c>
      <c r="K9" s="568"/>
      <c r="L9" s="2940"/>
      <c r="M9" s="2941"/>
      <c r="N9" s="2941"/>
      <c r="O9" s="2995"/>
      <c r="P9" s="3291" t="s">
        <v>2376</v>
      </c>
      <c r="Q9" s="1527" t="str">
        <f t="shared" ref="Q9:Q15" si="6">B9</f>
        <v>用途</v>
      </c>
      <c r="R9" s="710" t="s">
        <v>17</v>
      </c>
      <c r="S9" s="711">
        <f t="shared" si="0"/>
        <v>100</v>
      </c>
      <c r="T9" s="710" t="s">
        <v>17</v>
      </c>
      <c r="U9" s="711">
        <f t="shared" si="1"/>
        <v>100</v>
      </c>
      <c r="V9" s="710" t="s">
        <v>17</v>
      </c>
      <c r="W9" s="711">
        <f t="shared" si="2"/>
        <v>100</v>
      </c>
      <c r="X9" s="712"/>
      <c r="Y9" s="3161" t="s">
        <v>2377</v>
      </c>
      <c r="Z9" s="55" t="str">
        <f t="shared" ref="Z9:Z15" si="7">Q9</f>
        <v>用途</v>
      </c>
      <c r="AA9" s="713">
        <f t="shared" si="3"/>
        <v>1</v>
      </c>
      <c r="AB9" s="713">
        <f t="shared" si="4"/>
        <v>1</v>
      </c>
      <c r="AC9" s="713">
        <f t="shared" si="5"/>
        <v>1</v>
      </c>
    </row>
    <row r="10" spans="1:29" s="386" customFormat="1" ht="27">
      <c r="A10" s="380"/>
      <c r="B10" s="381" t="s">
        <v>2378</v>
      </c>
      <c r="C10" s="391">
        <f>项目基本情况!I15</f>
        <v>45.96</v>
      </c>
      <c r="D10" s="132">
        <v>100</v>
      </c>
      <c r="E10" s="391">
        <v>60</v>
      </c>
      <c r="F10" s="132">
        <f>ROUND(100/'数据-取费表'!G16,0)</f>
        <v>102</v>
      </c>
      <c r="G10" s="391">
        <v>60</v>
      </c>
      <c r="H10" s="132">
        <f>ROUND(100/'数据-取费表'!G16,0)</f>
        <v>102</v>
      </c>
      <c r="I10" s="391">
        <v>60</v>
      </c>
      <c r="J10" s="132">
        <f>ROUND(100/'数据-取费表'!G16,0)</f>
        <v>102</v>
      </c>
      <c r="K10" s="628"/>
      <c r="L10" s="2942"/>
      <c r="M10" s="2943"/>
      <c r="N10" s="2943"/>
      <c r="O10" s="2996"/>
      <c r="P10" s="3291"/>
      <c r="Q10" s="1527" t="str">
        <f t="shared" si="6"/>
        <v>土地使用年限（年）</v>
      </c>
      <c r="R10" s="710" t="s">
        <v>17</v>
      </c>
      <c r="S10" s="711">
        <f t="shared" si="0"/>
        <v>102</v>
      </c>
      <c r="T10" s="710" t="s">
        <v>17</v>
      </c>
      <c r="U10" s="711">
        <f t="shared" si="1"/>
        <v>102</v>
      </c>
      <c r="V10" s="710" t="s">
        <v>17</v>
      </c>
      <c r="W10" s="711">
        <f t="shared" si="2"/>
        <v>102</v>
      </c>
      <c r="X10" s="712"/>
      <c r="Y10" s="3161"/>
      <c r="Z10" s="55" t="str">
        <f t="shared" si="7"/>
        <v>土地使用年限（年）</v>
      </c>
      <c r="AA10" s="713">
        <f t="shared" si="3"/>
        <v>0.98039215686274506</v>
      </c>
      <c r="AB10" s="713">
        <f t="shared" si="4"/>
        <v>0.98039215686274506</v>
      </c>
      <c r="AC10" s="713">
        <f t="shared" si="5"/>
        <v>0.98039215686274506</v>
      </c>
    </row>
    <row r="11" spans="1:29" ht="15.75" thickBot="1">
      <c r="A11" s="387"/>
      <c r="B11" s="381" t="s">
        <v>2379</v>
      </c>
      <c r="C11" s="388">
        <f>'数据-汇总表'!I7</f>
        <v>0.83</v>
      </c>
      <c r="D11" s="132">
        <v>100</v>
      </c>
      <c r="E11" s="388">
        <v>0.8</v>
      </c>
      <c r="F11" s="132">
        <f>LOOKUP(E11,75:75,76:76)-LOOKUP(C11,75:75,76:76)+100</f>
        <v>100</v>
      </c>
      <c r="G11" s="388">
        <v>0.8</v>
      </c>
      <c r="H11" s="132">
        <f>LOOKUP(G11,75:75,76:76)-LOOKUP(C11,75:75,76:76)+100</f>
        <v>100</v>
      </c>
      <c r="I11" s="388">
        <v>0.8</v>
      </c>
      <c r="J11" s="132">
        <f>LOOKUP(I11,75:75,76:76)-LOOKUP(C11,75:75,76:76)+100</f>
        <v>100</v>
      </c>
      <c r="K11" s="629">
        <v>0.5</v>
      </c>
      <c r="L11" s="2944"/>
      <c r="M11" s="2939"/>
      <c r="N11" s="2939"/>
      <c r="O11" s="2997"/>
      <c r="P11" s="3291"/>
      <c r="Q11" s="1527" t="str">
        <f t="shared" si="6"/>
        <v>容积率</v>
      </c>
      <c r="R11" s="710" t="s">
        <v>17</v>
      </c>
      <c r="S11" s="711">
        <f t="shared" si="0"/>
        <v>100</v>
      </c>
      <c r="T11" s="710" t="s">
        <v>17</v>
      </c>
      <c r="U11" s="711">
        <f t="shared" si="1"/>
        <v>100</v>
      </c>
      <c r="V11" s="710" t="s">
        <v>17</v>
      </c>
      <c r="W11" s="711">
        <f t="shared" si="2"/>
        <v>100</v>
      </c>
      <c r="X11" s="712"/>
      <c r="Y11" s="3161"/>
      <c r="Z11" s="55" t="str">
        <f t="shared" si="7"/>
        <v>容积率</v>
      </c>
      <c r="AA11" s="713">
        <f t="shared" si="3"/>
        <v>1</v>
      </c>
      <c r="AB11" s="713">
        <f t="shared" si="4"/>
        <v>1</v>
      </c>
      <c r="AC11" s="713">
        <f t="shared" si="5"/>
        <v>1</v>
      </c>
    </row>
    <row r="12" spans="1:29" s="113" customFormat="1" ht="15" hidden="1">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291"/>
      <c r="Q12" s="1527">
        <f t="shared" si="6"/>
        <v>111</v>
      </c>
      <c r="R12" s="710" t="s">
        <v>17</v>
      </c>
      <c r="S12" s="711">
        <f t="shared" si="0"/>
        <v>100</v>
      </c>
      <c r="T12" s="710" t="s">
        <v>17</v>
      </c>
      <c r="U12" s="711">
        <f t="shared" si="1"/>
        <v>100</v>
      </c>
      <c r="V12" s="710" t="s">
        <v>17</v>
      </c>
      <c r="W12" s="711">
        <f t="shared" si="2"/>
        <v>100</v>
      </c>
      <c r="X12" s="712"/>
      <c r="Y12" s="3161"/>
      <c r="Z12" s="55">
        <f t="shared" si="7"/>
        <v>111</v>
      </c>
      <c r="AA12" s="713">
        <f>D12/F12</f>
        <v>1</v>
      </c>
      <c r="AB12" s="713">
        <f>D12/H12</f>
        <v>1</v>
      </c>
      <c r="AC12" s="713">
        <f>D12/J12</f>
        <v>1</v>
      </c>
    </row>
    <row r="13" spans="1:29" ht="15" hidden="1">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291"/>
      <c r="Q13" s="1527">
        <f t="shared" si="6"/>
        <v>111</v>
      </c>
      <c r="R13" s="710" t="s">
        <v>17</v>
      </c>
      <c r="S13" s="711">
        <f t="shared" si="0"/>
        <v>100</v>
      </c>
      <c r="T13" s="710" t="s">
        <v>17</v>
      </c>
      <c r="U13" s="711">
        <f t="shared" si="1"/>
        <v>100</v>
      </c>
      <c r="V13" s="710" t="s">
        <v>17</v>
      </c>
      <c r="W13" s="711">
        <f t="shared" si="2"/>
        <v>100</v>
      </c>
      <c r="X13" s="712"/>
      <c r="Y13" s="3161"/>
      <c r="Z13" s="55">
        <f t="shared" si="7"/>
        <v>111</v>
      </c>
      <c r="AA13" s="713">
        <f t="shared" si="3"/>
        <v>1</v>
      </c>
      <c r="AB13" s="713">
        <f t="shared" si="4"/>
        <v>1</v>
      </c>
      <c r="AC13" s="713">
        <f t="shared" si="5"/>
        <v>1</v>
      </c>
    </row>
    <row r="14" spans="1:29" ht="15.75" hidden="1"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291"/>
      <c r="Q14" s="1527">
        <f t="shared" si="6"/>
        <v>111</v>
      </c>
      <c r="R14" s="710" t="s">
        <v>17</v>
      </c>
      <c r="S14" s="711">
        <f t="shared" si="0"/>
        <v>100</v>
      </c>
      <c r="T14" s="710" t="s">
        <v>17</v>
      </c>
      <c r="U14" s="711">
        <f t="shared" si="1"/>
        <v>100</v>
      </c>
      <c r="V14" s="710" t="s">
        <v>17</v>
      </c>
      <c r="W14" s="711">
        <f t="shared" si="2"/>
        <v>100</v>
      </c>
      <c r="X14" s="712"/>
      <c r="Y14" s="3161"/>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45"/>
      <c r="M15" s="2939"/>
      <c r="N15" s="2939"/>
      <c r="O15" s="2997"/>
      <c r="P15" s="3293" t="s">
        <v>2381</v>
      </c>
      <c r="Q15" s="1536" t="str">
        <f t="shared" si="6"/>
        <v>产业集聚程度</v>
      </c>
      <c r="R15" s="714" t="s">
        <v>17</v>
      </c>
      <c r="S15" s="715">
        <f t="shared" si="0"/>
        <v>100</v>
      </c>
      <c r="T15" s="714" t="s">
        <v>17</v>
      </c>
      <c r="U15" s="715">
        <f t="shared" si="1"/>
        <v>100</v>
      </c>
      <c r="V15" s="714" t="s">
        <v>17</v>
      </c>
      <c r="W15" s="715">
        <f t="shared" si="2"/>
        <v>100</v>
      </c>
      <c r="X15" s="1539"/>
      <c r="Y15" s="3293" t="s">
        <v>2381</v>
      </c>
      <c r="Z15" s="1540" t="str">
        <f t="shared" si="7"/>
        <v>产业集聚程度</v>
      </c>
      <c r="AA15" s="1537">
        <f t="shared" si="3"/>
        <v>1</v>
      </c>
      <c r="AB15" s="1537">
        <f t="shared" si="4"/>
        <v>1</v>
      </c>
      <c r="AC15" s="1537">
        <f t="shared" si="5"/>
        <v>1</v>
      </c>
    </row>
    <row r="16" spans="1:29" ht="15">
      <c r="A16" s="387"/>
      <c r="B16" s="586"/>
      <c r="C16" s="406" t="s">
        <v>3369</v>
      </c>
      <c r="D16" s="407"/>
      <c r="E16" s="406" t="s">
        <v>3369</v>
      </c>
      <c r="F16" s="407"/>
      <c r="G16" s="406" t="s">
        <v>3369</v>
      </c>
      <c r="H16" s="409"/>
      <c r="I16" s="406" t="s">
        <v>3369</v>
      </c>
      <c r="J16" s="407"/>
      <c r="K16" s="628"/>
      <c r="L16" s="2945"/>
      <c r="M16" s="2939"/>
      <c r="N16" s="2939"/>
      <c r="O16" s="2997"/>
      <c r="P16" s="3294"/>
      <c r="Q16" s="1536"/>
      <c r="R16" s="714"/>
      <c r="S16" s="715"/>
      <c r="T16" s="714"/>
      <c r="U16" s="715"/>
      <c r="V16" s="714"/>
      <c r="W16" s="715"/>
      <c r="X16" s="1539"/>
      <c r="Y16" s="3294"/>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45"/>
      <c r="M17" s="2939"/>
      <c r="N17" s="2939"/>
      <c r="O17" s="2997"/>
      <c r="P17" s="3294"/>
      <c r="Q17" s="1536" t="str">
        <f>B17</f>
        <v>交通便捷度</v>
      </c>
      <c r="R17" s="714" t="s">
        <v>17</v>
      </c>
      <c r="S17" s="715">
        <f>F17</f>
        <v>100</v>
      </c>
      <c r="T17" s="714" t="s">
        <v>17</v>
      </c>
      <c r="U17" s="715">
        <f>H17</f>
        <v>100</v>
      </c>
      <c r="V17" s="714" t="s">
        <v>17</v>
      </c>
      <c r="W17" s="715">
        <f>J17</f>
        <v>100</v>
      </c>
      <c r="X17" s="1539"/>
      <c r="Y17" s="3294"/>
      <c r="Z17" s="1540" t="str">
        <f>Q17</f>
        <v>交通便捷度</v>
      </c>
      <c r="AA17" s="1537">
        <f t="shared" si="3"/>
        <v>1</v>
      </c>
      <c r="AB17" s="1537">
        <f t="shared" si="4"/>
        <v>1</v>
      </c>
      <c r="AC17" s="1537">
        <f t="shared" si="5"/>
        <v>1</v>
      </c>
    </row>
    <row r="18" spans="1:29" ht="15">
      <c r="A18" s="387"/>
      <c r="B18" s="588"/>
      <c r="C18" s="406" t="s">
        <v>3371</v>
      </c>
      <c r="D18" s="407"/>
      <c r="E18" s="406" t="s">
        <v>3371</v>
      </c>
      <c r="F18" s="407"/>
      <c r="G18" s="406" t="s">
        <v>3371</v>
      </c>
      <c r="H18" s="407"/>
      <c r="I18" s="406" t="s">
        <v>3371</v>
      </c>
      <c r="J18" s="407"/>
      <c r="K18" s="628"/>
      <c r="L18" s="2945"/>
      <c r="M18" s="2939"/>
      <c r="N18" s="2939"/>
      <c r="O18" s="2997"/>
      <c r="P18" s="3294"/>
      <c r="Q18" s="1536"/>
      <c r="R18" s="714"/>
      <c r="S18" s="715"/>
      <c r="T18" s="714"/>
      <c r="U18" s="715"/>
      <c r="V18" s="714"/>
      <c r="W18" s="715"/>
      <c r="X18" s="1539"/>
      <c r="Y18" s="3294"/>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1</v>
      </c>
      <c r="L19" s="2945"/>
      <c r="M19" s="2939"/>
      <c r="N19" s="2939"/>
      <c r="O19" s="2997"/>
      <c r="P19" s="3294"/>
      <c r="Q19" s="1536" t="str">
        <f t="shared" ref="Q19:Q33" si="8">B19</f>
        <v>区域土地利用方向</v>
      </c>
      <c r="R19" s="714" t="s">
        <v>17</v>
      </c>
      <c r="S19" s="715">
        <f>F19</f>
        <v>100</v>
      </c>
      <c r="T19" s="714" t="s">
        <v>17</v>
      </c>
      <c r="U19" s="715">
        <f>H19</f>
        <v>100</v>
      </c>
      <c r="V19" s="714" t="s">
        <v>17</v>
      </c>
      <c r="W19" s="715">
        <f>J19</f>
        <v>100</v>
      </c>
      <c r="X19" s="1539"/>
      <c r="Y19" s="3294"/>
      <c r="Z19" s="1540" t="str">
        <f>Q19</f>
        <v>区域土地利用方向</v>
      </c>
      <c r="AA19" s="1537">
        <f t="shared" si="3"/>
        <v>1</v>
      </c>
      <c r="AB19" s="1537">
        <f t="shared" si="4"/>
        <v>1</v>
      </c>
      <c r="AC19" s="1537">
        <f t="shared" si="5"/>
        <v>1</v>
      </c>
    </row>
    <row r="20" spans="1:29" ht="15">
      <c r="A20" s="364"/>
      <c r="B20" s="588"/>
      <c r="C20" s="406" t="s">
        <v>3369</v>
      </c>
      <c r="D20" s="407"/>
      <c r="E20" s="406" t="s">
        <v>3369</v>
      </c>
      <c r="F20" s="407"/>
      <c r="G20" s="406" t="s">
        <v>3369</v>
      </c>
      <c r="H20" s="407"/>
      <c r="I20" s="406" t="s">
        <v>3369</v>
      </c>
      <c r="J20" s="407"/>
      <c r="K20" s="751"/>
      <c r="L20" s="2945"/>
      <c r="M20" s="2939"/>
      <c r="N20" s="2939"/>
      <c r="O20" s="2997"/>
      <c r="P20" s="3294"/>
      <c r="Q20" s="1536"/>
      <c r="R20" s="714"/>
      <c r="S20" s="715"/>
      <c r="T20" s="714"/>
      <c r="U20" s="715"/>
      <c r="V20" s="714"/>
      <c r="W20" s="715"/>
      <c r="X20" s="1539"/>
      <c r="Y20" s="3294"/>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45"/>
      <c r="M21" s="2939"/>
      <c r="N21" s="2939"/>
      <c r="O21" s="2997"/>
      <c r="P21" s="3294"/>
      <c r="Q21" s="1536" t="str">
        <f t="shared" si="8"/>
        <v>环境状况</v>
      </c>
      <c r="R21" s="714" t="s">
        <v>17</v>
      </c>
      <c r="S21" s="715">
        <f>F21</f>
        <v>100</v>
      </c>
      <c r="T21" s="714" t="s">
        <v>17</v>
      </c>
      <c r="U21" s="715">
        <f>H21</f>
        <v>100</v>
      </c>
      <c r="V21" s="714" t="s">
        <v>17</v>
      </c>
      <c r="W21" s="715">
        <f>J21</f>
        <v>100</v>
      </c>
      <c r="X21" s="1539"/>
      <c r="Y21" s="3294"/>
      <c r="Z21" s="1540" t="str">
        <f>Q21</f>
        <v>环境状况</v>
      </c>
      <c r="AA21" s="1537">
        <f t="shared" si="3"/>
        <v>1</v>
      </c>
      <c r="AB21" s="1537">
        <f t="shared" si="4"/>
        <v>1</v>
      </c>
      <c r="AC21" s="1537">
        <f t="shared" si="5"/>
        <v>1</v>
      </c>
    </row>
    <row r="22" spans="1:29" ht="15">
      <c r="A22" s="364"/>
      <c r="B22" s="588"/>
      <c r="C22" s="406" t="s">
        <v>3371</v>
      </c>
      <c r="D22" s="407"/>
      <c r="E22" s="406" t="s">
        <v>3371</v>
      </c>
      <c r="F22" s="407"/>
      <c r="G22" s="406" t="s">
        <v>3371</v>
      </c>
      <c r="H22" s="407"/>
      <c r="I22" s="406" t="s">
        <v>3371</v>
      </c>
      <c r="J22" s="407"/>
      <c r="K22" s="628"/>
      <c r="L22" s="2945"/>
      <c r="M22" s="2939"/>
      <c r="N22" s="2939"/>
      <c r="O22" s="2997"/>
      <c r="P22" s="3294"/>
      <c r="Q22" s="1536"/>
      <c r="R22" s="714"/>
      <c r="S22" s="715"/>
      <c r="T22" s="714"/>
      <c r="U22" s="715"/>
      <c r="V22" s="714"/>
      <c r="W22" s="715"/>
      <c r="X22" s="1539"/>
      <c r="Y22" s="3294"/>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40"/>
      <c r="M23" s="2941"/>
      <c r="N23" s="2941"/>
      <c r="O23" s="2995"/>
      <c r="P23" s="3294"/>
      <c r="Q23" s="1527" t="str">
        <f t="shared" si="8"/>
        <v>公共配套设施</v>
      </c>
      <c r="R23" s="710" t="s">
        <v>17</v>
      </c>
      <c r="S23" s="711">
        <f>F23</f>
        <v>100</v>
      </c>
      <c r="T23" s="710" t="s">
        <v>17</v>
      </c>
      <c r="U23" s="711">
        <f>H23</f>
        <v>100</v>
      </c>
      <c r="V23" s="710" t="s">
        <v>17</v>
      </c>
      <c r="W23" s="711">
        <f>J23</f>
        <v>100</v>
      </c>
      <c r="X23" s="712"/>
      <c r="Y23" s="3294"/>
      <c r="Z23" s="55" t="str">
        <f>Q23</f>
        <v>公共配套设施</v>
      </c>
      <c r="AA23" s="1537">
        <f>D23/F23</f>
        <v>1</v>
      </c>
      <c r="AB23" s="1537">
        <f>D23/H23</f>
        <v>1</v>
      </c>
      <c r="AC23" s="1537">
        <f>D23/J23</f>
        <v>1</v>
      </c>
    </row>
    <row r="24" spans="1:29" s="113" customFormat="1" ht="15">
      <c r="A24" s="605"/>
      <c r="B24" s="588"/>
      <c r="C24" s="2164" t="s">
        <v>3371</v>
      </c>
      <c r="D24" s="407"/>
      <c r="E24" s="2164" t="s">
        <v>3371</v>
      </c>
      <c r="F24" s="407"/>
      <c r="G24" s="2164" t="s">
        <v>3371</v>
      </c>
      <c r="H24" s="407"/>
      <c r="I24" s="2164" t="s">
        <v>3371</v>
      </c>
      <c r="J24" s="407"/>
      <c r="K24" s="628"/>
      <c r="L24" s="2940"/>
      <c r="M24" s="2941"/>
      <c r="N24" s="2941"/>
      <c r="O24" s="2995"/>
      <c r="P24" s="3294"/>
      <c r="Q24" s="1527"/>
      <c r="R24" s="710"/>
      <c r="S24" s="711"/>
      <c r="T24" s="710"/>
      <c r="U24" s="711"/>
      <c r="V24" s="710"/>
      <c r="W24" s="711"/>
      <c r="X24" s="712"/>
      <c r="Y24" s="3294"/>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940"/>
      <c r="M25" s="2941"/>
      <c r="N25" s="2941"/>
      <c r="O25" s="2995"/>
      <c r="P25" s="3294"/>
      <c r="Q25" s="1527" t="str">
        <f t="shared" ref="Q25" si="9">B25</f>
        <v>基础设施水平</v>
      </c>
      <c r="R25" s="710" t="s">
        <v>17</v>
      </c>
      <c r="S25" s="711">
        <f>F25</f>
        <v>100</v>
      </c>
      <c r="T25" s="710" t="s">
        <v>17</v>
      </c>
      <c r="U25" s="711">
        <f>H25</f>
        <v>100</v>
      </c>
      <c r="V25" s="710" t="s">
        <v>17</v>
      </c>
      <c r="W25" s="711">
        <f>J25</f>
        <v>100</v>
      </c>
      <c r="X25" s="712"/>
      <c r="Y25" s="3294"/>
      <c r="Z25" s="55" t="str">
        <f>Q25</f>
        <v>基础设施水平</v>
      </c>
      <c r="AA25" s="1537">
        <f>D25/F25</f>
        <v>1</v>
      </c>
      <c r="AB25" s="1537">
        <f>D25/H25</f>
        <v>1</v>
      </c>
      <c r="AC25" s="1537">
        <f>D25/J25</f>
        <v>1</v>
      </c>
    </row>
    <row r="26" spans="1:29" s="113" customFormat="1" ht="15.75" thickBot="1">
      <c r="A26" s="605"/>
      <c r="B26" s="588"/>
      <c r="C26" s="2164" t="s">
        <v>3367</v>
      </c>
      <c r="D26" s="407"/>
      <c r="E26" s="2164" t="s">
        <v>3367</v>
      </c>
      <c r="F26" s="407"/>
      <c r="G26" s="2164" t="s">
        <v>3367</v>
      </c>
      <c r="H26" s="407"/>
      <c r="I26" s="2164" t="s">
        <v>3367</v>
      </c>
      <c r="J26" s="407"/>
      <c r="K26" s="628"/>
      <c r="L26" s="2940"/>
      <c r="M26" s="2941"/>
      <c r="N26" s="2941"/>
      <c r="O26" s="2995"/>
      <c r="P26" s="3294"/>
      <c r="Q26" s="1527"/>
      <c r="R26" s="710"/>
      <c r="S26" s="711"/>
      <c r="T26" s="710"/>
      <c r="U26" s="711"/>
      <c r="V26" s="710"/>
      <c r="W26" s="711"/>
      <c r="X26" s="712"/>
      <c r="Y26" s="3294"/>
      <c r="Z26" s="55"/>
      <c r="AA26" s="713">
        <v>1</v>
      </c>
      <c r="AB26" s="713">
        <v>1</v>
      </c>
      <c r="AC26" s="713">
        <v>1</v>
      </c>
    </row>
    <row r="27" spans="1:29" ht="15" hidden="1">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294"/>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94"/>
      <c r="Z27" s="1540" t="str">
        <f t="shared" ref="Z27:Z40" si="13">Q27</f>
        <v>临街状况</v>
      </c>
      <c r="AA27" s="1537">
        <f t="shared" si="3"/>
        <v>1</v>
      </c>
      <c r="AB27" s="1537">
        <f t="shared" si="4"/>
        <v>1</v>
      </c>
      <c r="AC27" s="1537">
        <f t="shared" si="5"/>
        <v>1</v>
      </c>
    </row>
    <row r="28" spans="1:29" ht="27" hidden="1">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294"/>
      <c r="Q28" s="1536" t="str">
        <f t="shared" si="8"/>
        <v>毗邻道路的类型与等级</v>
      </c>
      <c r="R28" s="714" t="s">
        <v>17</v>
      </c>
      <c r="S28" s="715">
        <f t="shared" si="10"/>
        <v>100</v>
      </c>
      <c r="T28" s="714" t="s">
        <v>17</v>
      </c>
      <c r="U28" s="715">
        <f t="shared" si="11"/>
        <v>100</v>
      </c>
      <c r="V28" s="714" t="s">
        <v>17</v>
      </c>
      <c r="W28" s="715">
        <f t="shared" si="12"/>
        <v>100</v>
      </c>
      <c r="X28" s="1539"/>
      <c r="Y28" s="3294"/>
      <c r="Z28" s="1540" t="str">
        <f t="shared" si="13"/>
        <v>毗邻道路的类型与等级</v>
      </c>
      <c r="AA28" s="1537">
        <f t="shared" si="3"/>
        <v>1</v>
      </c>
      <c r="AB28" s="1537">
        <f t="shared" si="4"/>
        <v>1</v>
      </c>
      <c r="AC28" s="1537">
        <f t="shared" si="5"/>
        <v>1</v>
      </c>
    </row>
    <row r="29" spans="1:29" ht="15.75" hidden="1" thickBot="1">
      <c r="A29" s="387"/>
      <c r="B29" s="588"/>
      <c r="C29" s="406"/>
      <c r="D29" s="407"/>
      <c r="E29" s="2090"/>
      <c r="F29" s="407"/>
      <c r="G29" s="2090"/>
      <c r="H29" s="407"/>
      <c r="I29" s="2090"/>
      <c r="J29" s="407"/>
      <c r="K29" s="570"/>
      <c r="L29" s="2945"/>
      <c r="M29" s="2939"/>
      <c r="N29" s="2939"/>
      <c r="O29" s="2997"/>
      <c r="P29" s="3294"/>
      <c r="Q29" s="1536"/>
      <c r="R29" s="714"/>
      <c r="S29" s="715"/>
      <c r="T29" s="714"/>
      <c r="U29" s="715"/>
      <c r="V29" s="714"/>
      <c r="W29" s="715"/>
      <c r="X29" s="1539"/>
      <c r="Y29" s="3294"/>
      <c r="Z29" s="1540"/>
      <c r="AA29" s="1537">
        <v>1</v>
      </c>
      <c r="AB29" s="1537">
        <v>1</v>
      </c>
      <c r="AC29" s="1537">
        <v>1</v>
      </c>
    </row>
    <row r="30" spans="1:29" ht="15" hidden="1">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294"/>
      <c r="Q30" s="1536" t="str">
        <f t="shared" si="8"/>
        <v>土地级别</v>
      </c>
      <c r="R30" s="714" t="s">
        <v>17</v>
      </c>
      <c r="S30" s="715">
        <f t="shared" si="10"/>
        <v>100</v>
      </c>
      <c r="T30" s="714" t="s">
        <v>17</v>
      </c>
      <c r="U30" s="715">
        <f t="shared" si="11"/>
        <v>100</v>
      </c>
      <c r="V30" s="714" t="s">
        <v>17</v>
      </c>
      <c r="W30" s="715">
        <f t="shared" si="12"/>
        <v>100</v>
      </c>
      <c r="X30" s="1539"/>
      <c r="Y30" s="3294"/>
      <c r="Z30" s="1540" t="str">
        <f t="shared" si="13"/>
        <v>土地级别</v>
      </c>
      <c r="AA30" s="1537">
        <f t="shared" si="3"/>
        <v>1</v>
      </c>
      <c r="AB30" s="1537">
        <f t="shared" si="4"/>
        <v>1</v>
      </c>
      <c r="AC30" s="1537">
        <f t="shared" si="5"/>
        <v>1</v>
      </c>
    </row>
    <row r="31" spans="1:29" ht="15" hidden="1">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294"/>
      <c r="Q31" s="1536">
        <f t="shared" si="8"/>
        <v>111</v>
      </c>
      <c r="R31" s="714" t="s">
        <v>17</v>
      </c>
      <c r="S31" s="715">
        <f t="shared" si="10"/>
        <v>100</v>
      </c>
      <c r="T31" s="714" t="s">
        <v>17</v>
      </c>
      <c r="U31" s="715">
        <f t="shared" si="11"/>
        <v>100</v>
      </c>
      <c r="V31" s="714" t="s">
        <v>17</v>
      </c>
      <c r="W31" s="715">
        <f t="shared" si="12"/>
        <v>100</v>
      </c>
      <c r="X31" s="1539"/>
      <c r="Y31" s="3294"/>
      <c r="Z31" s="1540">
        <f t="shared" si="13"/>
        <v>111</v>
      </c>
      <c r="AA31" s="1537">
        <f t="shared" si="3"/>
        <v>1</v>
      </c>
      <c r="AB31" s="1537">
        <f t="shared" si="4"/>
        <v>1</v>
      </c>
      <c r="AC31" s="1537">
        <f t="shared" si="5"/>
        <v>1</v>
      </c>
    </row>
    <row r="32" spans="1:29" ht="15" hidden="1">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349" t="s">
        <v>2386</v>
      </c>
      <c r="Q32" s="1536">
        <f t="shared" si="8"/>
        <v>111</v>
      </c>
      <c r="R32" s="714" t="s">
        <v>17</v>
      </c>
      <c r="S32" s="715">
        <f t="shared" si="10"/>
        <v>100</v>
      </c>
      <c r="T32" s="714" t="s">
        <v>17</v>
      </c>
      <c r="U32" s="715">
        <f t="shared" si="11"/>
        <v>100</v>
      </c>
      <c r="V32" s="714" t="s">
        <v>17</v>
      </c>
      <c r="W32" s="715">
        <f t="shared" si="12"/>
        <v>100</v>
      </c>
      <c r="X32" s="1539"/>
      <c r="Y32" s="3298" t="s">
        <v>2386</v>
      </c>
      <c r="Z32" s="1540">
        <f t="shared" si="13"/>
        <v>111</v>
      </c>
      <c r="AA32" s="1537">
        <f t="shared" si="3"/>
        <v>1</v>
      </c>
      <c r="AB32" s="1537">
        <f t="shared" si="4"/>
        <v>1</v>
      </c>
      <c r="AC32" s="1537">
        <f t="shared" si="5"/>
        <v>1</v>
      </c>
    </row>
    <row r="33" spans="1:31" s="430" customFormat="1" ht="15.75" hidden="1"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298"/>
      <c r="Q33" s="1536">
        <f t="shared" si="8"/>
        <v>111</v>
      </c>
      <c r="R33" s="717" t="s">
        <v>17</v>
      </c>
      <c r="S33" s="718">
        <f t="shared" si="10"/>
        <v>100</v>
      </c>
      <c r="T33" s="717" t="s">
        <v>17</v>
      </c>
      <c r="U33" s="718">
        <f t="shared" si="11"/>
        <v>100</v>
      </c>
      <c r="V33" s="717" t="s">
        <v>17</v>
      </c>
      <c r="W33" s="718">
        <f t="shared" si="12"/>
        <v>100</v>
      </c>
      <c r="X33" s="719"/>
      <c r="Y33" s="3298"/>
      <c r="Z33" s="720">
        <f t="shared" si="13"/>
        <v>111</v>
      </c>
      <c r="AA33" s="1537">
        <f t="shared" si="3"/>
        <v>1</v>
      </c>
      <c r="AB33" s="1537">
        <f t="shared" si="4"/>
        <v>1</v>
      </c>
      <c r="AC33" s="1537">
        <f t="shared" si="5"/>
        <v>1</v>
      </c>
    </row>
    <row r="34" spans="1:31" ht="15">
      <c r="A34" s="399" t="s">
        <v>2384</v>
      </c>
      <c r="B34" s="415" t="s">
        <v>2572</v>
      </c>
      <c r="C34" s="635">
        <f>'数据-汇总表'!D3</f>
        <v>166699.10999999999</v>
      </c>
      <c r="D34" s="426">
        <v>100</v>
      </c>
      <c r="E34" s="635">
        <f>土地案例!H2</f>
        <v>38676</v>
      </c>
      <c r="F34" s="426">
        <f>LOOKUP(E34,108:108,109:109)-LOOKUP(C34,108:108,109:109)+100</f>
        <v>97</v>
      </c>
      <c r="G34" s="635">
        <f>土地案例!H4</f>
        <v>7111</v>
      </c>
      <c r="H34" s="426">
        <f>LOOKUP(G34,108:108,109:109)-LOOKUP(C34,108:108,109:109)+100</f>
        <v>97</v>
      </c>
      <c r="I34" s="487">
        <f>土地案例!H5</f>
        <v>24367</v>
      </c>
      <c r="J34" s="426">
        <f>LOOKUP(I34,108:108,109:109)-LOOKUP(C34,108:108,109:109)+100</f>
        <v>97</v>
      </c>
      <c r="K34" s="570"/>
      <c r="L34" s="2945"/>
      <c r="M34" s="2939"/>
      <c r="N34" s="2939"/>
      <c r="O34" s="2997"/>
      <c r="P34" s="3298"/>
      <c r="Q34" s="1536" t="str">
        <f>B34</f>
        <v>宗地面积</v>
      </c>
      <c r="R34" s="714" t="s">
        <v>17</v>
      </c>
      <c r="S34" s="715">
        <f t="shared" si="10"/>
        <v>97</v>
      </c>
      <c r="T34" s="714" t="s">
        <v>17</v>
      </c>
      <c r="U34" s="715">
        <f t="shared" si="11"/>
        <v>97</v>
      </c>
      <c r="V34" s="714" t="s">
        <v>17</v>
      </c>
      <c r="W34" s="715">
        <f t="shared" si="12"/>
        <v>97</v>
      </c>
      <c r="X34" s="1539"/>
      <c r="Y34" s="3298"/>
      <c r="Z34" s="1540" t="str">
        <f t="shared" si="13"/>
        <v>宗地面积</v>
      </c>
      <c r="AA34" s="1537">
        <f t="shared" si="3"/>
        <v>1.0309278350515463</v>
      </c>
      <c r="AB34" s="1537">
        <f t="shared" si="4"/>
        <v>1.0309278350515463</v>
      </c>
      <c r="AC34" s="1537">
        <f t="shared" si="5"/>
        <v>1.0309278350515463</v>
      </c>
    </row>
    <row r="35" spans="1:31" ht="15">
      <c r="A35" s="431"/>
      <c r="B35" s="381" t="s">
        <v>2573</v>
      </c>
      <c r="C35" s="2092" t="s">
        <v>3364</v>
      </c>
      <c r="D35" s="394">
        <v>100</v>
      </c>
      <c r="E35" s="2092" t="s">
        <v>3364</v>
      </c>
      <c r="F35" s="394">
        <f>SUMIF(110:110,E35,111:111)-SUMIF(110:110,C35,111:111)+100</f>
        <v>100</v>
      </c>
      <c r="G35" s="2092" t="s">
        <v>3364</v>
      </c>
      <c r="H35" s="394">
        <f>SUMIF(110:110,G35,111:111)-SUMIF(110:110,C35,111:111)+100</f>
        <v>100</v>
      </c>
      <c r="I35" s="2092" t="s">
        <v>3364</v>
      </c>
      <c r="J35" s="394">
        <f>SUMIF(110:110,I35,111:111)-SUMIF(110:110,C35,111:111)+100</f>
        <v>100</v>
      </c>
      <c r="K35" s="569">
        <v>2</v>
      </c>
      <c r="L35" s="2945"/>
      <c r="M35" s="2939"/>
      <c r="N35" s="2939"/>
      <c r="O35" s="2997"/>
      <c r="P35" s="3298"/>
      <c r="Q35" s="1536" t="str">
        <f t="shared" ref="Q35:Q40" si="14">B35</f>
        <v>宗地形状</v>
      </c>
      <c r="R35" s="714" t="s">
        <v>17</v>
      </c>
      <c r="S35" s="715">
        <f t="shared" si="10"/>
        <v>100</v>
      </c>
      <c r="T35" s="714" t="s">
        <v>17</v>
      </c>
      <c r="U35" s="715">
        <f t="shared" si="11"/>
        <v>100</v>
      </c>
      <c r="V35" s="714" t="s">
        <v>17</v>
      </c>
      <c r="W35" s="715">
        <f t="shared" si="12"/>
        <v>100</v>
      </c>
      <c r="X35" s="1539"/>
      <c r="Y35" s="3298"/>
      <c r="Z35" s="1540" t="str">
        <f t="shared" si="13"/>
        <v>宗地形状</v>
      </c>
      <c r="AA35" s="1537">
        <f t="shared" si="3"/>
        <v>1</v>
      </c>
      <c r="AB35" s="1537">
        <f t="shared" si="4"/>
        <v>1</v>
      </c>
      <c r="AC35" s="1537">
        <f t="shared" si="5"/>
        <v>1</v>
      </c>
    </row>
    <row r="36" spans="1:31" s="113" customFormat="1" ht="15">
      <c r="A36" s="432"/>
      <c r="B36" s="381" t="s">
        <v>2575</v>
      </c>
      <c r="C36" s="2166" t="s">
        <v>3367</v>
      </c>
      <c r="D36" s="132">
        <v>100</v>
      </c>
      <c r="E36" s="2166" t="s">
        <v>3367</v>
      </c>
      <c r="F36" s="394">
        <f>SUMIF(112:112,E36,113:113)-SUMIF(112:112,C36,113:113)+100</f>
        <v>100</v>
      </c>
      <c r="G36" s="2166" t="s">
        <v>3367</v>
      </c>
      <c r="H36" s="394">
        <f>SUMIF(112:112,G36,113:113)-SUMIF(112:112,C36,113:113)+100</f>
        <v>100</v>
      </c>
      <c r="I36" s="2166" t="s">
        <v>3367</v>
      </c>
      <c r="J36" s="394">
        <f>SUMIF(112:112,I36,113:113)-SUMIF(112:112,C36,113:113)+100</f>
        <v>100</v>
      </c>
      <c r="K36" s="569">
        <v>1</v>
      </c>
      <c r="L36" s="2940"/>
      <c r="M36" s="2941"/>
      <c r="N36" s="2941"/>
      <c r="O36" s="2995"/>
      <c r="P36" s="3298"/>
      <c r="Q36" s="1536" t="str">
        <f t="shared" si="14"/>
        <v>宗地开发程度</v>
      </c>
      <c r="R36" s="710" t="s">
        <v>17</v>
      </c>
      <c r="S36" s="711">
        <f t="shared" si="10"/>
        <v>100</v>
      </c>
      <c r="T36" s="710" t="s">
        <v>17</v>
      </c>
      <c r="U36" s="711">
        <f t="shared" si="11"/>
        <v>100</v>
      </c>
      <c r="V36" s="710" t="s">
        <v>17</v>
      </c>
      <c r="W36" s="711">
        <f t="shared" si="12"/>
        <v>100</v>
      </c>
      <c r="X36" s="712"/>
      <c r="Y36" s="3298"/>
      <c r="Z36" s="55" t="str">
        <f t="shared" si="13"/>
        <v>宗地开发程度</v>
      </c>
      <c r="AA36" s="713">
        <f t="shared" si="3"/>
        <v>1</v>
      </c>
      <c r="AB36" s="713">
        <f t="shared" si="4"/>
        <v>1</v>
      </c>
      <c r="AC36" s="713">
        <f t="shared" si="5"/>
        <v>1</v>
      </c>
    </row>
    <row r="37" spans="1:31" ht="15.75" thickBot="1">
      <c r="A37" s="431"/>
      <c r="B37" s="381" t="s">
        <v>2576</v>
      </c>
      <c r="C37" s="2092" t="s">
        <v>3369</v>
      </c>
      <c r="D37" s="394">
        <v>100</v>
      </c>
      <c r="E37" s="2092" t="s">
        <v>3369</v>
      </c>
      <c r="F37" s="394">
        <f>SUMIF(114:114,E37,115:115)-SUMIF(114:114,C37,115:115)+100</f>
        <v>100</v>
      </c>
      <c r="G37" s="2092" t="s">
        <v>3369</v>
      </c>
      <c r="H37" s="394">
        <f>SUMIF(114:114,G37,115:115)-SUMIF(114:114,C37,115:115)+100</f>
        <v>100</v>
      </c>
      <c r="I37" s="2092" t="s">
        <v>3369</v>
      </c>
      <c r="J37" s="394">
        <f>SUMIF(114:114,I37,115:115)-SUMIF(114:114,C37,115:115)+100</f>
        <v>100</v>
      </c>
      <c r="K37" s="569">
        <v>2</v>
      </c>
      <c r="L37" s="2945"/>
      <c r="M37" s="2939"/>
      <c r="N37" s="2939"/>
      <c r="O37" s="2997"/>
      <c r="P37" s="3298" t="s">
        <v>2386</v>
      </c>
      <c r="Q37" s="1536" t="str">
        <f t="shared" si="14"/>
        <v>工程地质条件</v>
      </c>
      <c r="R37" s="714" t="s">
        <v>17</v>
      </c>
      <c r="S37" s="715">
        <f t="shared" si="10"/>
        <v>100</v>
      </c>
      <c r="T37" s="714" t="s">
        <v>17</v>
      </c>
      <c r="U37" s="715">
        <f t="shared" si="11"/>
        <v>100</v>
      </c>
      <c r="V37" s="714" t="s">
        <v>17</v>
      </c>
      <c r="W37" s="715">
        <f t="shared" si="12"/>
        <v>100</v>
      </c>
      <c r="X37" s="1539"/>
      <c r="Y37" s="3298" t="s">
        <v>2386</v>
      </c>
      <c r="Z37" s="1540" t="str">
        <f t="shared" si="13"/>
        <v>工程地质条件</v>
      </c>
      <c r="AA37" s="1537">
        <f t="shared" si="3"/>
        <v>1</v>
      </c>
      <c r="AB37" s="1537">
        <f t="shared" si="4"/>
        <v>1</v>
      </c>
      <c r="AC37" s="1537">
        <f t="shared" si="5"/>
        <v>1</v>
      </c>
    </row>
    <row r="38" spans="1:31" ht="15" hidden="1">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298"/>
      <c r="Q38" s="1536">
        <f t="shared" si="14"/>
        <v>111</v>
      </c>
      <c r="R38" s="714" t="s">
        <v>17</v>
      </c>
      <c r="S38" s="715">
        <f t="shared" si="10"/>
        <v>100</v>
      </c>
      <c r="T38" s="714" t="s">
        <v>17</v>
      </c>
      <c r="U38" s="715">
        <f t="shared" si="11"/>
        <v>100</v>
      </c>
      <c r="V38" s="714" t="s">
        <v>17</v>
      </c>
      <c r="W38" s="715">
        <f t="shared" si="12"/>
        <v>100</v>
      </c>
      <c r="X38" s="1539"/>
      <c r="Y38" s="3298"/>
      <c r="Z38" s="1540">
        <f t="shared" si="13"/>
        <v>111</v>
      </c>
      <c r="AA38" s="1537">
        <f t="shared" si="3"/>
        <v>1</v>
      </c>
      <c r="AB38" s="1537">
        <f t="shared" si="4"/>
        <v>1</v>
      </c>
      <c r="AC38" s="1537">
        <f t="shared" si="5"/>
        <v>1</v>
      </c>
    </row>
    <row r="39" spans="1:31" ht="15" hidden="1">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298"/>
      <c r="Q39" s="1536">
        <f t="shared" si="14"/>
        <v>111</v>
      </c>
      <c r="R39" s="714" t="s">
        <v>17</v>
      </c>
      <c r="S39" s="715">
        <f t="shared" si="10"/>
        <v>100</v>
      </c>
      <c r="T39" s="714" t="s">
        <v>17</v>
      </c>
      <c r="U39" s="715">
        <f t="shared" si="11"/>
        <v>100</v>
      </c>
      <c r="V39" s="714" t="s">
        <v>17</v>
      </c>
      <c r="W39" s="715">
        <f t="shared" si="12"/>
        <v>100</v>
      </c>
      <c r="X39" s="1539"/>
      <c r="Y39" s="3298"/>
      <c r="Z39" s="1540">
        <f t="shared" si="13"/>
        <v>111</v>
      </c>
      <c r="AA39" s="1537">
        <f t="shared" si="3"/>
        <v>1</v>
      </c>
      <c r="AB39" s="1537">
        <f t="shared" si="4"/>
        <v>1</v>
      </c>
      <c r="AC39" s="1537">
        <f t="shared" si="5"/>
        <v>1</v>
      </c>
    </row>
    <row r="40" spans="1:31" s="430" customFormat="1" ht="15.75" hidden="1"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298"/>
      <c r="Q40" s="1536">
        <f t="shared" si="14"/>
        <v>111</v>
      </c>
      <c r="R40" s="717" t="s">
        <v>17</v>
      </c>
      <c r="S40" s="718">
        <f t="shared" si="10"/>
        <v>100</v>
      </c>
      <c r="T40" s="717" t="s">
        <v>17</v>
      </c>
      <c r="U40" s="718">
        <f t="shared" si="11"/>
        <v>100</v>
      </c>
      <c r="V40" s="717" t="s">
        <v>17</v>
      </c>
      <c r="W40" s="718">
        <f t="shared" si="12"/>
        <v>100</v>
      </c>
      <c r="X40" s="719"/>
      <c r="Y40" s="3298"/>
      <c r="Z40" s="720">
        <f t="shared" si="13"/>
        <v>111</v>
      </c>
      <c r="AA40" s="1537">
        <f t="shared" si="3"/>
        <v>1</v>
      </c>
      <c r="AB40" s="1537">
        <f t="shared" si="4"/>
        <v>1</v>
      </c>
      <c r="AC40" s="1537">
        <f t="shared" si="5"/>
        <v>1</v>
      </c>
    </row>
    <row r="41" spans="1:31" ht="15">
      <c r="A41" s="438" t="s">
        <v>2541</v>
      </c>
      <c r="B41" s="2168" t="s">
        <v>3362</v>
      </c>
      <c r="C41" s="638" t="s">
        <v>1</v>
      </c>
      <c r="D41" s="440"/>
      <c r="E41" s="441">
        <f>土地案例!AV2</f>
        <v>220</v>
      </c>
      <c r="F41" s="442"/>
      <c r="G41" s="443">
        <f>土地案例!AV4</f>
        <v>221</v>
      </c>
      <c r="H41" s="444"/>
      <c r="I41" s="441">
        <f>土地案例!AV5</f>
        <v>220</v>
      </c>
      <c r="J41" s="444"/>
      <c r="K41" s="723"/>
      <c r="L41" s="2947"/>
      <c r="M41" s="2939"/>
      <c r="N41" s="2939"/>
      <c r="O41" s="2948"/>
      <c r="P41" s="3291" t="str">
        <f>A41</f>
        <v>成交单价</v>
      </c>
      <c r="Q41" s="3291"/>
      <c r="R41" s="3322">
        <f>E41</f>
        <v>220</v>
      </c>
      <c r="S41" s="3322"/>
      <c r="T41" s="3322">
        <f>G41</f>
        <v>221</v>
      </c>
      <c r="U41" s="3322"/>
      <c r="V41" s="3322">
        <f>I41</f>
        <v>220</v>
      </c>
      <c r="W41" s="3322"/>
      <c r="X41" s="699"/>
      <c r="Y41" s="721"/>
      <c r="Z41" s="699"/>
      <c r="AA41" s="699"/>
      <c r="AB41" s="699"/>
      <c r="AC41" s="699"/>
    </row>
    <row r="42" spans="1:31" ht="15.75" thickBot="1">
      <c r="A42" s="445" t="s">
        <v>2490</v>
      </c>
      <c r="B42" s="639"/>
      <c r="C42" s="448">
        <f>R43</f>
        <v>222</v>
      </c>
      <c r="D42" s="2538" t="s">
        <v>2880</v>
      </c>
      <c r="E42" s="448">
        <f>R42</f>
        <v>222</v>
      </c>
      <c r="F42" s="2539"/>
      <c r="G42" s="447">
        <f>T42</f>
        <v>223</v>
      </c>
      <c r="H42" s="2539"/>
      <c r="I42" s="448">
        <f>V42</f>
        <v>222</v>
      </c>
      <c r="J42" s="2539"/>
      <c r="K42" s="2541">
        <f>F42+H42+J42</f>
        <v>0</v>
      </c>
      <c r="L42" s="2947"/>
      <c r="M42" s="2939"/>
      <c r="N42" s="2939"/>
      <c r="O42" s="2948"/>
      <c r="P42" s="3291" t="str">
        <f>A42</f>
        <v>比较价值（元/平方米）</v>
      </c>
      <c r="Q42" s="3291"/>
      <c r="R42" s="3351">
        <f>ROUND(PRODUCT(R41,AA7:AA40),0)</f>
        <v>222</v>
      </c>
      <c r="S42" s="3351"/>
      <c r="T42" s="3351">
        <f>ROUND(PRODUCT(T41,AB7:AB40),0)</f>
        <v>223</v>
      </c>
      <c r="U42" s="3351"/>
      <c r="V42" s="3351">
        <f>ROUND(PRODUCT(V41,AC7:AC40),0)</f>
        <v>222</v>
      </c>
      <c r="W42" s="3351"/>
      <c r="X42" s="699"/>
      <c r="Y42" s="699"/>
      <c r="Z42" s="699"/>
      <c r="AA42" s="699"/>
      <c r="AB42" s="699"/>
      <c r="AC42" s="699"/>
    </row>
    <row r="43" spans="1:31" ht="15.75" thickBot="1">
      <c r="A43" s="449" t="s">
        <v>2491</v>
      </c>
      <c r="B43" s="450"/>
      <c r="C43" s="451">
        <f>R43</f>
        <v>222</v>
      </c>
      <c r="D43" s="451"/>
      <c r="E43" s="451"/>
      <c r="F43" s="451"/>
      <c r="G43" s="451"/>
      <c r="H43" s="451"/>
      <c r="I43" s="451"/>
      <c r="J43" s="451"/>
      <c r="K43" s="724"/>
      <c r="L43" s="2947"/>
      <c r="M43" s="2939"/>
      <c r="N43" s="2939"/>
      <c r="O43" s="2948"/>
      <c r="P43" s="3288" t="str">
        <f>A43</f>
        <v>估价对象XX用房的比较价值（楼面单价，元/平方米）</v>
      </c>
      <c r="Q43" s="3289"/>
      <c r="R43" s="3352">
        <f>ROUND(IF(D42="简单平均",AVERAGE(R42:W42),R42*F42+T42*H42+V42*J42),0)</f>
        <v>222</v>
      </c>
      <c r="S43" s="3352"/>
      <c r="T43" s="3352"/>
      <c r="U43" s="3352"/>
      <c r="V43" s="3352"/>
      <c r="W43" s="3352"/>
      <c r="X43" s="699"/>
      <c r="Y43" s="699"/>
      <c r="Z43" s="699"/>
      <c r="AA43" s="699"/>
      <c r="AB43" s="699"/>
      <c r="AC43" s="699"/>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2492</v>
      </c>
      <c r="D46" s="455"/>
      <c r="E46" s="456">
        <f>IF(E41&lt;E42,E42/E41-1,E41/E42-1)</f>
        <v>9.0909090909090384E-3</v>
      </c>
      <c r="F46" s="457" t="str">
        <f>IF(OR(E46&gt;=0.3,E46&lt;=-0.3),"超过30%","")</f>
        <v/>
      </c>
      <c r="G46" s="456">
        <f>IF(G41&lt;G42,G42/G41-1,G41/G42-1)</f>
        <v>9.0497737556560764E-3</v>
      </c>
      <c r="H46" s="457" t="str">
        <f>IF(OR(G46&gt;=0.3,G46&lt;=-0.3),"超过30%","")</f>
        <v/>
      </c>
      <c r="I46" s="456">
        <f>IF(I41&lt;I42,I42/I41-1,I41/I42-1)</f>
        <v>9.0909090909090384E-3</v>
      </c>
      <c r="J46" s="457" t="str">
        <f>IF(OR(I46&gt;=0.3,I46&lt;=-0.3),"超过30%","")</f>
        <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2493</v>
      </c>
      <c r="D47" s="458"/>
      <c r="E47" s="456">
        <f>IF(E42&lt;G42,G42/E42-1,E42/G42-1)</f>
        <v>4.5045045045044585E-3</v>
      </c>
      <c r="F47" s="457" t="str">
        <f>IF(OR(E47&gt;=0.2,E47&lt;=-0.2),"超过20%","")</f>
        <v/>
      </c>
      <c r="G47" s="456">
        <f>IF(G42&lt;I42,I42/G42-1,G42/I42-1)</f>
        <v>4.5045045045044585E-3</v>
      </c>
      <c r="H47" s="457" t="str">
        <f>IF(OR(G47&gt;=0.2,G47&lt;=-0.2),"超过20%","")</f>
        <v/>
      </c>
      <c r="I47" s="456">
        <f>IF(I42&lt;E42,E42/I42-1,I42/E42-1)</f>
        <v>0</v>
      </c>
      <c r="J47" s="457" t="str">
        <f>IF(OR(I47&gt;=0.2,I47&lt;=-0.2),"超过20%","")</f>
        <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2494</v>
      </c>
      <c r="D48" s="458"/>
      <c r="E48" s="456">
        <f>IF(E41&lt;G41,G41/E41-1,E41/G41-1)</f>
        <v>4.5454545454546302E-3</v>
      </c>
      <c r="F48" s="457" t="str">
        <f>IF(OR(E48&gt;=0.3,E48&lt;=-0.3),"超过30%","")</f>
        <v/>
      </c>
      <c r="G48" s="456">
        <f>IF(G41&lt;I41,I41/G41-1,G41/I41-1)</f>
        <v>4.5454545454546302E-3</v>
      </c>
      <c r="H48" s="457" t="str">
        <f>IF(OR(G48&gt;=0.3,G48&lt;=-0.3),"超过30%","")</f>
        <v/>
      </c>
      <c r="I48" s="456">
        <f>IF(I41&lt;E41,E41/I41-1,I41/E41-1)</f>
        <v>0</v>
      </c>
      <c r="J48" s="457" t="str">
        <f>IF(OR(I48&gt;=0.3,I48&lt;=-0.3),"超过30%","")</f>
        <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2"/>
      <c r="D49" s="700"/>
      <c r="E49" s="700"/>
      <c r="F49" s="700"/>
      <c r="G49" s="700"/>
      <c r="H49" s="700"/>
      <c r="I49" s="700"/>
      <c r="J49" s="700"/>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2579</v>
      </c>
      <c r="B50" s="641" t="s">
        <v>2580</v>
      </c>
      <c r="C50" s="2169" t="s">
        <v>2581</v>
      </c>
      <c r="D50" s="2170" t="s">
        <v>2582</v>
      </c>
      <c r="E50" s="642" t="s">
        <v>2583</v>
      </c>
      <c r="F50" s="643" t="s">
        <v>2584</v>
      </c>
      <c r="G50" s="3306" t="s">
        <v>2585</v>
      </c>
      <c r="H50" s="3353"/>
      <c r="I50" s="1540" t="s">
        <v>2621</v>
      </c>
      <c r="J50" s="1540" t="str">
        <f>项目基本情况!F35</f>
        <v>辽宁省朝阳市</v>
      </c>
      <c r="K50" s="2172" t="s">
        <v>2587</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2588</v>
      </c>
      <c r="B51" s="645">
        <f>C43</f>
        <v>222</v>
      </c>
      <c r="C51" s="646">
        <v>1</v>
      </c>
      <c r="D51" s="1075">
        <v>1</v>
      </c>
      <c r="E51" s="646">
        <f>'数据-汇总表'!E8+'数据-汇总表'!E9</f>
        <v>28660.61</v>
      </c>
      <c r="F51" s="647">
        <f t="shared" ref="F51:F60" si="15">ROUND(B51*E51/10000,0)</f>
        <v>636</v>
      </c>
      <c r="G51" s="3302"/>
      <c r="H51" s="3291"/>
      <c r="I51" s="879">
        <v>1</v>
      </c>
      <c r="J51" s="879">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2589</v>
      </c>
      <c r="B52" s="224">
        <f>ROUND($C$43*C52*D52,0)</f>
        <v>0</v>
      </c>
      <c r="C52" s="176">
        <f t="shared" ref="C52:C60" si="16">IF($C$50="北京市系数",I52,J52)</f>
        <v>0</v>
      </c>
      <c r="D52" s="1076">
        <v>0.25</v>
      </c>
      <c r="E52" s="650"/>
      <c r="F52" s="647">
        <f t="shared" si="15"/>
        <v>0</v>
      </c>
      <c r="G52" s="3354" t="s">
        <v>2590</v>
      </c>
      <c r="H52" s="1018">
        <f>项目基本情况!B37</f>
        <v>0</v>
      </c>
      <c r="I52" s="879">
        <f>SUMIF(修正!A45:A56,H52,修正!B45:B56)</f>
        <v>0</v>
      </c>
      <c r="J52" s="880"/>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2591</v>
      </c>
      <c r="B53" s="224">
        <f t="shared" ref="B53:B60" si="17">ROUND($C$43*C53*D53,0)</f>
        <v>0</v>
      </c>
      <c r="C53" s="176">
        <f t="shared" si="16"/>
        <v>0</v>
      </c>
      <c r="D53" s="1076">
        <v>0.25</v>
      </c>
      <c r="E53" s="650"/>
      <c r="F53" s="647">
        <f t="shared" si="15"/>
        <v>0</v>
      </c>
      <c r="G53" s="3354"/>
      <c r="H53" s="1018">
        <f>项目基本情况!B37</f>
        <v>0</v>
      </c>
      <c r="I53" s="879">
        <f>SUMIF(修正!A45:A56,H53,修正!C45:C56)</f>
        <v>0</v>
      </c>
      <c r="J53" s="880"/>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2592</v>
      </c>
      <c r="B54" s="224">
        <f t="shared" si="17"/>
        <v>0</v>
      </c>
      <c r="C54" s="176">
        <f t="shared" si="16"/>
        <v>0</v>
      </c>
      <c r="D54" s="1076">
        <v>0.25</v>
      </c>
      <c r="E54" s="650"/>
      <c r="F54" s="647">
        <f t="shared" si="15"/>
        <v>0</v>
      </c>
      <c r="G54" s="3354"/>
      <c r="H54" s="1018">
        <f>项目基本情况!B37</f>
        <v>0</v>
      </c>
      <c r="I54" s="879">
        <f>SUMIF(修正!A45:A56,H54,修正!D45:D56)</f>
        <v>0</v>
      </c>
      <c r="J54" s="880"/>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2593</v>
      </c>
      <c r="B55" s="224">
        <f t="shared" si="17"/>
        <v>0</v>
      </c>
      <c r="C55" s="176">
        <f t="shared" si="16"/>
        <v>0</v>
      </c>
      <c r="D55" s="1076">
        <v>0.25</v>
      </c>
      <c r="E55" s="650"/>
      <c r="F55" s="647">
        <f t="shared" si="15"/>
        <v>0</v>
      </c>
      <c r="G55" s="3354"/>
      <c r="H55" s="1018">
        <f>项目基本情况!B37</f>
        <v>0</v>
      </c>
      <c r="I55" s="879">
        <f>SUMIF(修正!A45:A56,H55,修正!E45:E56)</f>
        <v>0</v>
      </c>
      <c r="J55" s="880"/>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2594</v>
      </c>
      <c r="B56" s="224">
        <f t="shared" si="17"/>
        <v>0</v>
      </c>
      <c r="C56" s="176">
        <f t="shared" si="16"/>
        <v>0</v>
      </c>
      <c r="D56" s="1076">
        <v>0.25</v>
      </c>
      <c r="E56" s="223">
        <f>'数据-汇总表'!E11</f>
        <v>0</v>
      </c>
      <c r="F56" s="647">
        <f t="shared" si="15"/>
        <v>0</v>
      </c>
      <c r="G56" s="2173" t="s">
        <v>2595</v>
      </c>
      <c r="H56" s="1018">
        <f>项目基本情况!C37</f>
        <v>0</v>
      </c>
      <c r="I56" s="879">
        <f>SUMIF(修正!A45:A56,H56,修正!F45:F56)</f>
        <v>0</v>
      </c>
      <c r="J56" s="880"/>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2596</v>
      </c>
      <c r="B57" s="224">
        <f t="shared" si="17"/>
        <v>0</v>
      </c>
      <c r="C57" s="176">
        <f t="shared" si="16"/>
        <v>0</v>
      </c>
      <c r="D57" s="1076">
        <v>0.25</v>
      </c>
      <c r="E57" s="223">
        <f>'数据-汇总表'!E12</f>
        <v>0</v>
      </c>
      <c r="F57" s="647">
        <f t="shared" si="15"/>
        <v>0</v>
      </c>
      <c r="G57" s="1023" t="s">
        <v>2597</v>
      </c>
      <c r="H57" s="1018">
        <f>IF(G57="商业",项目基本情况!B37,IF(G57="办公",项目基本情况!C37,IF(G57="住宅",项目基本情况!D37,项目基本情况!E37)))</f>
        <v>0</v>
      </c>
      <c r="I57" s="879">
        <f>SUMIF(修正!A45:A56,H57,修正!G45:G56)</f>
        <v>0</v>
      </c>
      <c r="J57" s="880"/>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2598</v>
      </c>
      <c r="B58" s="224">
        <f t="shared" si="17"/>
        <v>0</v>
      </c>
      <c r="C58" s="176">
        <f t="shared" si="16"/>
        <v>0</v>
      </c>
      <c r="D58" s="1076">
        <v>0.25</v>
      </c>
      <c r="E58" s="223">
        <f>'数据-汇总表'!E13</f>
        <v>0</v>
      </c>
      <c r="F58" s="647">
        <f t="shared" si="15"/>
        <v>0</v>
      </c>
      <c r="G58" s="1023" t="s">
        <v>2599</v>
      </c>
      <c r="H58" s="1018">
        <f>IF(G58="商业",项目基本情况!B37,IF(G58="办公",项目基本情况!C37,IF(G58="住宅",项目基本情况!D37,项目基本情况!E37)))</f>
        <v>0</v>
      </c>
      <c r="I58" s="879">
        <f>SUMIF(修正!A45:A56,H58,修正!H45:H56)</f>
        <v>0</v>
      </c>
      <c r="J58" s="880"/>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2600</v>
      </c>
      <c r="B59" s="224">
        <f t="shared" si="17"/>
        <v>0</v>
      </c>
      <c r="C59" s="176">
        <f t="shared" si="16"/>
        <v>0</v>
      </c>
      <c r="D59" s="1076">
        <v>0.25</v>
      </c>
      <c r="E59" s="223">
        <f>'数据-汇总表'!E14</f>
        <v>0</v>
      </c>
      <c r="F59" s="647">
        <f t="shared" si="15"/>
        <v>0</v>
      </c>
      <c r="G59" s="2173" t="s">
        <v>2590</v>
      </c>
      <c r="H59" s="1018">
        <f>项目基本情况!B37</f>
        <v>0</v>
      </c>
      <c r="I59" s="879">
        <f>SUMIF(修正!A45:A56,H59,修正!H45:H56)</f>
        <v>0</v>
      </c>
      <c r="J59" s="880"/>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2601</v>
      </c>
      <c r="B60" s="224">
        <f t="shared" si="17"/>
        <v>0</v>
      </c>
      <c r="C60" s="176">
        <f t="shared" si="16"/>
        <v>0</v>
      </c>
      <c r="D60" s="1076">
        <v>0.25</v>
      </c>
      <c r="E60" s="223">
        <f>'数据-汇总表'!E15</f>
        <v>0</v>
      </c>
      <c r="F60" s="647">
        <f t="shared" si="15"/>
        <v>0</v>
      </c>
      <c r="G60" s="2174" t="s">
        <v>2595</v>
      </c>
      <c r="H60" s="1028">
        <f>项目基本情况!C37</f>
        <v>0</v>
      </c>
      <c r="I60" s="879">
        <f>SUMIF(修正!A45:A56,H60,修正!H45:H56)</f>
        <v>0</v>
      </c>
      <c r="J60" s="880"/>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2602</v>
      </c>
      <c r="B61" s="652" t="s">
        <v>28</v>
      </c>
      <c r="C61" s="652" t="s">
        <v>29</v>
      </c>
      <c r="D61" s="652" t="s">
        <v>997</v>
      </c>
      <c r="E61" s="652">
        <f>IF(B41="楼面地价",SUM(E51:E60),'数据-汇总表'!D3)</f>
        <v>166699.10999999999</v>
      </c>
      <c r="F61" s="653">
        <f>IF(B41="楼面地价",SUM(F51:F60),ROUND(C43*E61/10000,0))</f>
        <v>3701</v>
      </c>
      <c r="G61" s="1070"/>
      <c r="H61" s="1070"/>
      <c r="I61" s="1070"/>
      <c r="J61" s="1070"/>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8"/>
      <c r="B62" s="1060"/>
      <c r="C62" s="1062"/>
      <c r="D62" s="1058"/>
      <c r="E62" s="1058"/>
      <c r="F62" s="1058"/>
      <c r="G62" s="1058"/>
      <c r="H62" s="1058"/>
      <c r="I62" s="1058"/>
      <c r="J62" s="1058"/>
      <c r="K62" s="1019"/>
      <c r="L62" s="1020"/>
      <c r="M62" s="1058"/>
      <c r="N62" s="1058"/>
      <c r="O62" s="1058"/>
      <c r="P62" s="2948"/>
      <c r="Q62" s="2948"/>
      <c r="R62" s="2948"/>
      <c r="S62" s="2948"/>
      <c r="T62" s="2948"/>
      <c r="U62" s="2948"/>
      <c r="V62" s="2948"/>
      <c r="W62" s="2948"/>
      <c r="X62" s="2948"/>
      <c r="Y62" s="2948"/>
      <c r="Z62" s="2948"/>
      <c r="AA62" s="2948"/>
      <c r="AB62" s="2948"/>
      <c r="AC62" s="2948"/>
      <c r="AD62" s="2948"/>
      <c r="AE62" s="2948"/>
    </row>
    <row r="63" spans="1:31">
      <c r="A63" s="1058"/>
      <c r="B63" s="1060"/>
      <c r="C63" s="701" t="str">
        <f>YEAR(C7)&amp;"-"&amp;MONTH(C7)&amp;"-1"</f>
        <v>2021-9-1</v>
      </c>
      <c r="D63" s="701">
        <f>EDATE(C63,-3)</f>
        <v>44348</v>
      </c>
      <c r="E63" s="701">
        <f>EDATE(D63,-3)</f>
        <v>44256</v>
      </c>
      <c r="F63" s="701">
        <f t="shared" ref="F63:O63" si="18">EDATE(E63,-3)</f>
        <v>44166</v>
      </c>
      <c r="G63" s="701">
        <f t="shared" si="18"/>
        <v>44075</v>
      </c>
      <c r="H63" s="701">
        <f t="shared" si="18"/>
        <v>43983</v>
      </c>
      <c r="I63" s="701">
        <f t="shared" si="18"/>
        <v>43891</v>
      </c>
      <c r="J63" s="701">
        <f t="shared" si="18"/>
        <v>43800</v>
      </c>
      <c r="K63" s="701">
        <f t="shared" si="18"/>
        <v>43709</v>
      </c>
      <c r="L63" s="701">
        <f t="shared" si="18"/>
        <v>43617</v>
      </c>
      <c r="M63" s="701">
        <f t="shared" si="18"/>
        <v>43525</v>
      </c>
      <c r="N63" s="701">
        <f t="shared" si="18"/>
        <v>43435</v>
      </c>
      <c r="O63" s="701">
        <f t="shared" si="18"/>
        <v>43344</v>
      </c>
      <c r="P63" s="2948"/>
      <c r="Q63" s="2948"/>
      <c r="R63" s="2948"/>
      <c r="S63" s="2948"/>
      <c r="T63" s="2948"/>
      <c r="U63" s="2948"/>
      <c r="V63" s="2948"/>
      <c r="W63" s="2948"/>
      <c r="X63" s="2948"/>
      <c r="Y63" s="2948"/>
      <c r="Z63" s="2948"/>
      <c r="AA63" s="2948"/>
      <c r="AB63" s="2948"/>
      <c r="AC63" s="2948"/>
      <c r="AD63" s="2948"/>
      <c r="AE63" s="2948"/>
    </row>
    <row r="64" spans="1:31" ht="21.75" thickBot="1">
      <c r="A64" s="703" t="s">
        <v>2495</v>
      </c>
      <c r="B64" s="699"/>
      <c r="C64" s="704"/>
      <c r="D64" s="704"/>
      <c r="E64" s="704"/>
      <c r="F64" s="705"/>
      <c r="G64" s="705"/>
      <c r="H64" s="704"/>
      <c r="I64" s="704"/>
      <c r="J64" s="704"/>
      <c r="K64" s="706"/>
      <c r="L64" s="707"/>
      <c r="M64" s="704"/>
      <c r="N64" s="704"/>
      <c r="O64" s="1071"/>
      <c r="P64" s="2992"/>
      <c r="Q64" s="2962"/>
      <c r="R64" s="2948"/>
      <c r="S64" s="2948"/>
      <c r="T64" s="2948"/>
      <c r="U64" s="2948"/>
      <c r="V64" s="2948"/>
      <c r="W64" s="2948"/>
      <c r="X64" s="2948"/>
      <c r="Y64" s="2948"/>
      <c r="Z64" s="2948"/>
      <c r="AA64" s="2948"/>
      <c r="AB64" s="2948"/>
      <c r="AC64" s="2948"/>
      <c r="AD64" s="2948"/>
      <c r="AE64" s="2948"/>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80" t="s">
        <v>2622</v>
      </c>
      <c r="B66" s="294" t="str">
        <f>"北京市平均增长率"&amp;TEXT(基准地价修正!P24,"0.00%")</f>
        <v>北京市平均增长率1.24%</v>
      </c>
      <c r="C66" s="560">
        <v>100</v>
      </c>
      <c r="D66" s="552">
        <v>100</v>
      </c>
      <c r="E66" s="552">
        <v>100</v>
      </c>
      <c r="F66" s="552"/>
      <c r="G66" s="552"/>
      <c r="H66" s="552"/>
      <c r="I66" s="552"/>
      <c r="J66" s="552"/>
      <c r="K66" s="552"/>
      <c r="L66" s="552"/>
      <c r="M66" s="1340"/>
      <c r="N66" s="1340"/>
      <c r="O66" s="1342"/>
      <c r="P66" s="2962"/>
      <c r="Q66" s="2883"/>
      <c r="R66" s="2883"/>
      <c r="S66" s="2883"/>
      <c r="T66" s="2883"/>
      <c r="U66" s="2883"/>
      <c r="V66" s="2883"/>
      <c r="W66" s="2883"/>
      <c r="X66" s="2883"/>
      <c r="Y66" s="2883"/>
      <c r="Z66" s="2883"/>
      <c r="AA66" s="2883"/>
      <c r="AB66" s="2883"/>
      <c r="AC66" s="2883"/>
      <c r="AD66" s="2883"/>
      <c r="AE66" s="2883"/>
    </row>
    <row r="67" spans="1:31" s="113" customFormat="1" ht="15.75" thickBot="1">
      <c r="A67" s="472" t="s">
        <v>2406</v>
      </c>
      <c r="B67" s="473"/>
      <c r="C67" s="474"/>
      <c r="D67" s="475"/>
      <c r="E67" s="475"/>
      <c r="F67" s="475"/>
      <c r="G67" s="475"/>
      <c r="H67" s="475"/>
      <c r="I67" s="475"/>
      <c r="J67" s="475"/>
      <c r="K67" s="475"/>
      <c r="L67" s="475"/>
      <c r="M67" s="476"/>
      <c r="N67" s="476"/>
      <c r="O67" s="477"/>
      <c r="P67" s="2962"/>
      <c r="Q67" s="2962"/>
      <c r="R67" s="2883"/>
      <c r="S67" s="2883"/>
      <c r="T67" s="2883"/>
      <c r="U67" s="2883"/>
      <c r="V67" s="2883"/>
      <c r="W67" s="2883"/>
      <c r="X67" s="2883"/>
      <c r="Y67" s="2883"/>
      <c r="Z67" s="2883"/>
      <c r="AA67" s="2883"/>
      <c r="AB67" s="2883"/>
      <c r="AC67" s="2883"/>
      <c r="AD67" s="2883"/>
      <c r="AE67" s="2883"/>
    </row>
    <row r="68" spans="1:31" s="113" customFormat="1" ht="15">
      <c r="A68" s="478" t="s">
        <v>2371</v>
      </c>
      <c r="B68" s="467"/>
      <c r="C68" s="479" t="s">
        <v>2473</v>
      </c>
      <c r="D68" s="480"/>
      <c r="E68" s="480"/>
      <c r="F68" s="480"/>
      <c r="G68" s="480"/>
      <c r="H68" s="480"/>
      <c r="I68" s="480"/>
      <c r="J68" s="480"/>
      <c r="K68" s="480"/>
      <c r="L68" s="481"/>
      <c r="M68" s="482"/>
      <c r="N68" s="2975"/>
      <c r="O68" s="2975"/>
      <c r="P68" s="3000"/>
      <c r="Q68" s="2962"/>
      <c r="R68" s="2883"/>
      <c r="S68" s="2883"/>
      <c r="T68" s="2883"/>
      <c r="U68" s="2883"/>
      <c r="V68" s="2883"/>
      <c r="W68" s="2883"/>
      <c r="X68" s="2883"/>
      <c r="Y68" s="2883"/>
      <c r="Z68" s="2883"/>
      <c r="AA68" s="2883"/>
      <c r="AB68" s="2883"/>
      <c r="AC68" s="2883"/>
      <c r="AD68" s="2883"/>
      <c r="AE68" s="2883"/>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3"/>
      <c r="S69" s="2883"/>
      <c r="T69" s="2883"/>
      <c r="U69" s="2883"/>
      <c r="V69" s="2883"/>
      <c r="W69" s="2883"/>
      <c r="X69" s="2883"/>
      <c r="Y69" s="2883"/>
      <c r="Z69" s="2883"/>
      <c r="AA69" s="2883"/>
      <c r="AB69" s="2883"/>
      <c r="AC69" s="2883"/>
      <c r="AD69" s="2883"/>
      <c r="AE69" s="2883"/>
    </row>
    <row r="70" spans="1:31">
      <c r="A70" s="484" t="s">
        <v>2409</v>
      </c>
      <c r="B70" s="485" t="s">
        <v>2375</v>
      </c>
      <c r="C70" s="3065" t="s">
        <v>3361</v>
      </c>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2378</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2379</v>
      </c>
      <c r="C74" s="504" t="str">
        <f>C75&amp;"（含）"&amp;"-"&amp;D75</f>
        <v>0（含）-0.5</v>
      </c>
      <c r="D74" s="504" t="str">
        <f t="shared" ref="D74:L74" si="20">D75&amp;"（含）"&amp;"-"&amp;E75</f>
        <v>0.5（含）-1</v>
      </c>
      <c r="E74" s="504" t="str">
        <f t="shared" si="20"/>
        <v>1（含）-1.5</v>
      </c>
      <c r="F74" s="504" t="str">
        <f t="shared" si="20"/>
        <v>1.5（含）-2</v>
      </c>
      <c r="G74" s="504" t="str">
        <f t="shared" si="20"/>
        <v>2（含）-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v>0</v>
      </c>
      <c r="D75" s="506">
        <v>0.5</v>
      </c>
      <c r="E75" s="506">
        <v>1</v>
      </c>
      <c r="F75" s="506">
        <v>1.5</v>
      </c>
      <c r="G75" s="506">
        <v>2</v>
      </c>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100.5</v>
      </c>
      <c r="E76" s="501">
        <f t="shared" ref="E76:M76" si="21">IF($B$41="单位面积地价",D76+$K11,D76-$K11)</f>
        <v>101</v>
      </c>
      <c r="F76" s="501">
        <f t="shared" si="21"/>
        <v>101.5</v>
      </c>
      <c r="G76" s="501">
        <f t="shared" si="21"/>
        <v>102</v>
      </c>
      <c r="H76" s="501">
        <f t="shared" si="21"/>
        <v>102.5</v>
      </c>
      <c r="I76" s="501">
        <f t="shared" si="21"/>
        <v>103</v>
      </c>
      <c r="J76" s="501">
        <f t="shared" si="21"/>
        <v>103.5</v>
      </c>
      <c r="K76" s="501">
        <f t="shared" si="21"/>
        <v>104</v>
      </c>
      <c r="L76" s="501">
        <f t="shared" si="21"/>
        <v>104.5</v>
      </c>
      <c r="M76" s="501">
        <f t="shared" si="21"/>
        <v>105</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2380</v>
      </c>
      <c r="B83" s="485" t="s">
        <v>2526</v>
      </c>
      <c r="C83" s="530" t="s">
        <v>2418</v>
      </c>
      <c r="D83" s="530" t="s">
        <v>2419</v>
      </c>
      <c r="E83" s="530" t="s">
        <v>2420</v>
      </c>
      <c r="F83" s="530" t="s">
        <v>2421</v>
      </c>
      <c r="G83" s="530" t="s">
        <v>2422</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98</v>
      </c>
      <c r="E84" s="501">
        <f>D84-$K15</f>
        <v>96</v>
      </c>
      <c r="F84" s="501">
        <f>E84-$K15</f>
        <v>94</v>
      </c>
      <c r="G84" s="501">
        <f>F84-$K15</f>
        <v>92</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2423</v>
      </c>
      <c r="C85" s="535" t="s">
        <v>2418</v>
      </c>
      <c r="D85" s="535" t="s">
        <v>2419</v>
      </c>
      <c r="E85" s="535" t="s">
        <v>2420</v>
      </c>
      <c r="F85" s="535" t="s">
        <v>2421</v>
      </c>
      <c r="G85" s="535" t="s">
        <v>2422</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98</v>
      </c>
      <c r="E86" s="501">
        <f>D86-$K17</f>
        <v>96</v>
      </c>
      <c r="F86" s="501">
        <f>E86-$K17</f>
        <v>94</v>
      </c>
      <c r="G86" s="501">
        <f>F86-$K17</f>
        <v>92</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5"/>
      <c r="O87" s="2975"/>
      <c r="P87" s="3001"/>
      <c r="Q87" s="2962"/>
      <c r="R87" s="2883"/>
      <c r="S87" s="2883"/>
      <c r="T87" s="2883"/>
      <c r="U87" s="2883"/>
      <c r="V87" s="2883"/>
      <c r="W87" s="2883"/>
      <c r="X87" s="2883"/>
      <c r="Y87" s="2883"/>
      <c r="Z87" s="2883"/>
      <c r="AA87" s="2883"/>
      <c r="AB87" s="2883"/>
      <c r="AC87" s="2883"/>
      <c r="AD87" s="2883"/>
      <c r="AE87" s="2883"/>
    </row>
    <row r="88" spans="1:31" s="113" customFormat="1" ht="15.75" thickBot="1">
      <c r="A88" s="536"/>
      <c r="B88" s="500"/>
      <c r="C88" s="539">
        <v>100</v>
      </c>
      <c r="D88" s="501">
        <f>C88-$K19</f>
        <v>99</v>
      </c>
      <c r="E88" s="501">
        <f>D88-$K19</f>
        <v>98</v>
      </c>
      <c r="F88" s="501">
        <f>E88-$K19</f>
        <v>97</v>
      </c>
      <c r="G88" s="501">
        <f>F88-$K19</f>
        <v>96</v>
      </c>
      <c r="H88" s="501"/>
      <c r="I88" s="501"/>
      <c r="J88" s="501"/>
      <c r="K88" s="501"/>
      <c r="L88" s="501"/>
      <c r="M88" s="502"/>
      <c r="N88" s="2977"/>
      <c r="O88" s="2977"/>
      <c r="P88" s="3001"/>
      <c r="Q88" s="2962"/>
      <c r="R88" s="2883"/>
      <c r="S88" s="2883"/>
      <c r="T88" s="2883"/>
      <c r="U88" s="2883"/>
      <c r="V88" s="2883"/>
      <c r="W88" s="2883"/>
      <c r="X88" s="2883"/>
      <c r="Y88" s="2883"/>
      <c r="Z88" s="2883"/>
      <c r="AA88" s="2883"/>
      <c r="AB88" s="2883"/>
      <c r="AC88" s="2883"/>
      <c r="AD88" s="2883"/>
      <c r="AE88" s="2883"/>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5"/>
      <c r="O89" s="2975"/>
      <c r="P89" s="3001"/>
      <c r="Q89" s="2962"/>
      <c r="R89" s="2883"/>
      <c r="S89" s="2883"/>
      <c r="T89" s="2883"/>
      <c r="U89" s="2883"/>
      <c r="V89" s="2883"/>
      <c r="W89" s="2883"/>
      <c r="X89" s="2883"/>
      <c r="Y89" s="2883"/>
      <c r="Z89" s="2883"/>
      <c r="AA89" s="2883"/>
      <c r="AB89" s="2883"/>
      <c r="AC89" s="2883"/>
      <c r="AD89" s="2883"/>
      <c r="AE89" s="2883"/>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77"/>
      <c r="O90" s="2977"/>
      <c r="P90" s="3001"/>
      <c r="Q90" s="2962"/>
      <c r="R90" s="2883"/>
      <c r="S90" s="2883"/>
      <c r="T90" s="2883"/>
      <c r="U90" s="2883"/>
      <c r="V90" s="2883"/>
      <c r="W90" s="2883"/>
      <c r="X90" s="2883"/>
      <c r="Y90" s="2883"/>
      <c r="Z90" s="2883"/>
      <c r="AA90" s="2883"/>
      <c r="AB90" s="2883"/>
      <c r="AC90" s="2883"/>
      <c r="AD90" s="2883"/>
      <c r="AE90" s="2883"/>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94"/>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2512</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2571</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ht="28.5">
      <c r="A107" s="484" t="s">
        <v>2384</v>
      </c>
      <c r="B107" s="485" t="s">
        <v>2612</v>
      </c>
      <c r="C107" s="486" t="str">
        <f t="shared" ref="C107:L107" si="25">C108&amp;"(含)"&amp;"-"&amp;D108</f>
        <v>0(含)-50000</v>
      </c>
      <c r="D107" s="486" t="str">
        <f t="shared" si="25"/>
        <v>50000(含)-100000</v>
      </c>
      <c r="E107" s="486" t="str">
        <f t="shared" si="25"/>
        <v>100000(含)-150000</v>
      </c>
      <c r="F107" s="486" t="str">
        <f t="shared" si="25"/>
        <v>150000(含)-200000</v>
      </c>
      <c r="G107" s="486" t="str">
        <f t="shared" si="25"/>
        <v>200000(含)-250000</v>
      </c>
      <c r="H107" s="486" t="str">
        <f t="shared" si="25"/>
        <v>250000(含)-300000</v>
      </c>
      <c r="I107" s="486" t="str">
        <f t="shared" si="25"/>
        <v>300000(含)-</v>
      </c>
      <c r="J107" s="486" t="str">
        <f t="shared" si="25"/>
        <v>(含)-</v>
      </c>
      <c r="K107" s="1503" t="str">
        <f t="shared" si="25"/>
        <v>(含)-</v>
      </c>
      <c r="L107" s="1503" t="str">
        <f t="shared" si="25"/>
        <v>(含)-</v>
      </c>
      <c r="M107" s="1504"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v>0</v>
      </c>
      <c r="D108" s="552">
        <f>C108+50000</f>
        <v>50000</v>
      </c>
      <c r="E108" s="552">
        <f t="shared" ref="E108:I108" si="26">D108+50000</f>
        <v>100000</v>
      </c>
      <c r="F108" s="552">
        <f t="shared" si="26"/>
        <v>150000</v>
      </c>
      <c r="G108" s="552">
        <f t="shared" si="26"/>
        <v>200000</v>
      </c>
      <c r="H108" s="552">
        <f t="shared" si="26"/>
        <v>250000</v>
      </c>
      <c r="I108" s="552">
        <f t="shared" si="26"/>
        <v>300000</v>
      </c>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v>100</v>
      </c>
      <c r="D109" s="548">
        <f>C109+1</f>
        <v>101</v>
      </c>
      <c r="E109" s="548">
        <f t="shared" ref="E109:I109" si="27">D109+1</f>
        <v>102</v>
      </c>
      <c r="F109" s="548">
        <f t="shared" si="27"/>
        <v>103</v>
      </c>
      <c r="G109" s="548">
        <f t="shared" si="27"/>
        <v>104</v>
      </c>
      <c r="H109" s="548">
        <f t="shared" si="27"/>
        <v>105</v>
      </c>
      <c r="I109" s="548">
        <f t="shared" si="27"/>
        <v>106</v>
      </c>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2613</v>
      </c>
      <c r="C110" s="3066" t="s">
        <v>3363</v>
      </c>
      <c r="D110" s="3066" t="s">
        <v>3364</v>
      </c>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8">C111-$K35</f>
        <v>98</v>
      </c>
      <c r="E111" s="501">
        <f t="shared" si="28"/>
        <v>96</v>
      </c>
      <c r="F111" s="501">
        <f t="shared" si="28"/>
        <v>94</v>
      </c>
      <c r="G111" s="501">
        <f t="shared" si="28"/>
        <v>92</v>
      </c>
      <c r="H111" s="501">
        <f t="shared" si="28"/>
        <v>90</v>
      </c>
      <c r="I111" s="501">
        <f t="shared" si="28"/>
        <v>88</v>
      </c>
      <c r="J111" s="501">
        <f t="shared" si="28"/>
        <v>86</v>
      </c>
      <c r="K111" s="501">
        <f t="shared" si="28"/>
        <v>84</v>
      </c>
      <c r="L111" s="501">
        <f t="shared" si="28"/>
        <v>82</v>
      </c>
      <c r="M111" s="502">
        <f t="shared" si="28"/>
        <v>80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2615</v>
      </c>
      <c r="C112" s="3067" t="s">
        <v>3365</v>
      </c>
      <c r="D112" s="3067" t="s">
        <v>3366</v>
      </c>
      <c r="E112" s="3067" t="s">
        <v>3367</v>
      </c>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9">C113-$K36</f>
        <v>99</v>
      </c>
      <c r="E113" s="501">
        <f t="shared" si="29"/>
        <v>98</v>
      </c>
      <c r="F113" s="501">
        <f t="shared" si="29"/>
        <v>97</v>
      </c>
      <c r="G113" s="501">
        <f t="shared" si="29"/>
        <v>96</v>
      </c>
      <c r="H113" s="501">
        <f t="shared" si="29"/>
        <v>95</v>
      </c>
      <c r="I113" s="501">
        <f t="shared" si="29"/>
        <v>94</v>
      </c>
      <c r="J113" s="501">
        <f t="shared" si="29"/>
        <v>93</v>
      </c>
      <c r="K113" s="501">
        <f t="shared" si="29"/>
        <v>92</v>
      </c>
      <c r="L113" s="501">
        <f t="shared" si="29"/>
        <v>91</v>
      </c>
      <c r="M113" s="502">
        <f t="shared" si="29"/>
        <v>90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2616</v>
      </c>
      <c r="C114" s="3067" t="s">
        <v>3368</v>
      </c>
      <c r="D114" s="3067" t="s">
        <v>3369</v>
      </c>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30">C115-$K37</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V51"/>
  <sheetViews>
    <sheetView workbookViewId="0">
      <selection activeCell="AZ37" sqref="AZ37"/>
    </sheetView>
  </sheetViews>
  <sheetFormatPr defaultRowHeight="12"/>
  <cols>
    <col min="1" max="1" width="34.375" style="3055" customWidth="1"/>
    <col min="2" max="2" width="6.25" style="3055" hidden="1" customWidth="1"/>
    <col min="3" max="3" width="7.875" style="3055" customWidth="1"/>
    <col min="4" max="4" width="19.5" style="3055" hidden="1" customWidth="1"/>
    <col min="5" max="5" width="4.625" style="3055" hidden="1" customWidth="1"/>
    <col min="6" max="6" width="34.375" style="3055" hidden="1" customWidth="1"/>
    <col min="7" max="7" width="9.25" style="3055" hidden="1" customWidth="1"/>
    <col min="8" max="9" width="13.875" style="3055" customWidth="1"/>
    <col min="10" max="10" width="11.75" style="3055" customWidth="1"/>
    <col min="11" max="14" width="7.875" style="3055" hidden="1" customWidth="1"/>
    <col min="15" max="15" width="11.25" style="3055" customWidth="1"/>
    <col min="16" max="16" width="7.875" style="3055" hidden="1" customWidth="1"/>
    <col min="17" max="17" width="9.625" style="3055" hidden="1" customWidth="1"/>
    <col min="18" max="19" width="15.5" style="3055" hidden="1" customWidth="1"/>
    <col min="20" max="20" width="12.875" style="3055" hidden="1" customWidth="1"/>
    <col min="21" max="22" width="11.25" style="3055" hidden="1" customWidth="1"/>
    <col min="23" max="23" width="17.875" style="3055" hidden="1" customWidth="1"/>
    <col min="24" max="24" width="7.875" style="3055" hidden="1" customWidth="1"/>
    <col min="25" max="27" width="9" style="3055" hidden="1" customWidth="1"/>
    <col min="28" max="28" width="9" style="3055" customWidth="1"/>
    <col min="29" max="29" width="18.75" style="3055" hidden="1" customWidth="1"/>
    <col min="30" max="30" width="7.875" style="3055" hidden="1" customWidth="1"/>
    <col min="31" max="31" width="27.75" style="3055" customWidth="1"/>
    <col min="32" max="32" width="7.875" style="3055" hidden="1" customWidth="1"/>
    <col min="33" max="34" width="10.625" style="3055" hidden="1" customWidth="1"/>
    <col min="35" max="35" width="10.625" style="3055" customWidth="1"/>
    <col min="36" max="36" width="16" style="3055" hidden="1" customWidth="1"/>
    <col min="37" max="37" width="16" style="3055" customWidth="1"/>
    <col min="38" max="38" width="14.375" style="3055" hidden="1" customWidth="1"/>
    <col min="39" max="39" width="14.375" style="3055" customWidth="1"/>
    <col min="40" max="41" width="21.875" style="3055" hidden="1" customWidth="1"/>
    <col min="42" max="42" width="6.25" style="3055" customWidth="1"/>
    <col min="43" max="43" width="7.875" style="3055" customWidth="1"/>
    <col min="44" max="44" width="16.875" style="3055" hidden="1" customWidth="1"/>
    <col min="45" max="46" width="20.125" style="3055" hidden="1" customWidth="1"/>
    <col min="47" max="47" width="7.875" style="3055" hidden="1" customWidth="1"/>
    <col min="48" max="256" width="9" style="3055"/>
    <col min="257" max="257" width="34.375" style="3055" customWidth="1"/>
    <col min="258" max="258" width="6.25" style="3055" customWidth="1"/>
    <col min="259" max="259" width="7.875" style="3055" customWidth="1"/>
    <col min="260" max="260" width="19.5" style="3055" customWidth="1"/>
    <col min="261" max="261" width="4.625" style="3055" customWidth="1"/>
    <col min="262" max="262" width="34.375" style="3055" customWidth="1"/>
    <col min="263" max="263" width="9.25" style="3055" customWidth="1"/>
    <col min="264" max="265" width="13.875" style="3055" customWidth="1"/>
    <col min="266" max="266" width="11.75" style="3055" customWidth="1"/>
    <col min="267" max="270" width="7.875" style="3055" customWidth="1"/>
    <col min="271" max="271" width="11.25" style="3055" customWidth="1"/>
    <col min="272" max="272" width="7.875" style="3055" customWidth="1"/>
    <col min="273" max="273" width="9.625" style="3055" customWidth="1"/>
    <col min="274" max="275" width="15.5" style="3055" customWidth="1"/>
    <col min="276" max="276" width="12.875" style="3055" customWidth="1"/>
    <col min="277" max="278" width="11.25" style="3055" customWidth="1"/>
    <col min="279" max="279" width="17.875" style="3055" customWidth="1"/>
    <col min="280" max="280" width="7.875" style="3055" customWidth="1"/>
    <col min="281" max="284" width="9" style="3055" customWidth="1"/>
    <col min="285" max="285" width="18.75" style="3055" customWidth="1"/>
    <col min="286" max="286" width="7.875" style="3055" customWidth="1"/>
    <col min="287" max="287" width="27.75" style="3055" customWidth="1"/>
    <col min="288" max="288" width="7.875" style="3055" customWidth="1"/>
    <col min="289" max="291" width="10.625" style="3055" customWidth="1"/>
    <col min="292" max="293" width="16" style="3055" customWidth="1"/>
    <col min="294" max="295" width="14.375" style="3055" customWidth="1"/>
    <col min="296" max="297" width="21.875" style="3055" customWidth="1"/>
    <col min="298" max="298" width="6.25" style="3055" customWidth="1"/>
    <col min="299" max="299" width="7.875" style="3055" customWidth="1"/>
    <col min="300" max="300" width="16.875" style="3055" customWidth="1"/>
    <col min="301" max="302" width="20.125" style="3055" customWidth="1"/>
    <col min="303" max="303" width="7.875" style="3055" customWidth="1"/>
    <col min="304" max="512" width="9" style="3055"/>
    <col min="513" max="513" width="34.375" style="3055" customWidth="1"/>
    <col min="514" max="514" width="6.25" style="3055" customWidth="1"/>
    <col min="515" max="515" width="7.875" style="3055" customWidth="1"/>
    <col min="516" max="516" width="19.5" style="3055" customWidth="1"/>
    <col min="517" max="517" width="4.625" style="3055" customWidth="1"/>
    <col min="518" max="518" width="34.375" style="3055" customWidth="1"/>
    <col min="519" max="519" width="9.25" style="3055" customWidth="1"/>
    <col min="520" max="521" width="13.875" style="3055" customWidth="1"/>
    <col min="522" max="522" width="11.75" style="3055" customWidth="1"/>
    <col min="523" max="526" width="7.875" style="3055" customWidth="1"/>
    <col min="527" max="527" width="11.25" style="3055" customWidth="1"/>
    <col min="528" max="528" width="7.875" style="3055" customWidth="1"/>
    <col min="529" max="529" width="9.625" style="3055" customWidth="1"/>
    <col min="530" max="531" width="15.5" style="3055" customWidth="1"/>
    <col min="532" max="532" width="12.875" style="3055" customWidth="1"/>
    <col min="533" max="534" width="11.25" style="3055" customWidth="1"/>
    <col min="535" max="535" width="17.875" style="3055" customWidth="1"/>
    <col min="536" max="536" width="7.875" style="3055" customWidth="1"/>
    <col min="537" max="540" width="9" style="3055" customWidth="1"/>
    <col min="541" max="541" width="18.75" style="3055" customWidth="1"/>
    <col min="542" max="542" width="7.875" style="3055" customWidth="1"/>
    <col min="543" max="543" width="27.75" style="3055" customWidth="1"/>
    <col min="544" max="544" width="7.875" style="3055" customWidth="1"/>
    <col min="545" max="547" width="10.625" style="3055" customWidth="1"/>
    <col min="548" max="549" width="16" style="3055" customWidth="1"/>
    <col min="550" max="551" width="14.375" style="3055" customWidth="1"/>
    <col min="552" max="553" width="21.875" style="3055" customWidth="1"/>
    <col min="554" max="554" width="6.25" style="3055" customWidth="1"/>
    <col min="555" max="555" width="7.875" style="3055" customWidth="1"/>
    <col min="556" max="556" width="16.875" style="3055" customWidth="1"/>
    <col min="557" max="558" width="20.125" style="3055" customWidth="1"/>
    <col min="559" max="559" width="7.875" style="3055" customWidth="1"/>
    <col min="560" max="768" width="9" style="3055"/>
    <col min="769" max="769" width="34.375" style="3055" customWidth="1"/>
    <col min="770" max="770" width="6.25" style="3055" customWidth="1"/>
    <col min="771" max="771" width="7.875" style="3055" customWidth="1"/>
    <col min="772" max="772" width="19.5" style="3055" customWidth="1"/>
    <col min="773" max="773" width="4.625" style="3055" customWidth="1"/>
    <col min="774" max="774" width="34.375" style="3055" customWidth="1"/>
    <col min="775" max="775" width="9.25" style="3055" customWidth="1"/>
    <col min="776" max="777" width="13.875" style="3055" customWidth="1"/>
    <col min="778" max="778" width="11.75" style="3055" customWidth="1"/>
    <col min="779" max="782" width="7.875" style="3055" customWidth="1"/>
    <col min="783" max="783" width="11.25" style="3055" customWidth="1"/>
    <col min="784" max="784" width="7.875" style="3055" customWidth="1"/>
    <col min="785" max="785" width="9.625" style="3055" customWidth="1"/>
    <col min="786" max="787" width="15.5" style="3055" customWidth="1"/>
    <col min="788" max="788" width="12.875" style="3055" customWidth="1"/>
    <col min="789" max="790" width="11.25" style="3055" customWidth="1"/>
    <col min="791" max="791" width="17.875" style="3055" customWidth="1"/>
    <col min="792" max="792" width="7.875" style="3055" customWidth="1"/>
    <col min="793" max="796" width="9" style="3055" customWidth="1"/>
    <col min="797" max="797" width="18.75" style="3055" customWidth="1"/>
    <col min="798" max="798" width="7.875" style="3055" customWidth="1"/>
    <col min="799" max="799" width="27.75" style="3055" customWidth="1"/>
    <col min="800" max="800" width="7.875" style="3055" customWidth="1"/>
    <col min="801" max="803" width="10.625" style="3055" customWidth="1"/>
    <col min="804" max="805" width="16" style="3055" customWidth="1"/>
    <col min="806" max="807" width="14.375" style="3055" customWidth="1"/>
    <col min="808" max="809" width="21.875" style="3055" customWidth="1"/>
    <col min="810" max="810" width="6.25" style="3055" customWidth="1"/>
    <col min="811" max="811" width="7.875" style="3055" customWidth="1"/>
    <col min="812" max="812" width="16.875" style="3055" customWidth="1"/>
    <col min="813" max="814" width="20.125" style="3055" customWidth="1"/>
    <col min="815" max="815" width="7.875" style="3055" customWidth="1"/>
    <col min="816" max="1024" width="9" style="3055"/>
    <col min="1025" max="1025" width="34.375" style="3055" customWidth="1"/>
    <col min="1026" max="1026" width="6.25" style="3055" customWidth="1"/>
    <col min="1027" max="1027" width="7.875" style="3055" customWidth="1"/>
    <col min="1028" max="1028" width="19.5" style="3055" customWidth="1"/>
    <col min="1029" max="1029" width="4.625" style="3055" customWidth="1"/>
    <col min="1030" max="1030" width="34.375" style="3055" customWidth="1"/>
    <col min="1031" max="1031" width="9.25" style="3055" customWidth="1"/>
    <col min="1032" max="1033" width="13.875" style="3055" customWidth="1"/>
    <col min="1034" max="1034" width="11.75" style="3055" customWidth="1"/>
    <col min="1035" max="1038" width="7.875" style="3055" customWidth="1"/>
    <col min="1039" max="1039" width="11.25" style="3055" customWidth="1"/>
    <col min="1040" max="1040" width="7.875" style="3055" customWidth="1"/>
    <col min="1041" max="1041" width="9.625" style="3055" customWidth="1"/>
    <col min="1042" max="1043" width="15.5" style="3055" customWidth="1"/>
    <col min="1044" max="1044" width="12.875" style="3055" customWidth="1"/>
    <col min="1045" max="1046" width="11.25" style="3055" customWidth="1"/>
    <col min="1047" max="1047" width="17.875" style="3055" customWidth="1"/>
    <col min="1048" max="1048" width="7.875" style="3055" customWidth="1"/>
    <col min="1049" max="1052" width="9" style="3055" customWidth="1"/>
    <col min="1053" max="1053" width="18.75" style="3055" customWidth="1"/>
    <col min="1054" max="1054" width="7.875" style="3055" customWidth="1"/>
    <col min="1055" max="1055" width="27.75" style="3055" customWidth="1"/>
    <col min="1056" max="1056" width="7.875" style="3055" customWidth="1"/>
    <col min="1057" max="1059" width="10.625" style="3055" customWidth="1"/>
    <col min="1060" max="1061" width="16" style="3055" customWidth="1"/>
    <col min="1062" max="1063" width="14.375" style="3055" customWidth="1"/>
    <col min="1064" max="1065" width="21.875" style="3055" customWidth="1"/>
    <col min="1066" max="1066" width="6.25" style="3055" customWidth="1"/>
    <col min="1067" max="1067" width="7.875" style="3055" customWidth="1"/>
    <col min="1068" max="1068" width="16.875" style="3055" customWidth="1"/>
    <col min="1069" max="1070" width="20.125" style="3055" customWidth="1"/>
    <col min="1071" max="1071" width="7.875" style="3055" customWidth="1"/>
    <col min="1072" max="1280" width="9" style="3055"/>
    <col min="1281" max="1281" width="34.375" style="3055" customWidth="1"/>
    <col min="1282" max="1282" width="6.25" style="3055" customWidth="1"/>
    <col min="1283" max="1283" width="7.875" style="3055" customWidth="1"/>
    <col min="1284" max="1284" width="19.5" style="3055" customWidth="1"/>
    <col min="1285" max="1285" width="4.625" style="3055" customWidth="1"/>
    <col min="1286" max="1286" width="34.375" style="3055" customWidth="1"/>
    <col min="1287" max="1287" width="9.25" style="3055" customWidth="1"/>
    <col min="1288" max="1289" width="13.875" style="3055" customWidth="1"/>
    <col min="1290" max="1290" width="11.75" style="3055" customWidth="1"/>
    <col min="1291" max="1294" width="7.875" style="3055" customWidth="1"/>
    <col min="1295" max="1295" width="11.25" style="3055" customWidth="1"/>
    <col min="1296" max="1296" width="7.875" style="3055" customWidth="1"/>
    <col min="1297" max="1297" width="9.625" style="3055" customWidth="1"/>
    <col min="1298" max="1299" width="15.5" style="3055" customWidth="1"/>
    <col min="1300" max="1300" width="12.875" style="3055" customWidth="1"/>
    <col min="1301" max="1302" width="11.25" style="3055" customWidth="1"/>
    <col min="1303" max="1303" width="17.875" style="3055" customWidth="1"/>
    <col min="1304" max="1304" width="7.875" style="3055" customWidth="1"/>
    <col min="1305" max="1308" width="9" style="3055" customWidth="1"/>
    <col min="1309" max="1309" width="18.75" style="3055" customWidth="1"/>
    <col min="1310" max="1310" width="7.875" style="3055" customWidth="1"/>
    <col min="1311" max="1311" width="27.75" style="3055" customWidth="1"/>
    <col min="1312" max="1312" width="7.875" style="3055" customWidth="1"/>
    <col min="1313" max="1315" width="10.625" style="3055" customWidth="1"/>
    <col min="1316" max="1317" width="16" style="3055" customWidth="1"/>
    <col min="1318" max="1319" width="14.375" style="3055" customWidth="1"/>
    <col min="1320" max="1321" width="21.875" style="3055" customWidth="1"/>
    <col min="1322" max="1322" width="6.25" style="3055" customWidth="1"/>
    <col min="1323" max="1323" width="7.875" style="3055" customWidth="1"/>
    <col min="1324" max="1324" width="16.875" style="3055" customWidth="1"/>
    <col min="1325" max="1326" width="20.125" style="3055" customWidth="1"/>
    <col min="1327" max="1327" width="7.875" style="3055" customWidth="1"/>
    <col min="1328" max="1536" width="9" style="3055"/>
    <col min="1537" max="1537" width="34.375" style="3055" customWidth="1"/>
    <col min="1538" max="1538" width="6.25" style="3055" customWidth="1"/>
    <col min="1539" max="1539" width="7.875" style="3055" customWidth="1"/>
    <col min="1540" max="1540" width="19.5" style="3055" customWidth="1"/>
    <col min="1541" max="1541" width="4.625" style="3055" customWidth="1"/>
    <col min="1542" max="1542" width="34.375" style="3055" customWidth="1"/>
    <col min="1543" max="1543" width="9.25" style="3055" customWidth="1"/>
    <col min="1544" max="1545" width="13.875" style="3055" customWidth="1"/>
    <col min="1546" max="1546" width="11.75" style="3055" customWidth="1"/>
    <col min="1547" max="1550" width="7.875" style="3055" customWidth="1"/>
    <col min="1551" max="1551" width="11.25" style="3055" customWidth="1"/>
    <col min="1552" max="1552" width="7.875" style="3055" customWidth="1"/>
    <col min="1553" max="1553" width="9.625" style="3055" customWidth="1"/>
    <col min="1554" max="1555" width="15.5" style="3055" customWidth="1"/>
    <col min="1556" max="1556" width="12.875" style="3055" customWidth="1"/>
    <col min="1557" max="1558" width="11.25" style="3055" customWidth="1"/>
    <col min="1559" max="1559" width="17.875" style="3055" customWidth="1"/>
    <col min="1560" max="1560" width="7.875" style="3055" customWidth="1"/>
    <col min="1561" max="1564" width="9" style="3055" customWidth="1"/>
    <col min="1565" max="1565" width="18.75" style="3055" customWidth="1"/>
    <col min="1566" max="1566" width="7.875" style="3055" customWidth="1"/>
    <col min="1567" max="1567" width="27.75" style="3055" customWidth="1"/>
    <col min="1568" max="1568" width="7.875" style="3055" customWidth="1"/>
    <col min="1569" max="1571" width="10.625" style="3055" customWidth="1"/>
    <col min="1572" max="1573" width="16" style="3055" customWidth="1"/>
    <col min="1574" max="1575" width="14.375" style="3055" customWidth="1"/>
    <col min="1576" max="1577" width="21.875" style="3055" customWidth="1"/>
    <col min="1578" max="1578" width="6.25" style="3055" customWidth="1"/>
    <col min="1579" max="1579" width="7.875" style="3055" customWidth="1"/>
    <col min="1580" max="1580" width="16.875" style="3055" customWidth="1"/>
    <col min="1581" max="1582" width="20.125" style="3055" customWidth="1"/>
    <col min="1583" max="1583" width="7.875" style="3055" customWidth="1"/>
    <col min="1584" max="1792" width="9" style="3055"/>
    <col min="1793" max="1793" width="34.375" style="3055" customWidth="1"/>
    <col min="1794" max="1794" width="6.25" style="3055" customWidth="1"/>
    <col min="1795" max="1795" width="7.875" style="3055" customWidth="1"/>
    <col min="1796" max="1796" width="19.5" style="3055" customWidth="1"/>
    <col min="1797" max="1797" width="4.625" style="3055" customWidth="1"/>
    <col min="1798" max="1798" width="34.375" style="3055" customWidth="1"/>
    <col min="1799" max="1799" width="9.25" style="3055" customWidth="1"/>
    <col min="1800" max="1801" width="13.875" style="3055" customWidth="1"/>
    <col min="1802" max="1802" width="11.75" style="3055" customWidth="1"/>
    <col min="1803" max="1806" width="7.875" style="3055" customWidth="1"/>
    <col min="1807" max="1807" width="11.25" style="3055" customWidth="1"/>
    <col min="1808" max="1808" width="7.875" style="3055" customWidth="1"/>
    <col min="1809" max="1809" width="9.625" style="3055" customWidth="1"/>
    <col min="1810" max="1811" width="15.5" style="3055" customWidth="1"/>
    <col min="1812" max="1812" width="12.875" style="3055" customWidth="1"/>
    <col min="1813" max="1814" width="11.25" style="3055" customWidth="1"/>
    <col min="1815" max="1815" width="17.875" style="3055" customWidth="1"/>
    <col min="1816" max="1816" width="7.875" style="3055" customWidth="1"/>
    <col min="1817" max="1820" width="9" style="3055" customWidth="1"/>
    <col min="1821" max="1821" width="18.75" style="3055" customWidth="1"/>
    <col min="1822" max="1822" width="7.875" style="3055" customWidth="1"/>
    <col min="1823" max="1823" width="27.75" style="3055" customWidth="1"/>
    <col min="1824" max="1824" width="7.875" style="3055" customWidth="1"/>
    <col min="1825" max="1827" width="10.625" style="3055" customWidth="1"/>
    <col min="1828" max="1829" width="16" style="3055" customWidth="1"/>
    <col min="1830" max="1831" width="14.375" style="3055" customWidth="1"/>
    <col min="1832" max="1833" width="21.875" style="3055" customWidth="1"/>
    <col min="1834" max="1834" width="6.25" style="3055" customWidth="1"/>
    <col min="1835" max="1835" width="7.875" style="3055" customWidth="1"/>
    <col min="1836" max="1836" width="16.875" style="3055" customWidth="1"/>
    <col min="1837" max="1838" width="20.125" style="3055" customWidth="1"/>
    <col min="1839" max="1839" width="7.875" style="3055" customWidth="1"/>
    <col min="1840" max="2048" width="9" style="3055"/>
    <col min="2049" max="2049" width="34.375" style="3055" customWidth="1"/>
    <col min="2050" max="2050" width="6.25" style="3055" customWidth="1"/>
    <col min="2051" max="2051" width="7.875" style="3055" customWidth="1"/>
    <col min="2052" max="2052" width="19.5" style="3055" customWidth="1"/>
    <col min="2053" max="2053" width="4.625" style="3055" customWidth="1"/>
    <col min="2054" max="2054" width="34.375" style="3055" customWidth="1"/>
    <col min="2055" max="2055" width="9.25" style="3055" customWidth="1"/>
    <col min="2056" max="2057" width="13.875" style="3055" customWidth="1"/>
    <col min="2058" max="2058" width="11.75" style="3055" customWidth="1"/>
    <col min="2059" max="2062" width="7.875" style="3055" customWidth="1"/>
    <col min="2063" max="2063" width="11.25" style="3055" customWidth="1"/>
    <col min="2064" max="2064" width="7.875" style="3055" customWidth="1"/>
    <col min="2065" max="2065" width="9.625" style="3055" customWidth="1"/>
    <col min="2066" max="2067" width="15.5" style="3055" customWidth="1"/>
    <col min="2068" max="2068" width="12.875" style="3055" customWidth="1"/>
    <col min="2069" max="2070" width="11.25" style="3055" customWidth="1"/>
    <col min="2071" max="2071" width="17.875" style="3055" customWidth="1"/>
    <col min="2072" max="2072" width="7.875" style="3055" customWidth="1"/>
    <col min="2073" max="2076" width="9" style="3055" customWidth="1"/>
    <col min="2077" max="2077" width="18.75" style="3055" customWidth="1"/>
    <col min="2078" max="2078" width="7.875" style="3055" customWidth="1"/>
    <col min="2079" max="2079" width="27.75" style="3055" customWidth="1"/>
    <col min="2080" max="2080" width="7.875" style="3055" customWidth="1"/>
    <col min="2081" max="2083" width="10.625" style="3055" customWidth="1"/>
    <col min="2084" max="2085" width="16" style="3055" customWidth="1"/>
    <col min="2086" max="2087" width="14.375" style="3055" customWidth="1"/>
    <col min="2088" max="2089" width="21.875" style="3055" customWidth="1"/>
    <col min="2090" max="2090" width="6.25" style="3055" customWidth="1"/>
    <col min="2091" max="2091" width="7.875" style="3055" customWidth="1"/>
    <col min="2092" max="2092" width="16.875" style="3055" customWidth="1"/>
    <col min="2093" max="2094" width="20.125" style="3055" customWidth="1"/>
    <col min="2095" max="2095" width="7.875" style="3055" customWidth="1"/>
    <col min="2096" max="2304" width="9" style="3055"/>
    <col min="2305" max="2305" width="34.375" style="3055" customWidth="1"/>
    <col min="2306" max="2306" width="6.25" style="3055" customWidth="1"/>
    <col min="2307" max="2307" width="7.875" style="3055" customWidth="1"/>
    <col min="2308" max="2308" width="19.5" style="3055" customWidth="1"/>
    <col min="2309" max="2309" width="4.625" style="3055" customWidth="1"/>
    <col min="2310" max="2310" width="34.375" style="3055" customWidth="1"/>
    <col min="2311" max="2311" width="9.25" style="3055" customWidth="1"/>
    <col min="2312" max="2313" width="13.875" style="3055" customWidth="1"/>
    <col min="2314" max="2314" width="11.75" style="3055" customWidth="1"/>
    <col min="2315" max="2318" width="7.875" style="3055" customWidth="1"/>
    <col min="2319" max="2319" width="11.25" style="3055" customWidth="1"/>
    <col min="2320" max="2320" width="7.875" style="3055" customWidth="1"/>
    <col min="2321" max="2321" width="9.625" style="3055" customWidth="1"/>
    <col min="2322" max="2323" width="15.5" style="3055" customWidth="1"/>
    <col min="2324" max="2324" width="12.875" style="3055" customWidth="1"/>
    <col min="2325" max="2326" width="11.25" style="3055" customWidth="1"/>
    <col min="2327" max="2327" width="17.875" style="3055" customWidth="1"/>
    <col min="2328" max="2328" width="7.875" style="3055" customWidth="1"/>
    <col min="2329" max="2332" width="9" style="3055" customWidth="1"/>
    <col min="2333" max="2333" width="18.75" style="3055" customWidth="1"/>
    <col min="2334" max="2334" width="7.875" style="3055" customWidth="1"/>
    <col min="2335" max="2335" width="27.75" style="3055" customWidth="1"/>
    <col min="2336" max="2336" width="7.875" style="3055" customWidth="1"/>
    <col min="2337" max="2339" width="10.625" style="3055" customWidth="1"/>
    <col min="2340" max="2341" width="16" style="3055" customWidth="1"/>
    <col min="2342" max="2343" width="14.375" style="3055" customWidth="1"/>
    <col min="2344" max="2345" width="21.875" style="3055" customWidth="1"/>
    <col min="2346" max="2346" width="6.25" style="3055" customWidth="1"/>
    <col min="2347" max="2347" width="7.875" style="3055" customWidth="1"/>
    <col min="2348" max="2348" width="16.875" style="3055" customWidth="1"/>
    <col min="2349" max="2350" width="20.125" style="3055" customWidth="1"/>
    <col min="2351" max="2351" width="7.875" style="3055" customWidth="1"/>
    <col min="2352" max="2560" width="9" style="3055"/>
    <col min="2561" max="2561" width="34.375" style="3055" customWidth="1"/>
    <col min="2562" max="2562" width="6.25" style="3055" customWidth="1"/>
    <col min="2563" max="2563" width="7.875" style="3055" customWidth="1"/>
    <col min="2564" max="2564" width="19.5" style="3055" customWidth="1"/>
    <col min="2565" max="2565" width="4.625" style="3055" customWidth="1"/>
    <col min="2566" max="2566" width="34.375" style="3055" customWidth="1"/>
    <col min="2567" max="2567" width="9.25" style="3055" customWidth="1"/>
    <col min="2568" max="2569" width="13.875" style="3055" customWidth="1"/>
    <col min="2570" max="2570" width="11.75" style="3055" customWidth="1"/>
    <col min="2571" max="2574" width="7.875" style="3055" customWidth="1"/>
    <col min="2575" max="2575" width="11.25" style="3055" customWidth="1"/>
    <col min="2576" max="2576" width="7.875" style="3055" customWidth="1"/>
    <col min="2577" max="2577" width="9.625" style="3055" customWidth="1"/>
    <col min="2578" max="2579" width="15.5" style="3055" customWidth="1"/>
    <col min="2580" max="2580" width="12.875" style="3055" customWidth="1"/>
    <col min="2581" max="2582" width="11.25" style="3055" customWidth="1"/>
    <col min="2583" max="2583" width="17.875" style="3055" customWidth="1"/>
    <col min="2584" max="2584" width="7.875" style="3055" customWidth="1"/>
    <col min="2585" max="2588" width="9" style="3055" customWidth="1"/>
    <col min="2589" max="2589" width="18.75" style="3055" customWidth="1"/>
    <col min="2590" max="2590" width="7.875" style="3055" customWidth="1"/>
    <col min="2591" max="2591" width="27.75" style="3055" customWidth="1"/>
    <col min="2592" max="2592" width="7.875" style="3055" customWidth="1"/>
    <col min="2593" max="2595" width="10.625" style="3055" customWidth="1"/>
    <col min="2596" max="2597" width="16" style="3055" customWidth="1"/>
    <col min="2598" max="2599" width="14.375" style="3055" customWidth="1"/>
    <col min="2600" max="2601" width="21.875" style="3055" customWidth="1"/>
    <col min="2602" max="2602" width="6.25" style="3055" customWidth="1"/>
    <col min="2603" max="2603" width="7.875" style="3055" customWidth="1"/>
    <col min="2604" max="2604" width="16.875" style="3055" customWidth="1"/>
    <col min="2605" max="2606" width="20.125" style="3055" customWidth="1"/>
    <col min="2607" max="2607" width="7.875" style="3055" customWidth="1"/>
    <col min="2608" max="2816" width="9" style="3055"/>
    <col min="2817" max="2817" width="34.375" style="3055" customWidth="1"/>
    <col min="2818" max="2818" width="6.25" style="3055" customWidth="1"/>
    <col min="2819" max="2819" width="7.875" style="3055" customWidth="1"/>
    <col min="2820" max="2820" width="19.5" style="3055" customWidth="1"/>
    <col min="2821" max="2821" width="4.625" style="3055" customWidth="1"/>
    <col min="2822" max="2822" width="34.375" style="3055" customWidth="1"/>
    <col min="2823" max="2823" width="9.25" style="3055" customWidth="1"/>
    <col min="2824" max="2825" width="13.875" style="3055" customWidth="1"/>
    <col min="2826" max="2826" width="11.75" style="3055" customWidth="1"/>
    <col min="2827" max="2830" width="7.875" style="3055" customWidth="1"/>
    <col min="2831" max="2831" width="11.25" style="3055" customWidth="1"/>
    <col min="2832" max="2832" width="7.875" style="3055" customWidth="1"/>
    <col min="2833" max="2833" width="9.625" style="3055" customWidth="1"/>
    <col min="2834" max="2835" width="15.5" style="3055" customWidth="1"/>
    <col min="2836" max="2836" width="12.875" style="3055" customWidth="1"/>
    <col min="2837" max="2838" width="11.25" style="3055" customWidth="1"/>
    <col min="2839" max="2839" width="17.875" style="3055" customWidth="1"/>
    <col min="2840" max="2840" width="7.875" style="3055" customWidth="1"/>
    <col min="2841" max="2844" width="9" style="3055" customWidth="1"/>
    <col min="2845" max="2845" width="18.75" style="3055" customWidth="1"/>
    <col min="2846" max="2846" width="7.875" style="3055" customWidth="1"/>
    <col min="2847" max="2847" width="27.75" style="3055" customWidth="1"/>
    <col min="2848" max="2848" width="7.875" style="3055" customWidth="1"/>
    <col min="2849" max="2851" width="10.625" style="3055" customWidth="1"/>
    <col min="2852" max="2853" width="16" style="3055" customWidth="1"/>
    <col min="2854" max="2855" width="14.375" style="3055" customWidth="1"/>
    <col min="2856" max="2857" width="21.875" style="3055" customWidth="1"/>
    <col min="2858" max="2858" width="6.25" style="3055" customWidth="1"/>
    <col min="2859" max="2859" width="7.875" style="3055" customWidth="1"/>
    <col min="2860" max="2860" width="16.875" style="3055" customWidth="1"/>
    <col min="2861" max="2862" width="20.125" style="3055" customWidth="1"/>
    <col min="2863" max="2863" width="7.875" style="3055" customWidth="1"/>
    <col min="2864" max="3072" width="9" style="3055"/>
    <col min="3073" max="3073" width="34.375" style="3055" customWidth="1"/>
    <col min="3074" max="3074" width="6.25" style="3055" customWidth="1"/>
    <col min="3075" max="3075" width="7.875" style="3055" customWidth="1"/>
    <col min="3076" max="3076" width="19.5" style="3055" customWidth="1"/>
    <col min="3077" max="3077" width="4.625" style="3055" customWidth="1"/>
    <col min="3078" max="3078" width="34.375" style="3055" customWidth="1"/>
    <col min="3079" max="3079" width="9.25" style="3055" customWidth="1"/>
    <col min="3080" max="3081" width="13.875" style="3055" customWidth="1"/>
    <col min="3082" max="3082" width="11.75" style="3055" customWidth="1"/>
    <col min="3083" max="3086" width="7.875" style="3055" customWidth="1"/>
    <col min="3087" max="3087" width="11.25" style="3055" customWidth="1"/>
    <col min="3088" max="3088" width="7.875" style="3055" customWidth="1"/>
    <col min="3089" max="3089" width="9.625" style="3055" customWidth="1"/>
    <col min="3090" max="3091" width="15.5" style="3055" customWidth="1"/>
    <col min="3092" max="3092" width="12.875" style="3055" customWidth="1"/>
    <col min="3093" max="3094" width="11.25" style="3055" customWidth="1"/>
    <col min="3095" max="3095" width="17.875" style="3055" customWidth="1"/>
    <col min="3096" max="3096" width="7.875" style="3055" customWidth="1"/>
    <col min="3097" max="3100" width="9" style="3055" customWidth="1"/>
    <col min="3101" max="3101" width="18.75" style="3055" customWidth="1"/>
    <col min="3102" max="3102" width="7.875" style="3055" customWidth="1"/>
    <col min="3103" max="3103" width="27.75" style="3055" customWidth="1"/>
    <col min="3104" max="3104" width="7.875" style="3055" customWidth="1"/>
    <col min="3105" max="3107" width="10.625" style="3055" customWidth="1"/>
    <col min="3108" max="3109" width="16" style="3055" customWidth="1"/>
    <col min="3110" max="3111" width="14.375" style="3055" customWidth="1"/>
    <col min="3112" max="3113" width="21.875" style="3055" customWidth="1"/>
    <col min="3114" max="3114" width="6.25" style="3055" customWidth="1"/>
    <col min="3115" max="3115" width="7.875" style="3055" customWidth="1"/>
    <col min="3116" max="3116" width="16.875" style="3055" customWidth="1"/>
    <col min="3117" max="3118" width="20.125" style="3055" customWidth="1"/>
    <col min="3119" max="3119" width="7.875" style="3055" customWidth="1"/>
    <col min="3120" max="3328" width="9" style="3055"/>
    <col min="3329" max="3329" width="34.375" style="3055" customWidth="1"/>
    <col min="3330" max="3330" width="6.25" style="3055" customWidth="1"/>
    <col min="3331" max="3331" width="7.875" style="3055" customWidth="1"/>
    <col min="3332" max="3332" width="19.5" style="3055" customWidth="1"/>
    <col min="3333" max="3333" width="4.625" style="3055" customWidth="1"/>
    <col min="3334" max="3334" width="34.375" style="3055" customWidth="1"/>
    <col min="3335" max="3335" width="9.25" style="3055" customWidth="1"/>
    <col min="3336" max="3337" width="13.875" style="3055" customWidth="1"/>
    <col min="3338" max="3338" width="11.75" style="3055" customWidth="1"/>
    <col min="3339" max="3342" width="7.875" style="3055" customWidth="1"/>
    <col min="3343" max="3343" width="11.25" style="3055" customWidth="1"/>
    <col min="3344" max="3344" width="7.875" style="3055" customWidth="1"/>
    <col min="3345" max="3345" width="9.625" style="3055" customWidth="1"/>
    <col min="3346" max="3347" width="15.5" style="3055" customWidth="1"/>
    <col min="3348" max="3348" width="12.875" style="3055" customWidth="1"/>
    <col min="3349" max="3350" width="11.25" style="3055" customWidth="1"/>
    <col min="3351" max="3351" width="17.875" style="3055" customWidth="1"/>
    <col min="3352" max="3352" width="7.875" style="3055" customWidth="1"/>
    <col min="3353" max="3356" width="9" style="3055" customWidth="1"/>
    <col min="3357" max="3357" width="18.75" style="3055" customWidth="1"/>
    <col min="3358" max="3358" width="7.875" style="3055" customWidth="1"/>
    <col min="3359" max="3359" width="27.75" style="3055" customWidth="1"/>
    <col min="3360" max="3360" width="7.875" style="3055" customWidth="1"/>
    <col min="3361" max="3363" width="10.625" style="3055" customWidth="1"/>
    <col min="3364" max="3365" width="16" style="3055" customWidth="1"/>
    <col min="3366" max="3367" width="14.375" style="3055" customWidth="1"/>
    <col min="3368" max="3369" width="21.875" style="3055" customWidth="1"/>
    <col min="3370" max="3370" width="6.25" style="3055" customWidth="1"/>
    <col min="3371" max="3371" width="7.875" style="3055" customWidth="1"/>
    <col min="3372" max="3372" width="16.875" style="3055" customWidth="1"/>
    <col min="3373" max="3374" width="20.125" style="3055" customWidth="1"/>
    <col min="3375" max="3375" width="7.875" style="3055" customWidth="1"/>
    <col min="3376" max="3584" width="9" style="3055"/>
    <col min="3585" max="3585" width="34.375" style="3055" customWidth="1"/>
    <col min="3586" max="3586" width="6.25" style="3055" customWidth="1"/>
    <col min="3587" max="3587" width="7.875" style="3055" customWidth="1"/>
    <col min="3588" max="3588" width="19.5" style="3055" customWidth="1"/>
    <col min="3589" max="3589" width="4.625" style="3055" customWidth="1"/>
    <col min="3590" max="3590" width="34.375" style="3055" customWidth="1"/>
    <col min="3591" max="3591" width="9.25" style="3055" customWidth="1"/>
    <col min="3592" max="3593" width="13.875" style="3055" customWidth="1"/>
    <col min="3594" max="3594" width="11.75" style="3055" customWidth="1"/>
    <col min="3595" max="3598" width="7.875" style="3055" customWidth="1"/>
    <col min="3599" max="3599" width="11.25" style="3055" customWidth="1"/>
    <col min="3600" max="3600" width="7.875" style="3055" customWidth="1"/>
    <col min="3601" max="3601" width="9.625" style="3055" customWidth="1"/>
    <col min="3602" max="3603" width="15.5" style="3055" customWidth="1"/>
    <col min="3604" max="3604" width="12.875" style="3055" customWidth="1"/>
    <col min="3605" max="3606" width="11.25" style="3055" customWidth="1"/>
    <col min="3607" max="3607" width="17.875" style="3055" customWidth="1"/>
    <col min="3608" max="3608" width="7.875" style="3055" customWidth="1"/>
    <col min="3609" max="3612" width="9" style="3055" customWidth="1"/>
    <col min="3613" max="3613" width="18.75" style="3055" customWidth="1"/>
    <col min="3614" max="3614" width="7.875" style="3055" customWidth="1"/>
    <col min="3615" max="3615" width="27.75" style="3055" customWidth="1"/>
    <col min="3616" max="3616" width="7.875" style="3055" customWidth="1"/>
    <col min="3617" max="3619" width="10.625" style="3055" customWidth="1"/>
    <col min="3620" max="3621" width="16" style="3055" customWidth="1"/>
    <col min="3622" max="3623" width="14.375" style="3055" customWidth="1"/>
    <col min="3624" max="3625" width="21.875" style="3055" customWidth="1"/>
    <col min="3626" max="3626" width="6.25" style="3055" customWidth="1"/>
    <col min="3627" max="3627" width="7.875" style="3055" customWidth="1"/>
    <col min="3628" max="3628" width="16.875" style="3055" customWidth="1"/>
    <col min="3629" max="3630" width="20.125" style="3055" customWidth="1"/>
    <col min="3631" max="3631" width="7.875" style="3055" customWidth="1"/>
    <col min="3632" max="3840" width="9" style="3055"/>
    <col min="3841" max="3841" width="34.375" style="3055" customWidth="1"/>
    <col min="3842" max="3842" width="6.25" style="3055" customWidth="1"/>
    <col min="3843" max="3843" width="7.875" style="3055" customWidth="1"/>
    <col min="3844" max="3844" width="19.5" style="3055" customWidth="1"/>
    <col min="3845" max="3845" width="4.625" style="3055" customWidth="1"/>
    <col min="3846" max="3846" width="34.375" style="3055" customWidth="1"/>
    <col min="3847" max="3847" width="9.25" style="3055" customWidth="1"/>
    <col min="3848" max="3849" width="13.875" style="3055" customWidth="1"/>
    <col min="3850" max="3850" width="11.75" style="3055" customWidth="1"/>
    <col min="3851" max="3854" width="7.875" style="3055" customWidth="1"/>
    <col min="3855" max="3855" width="11.25" style="3055" customWidth="1"/>
    <col min="3856" max="3856" width="7.875" style="3055" customWidth="1"/>
    <col min="3857" max="3857" width="9.625" style="3055" customWidth="1"/>
    <col min="3858" max="3859" width="15.5" style="3055" customWidth="1"/>
    <col min="3860" max="3860" width="12.875" style="3055" customWidth="1"/>
    <col min="3861" max="3862" width="11.25" style="3055" customWidth="1"/>
    <col min="3863" max="3863" width="17.875" style="3055" customWidth="1"/>
    <col min="3864" max="3864" width="7.875" style="3055" customWidth="1"/>
    <col min="3865" max="3868" width="9" style="3055" customWidth="1"/>
    <col min="3869" max="3869" width="18.75" style="3055" customWidth="1"/>
    <col min="3870" max="3870" width="7.875" style="3055" customWidth="1"/>
    <col min="3871" max="3871" width="27.75" style="3055" customWidth="1"/>
    <col min="3872" max="3872" width="7.875" style="3055" customWidth="1"/>
    <col min="3873" max="3875" width="10.625" style="3055" customWidth="1"/>
    <col min="3876" max="3877" width="16" style="3055" customWidth="1"/>
    <col min="3878" max="3879" width="14.375" style="3055" customWidth="1"/>
    <col min="3880" max="3881" width="21.875" style="3055" customWidth="1"/>
    <col min="3882" max="3882" width="6.25" style="3055" customWidth="1"/>
    <col min="3883" max="3883" width="7.875" style="3055" customWidth="1"/>
    <col min="3884" max="3884" width="16.875" style="3055" customWidth="1"/>
    <col min="3885" max="3886" width="20.125" style="3055" customWidth="1"/>
    <col min="3887" max="3887" width="7.875" style="3055" customWidth="1"/>
    <col min="3888" max="4096" width="9" style="3055"/>
    <col min="4097" max="4097" width="34.375" style="3055" customWidth="1"/>
    <col min="4098" max="4098" width="6.25" style="3055" customWidth="1"/>
    <col min="4099" max="4099" width="7.875" style="3055" customWidth="1"/>
    <col min="4100" max="4100" width="19.5" style="3055" customWidth="1"/>
    <col min="4101" max="4101" width="4.625" style="3055" customWidth="1"/>
    <col min="4102" max="4102" width="34.375" style="3055" customWidth="1"/>
    <col min="4103" max="4103" width="9.25" style="3055" customWidth="1"/>
    <col min="4104" max="4105" width="13.875" style="3055" customWidth="1"/>
    <col min="4106" max="4106" width="11.75" style="3055" customWidth="1"/>
    <col min="4107" max="4110" width="7.875" style="3055" customWidth="1"/>
    <col min="4111" max="4111" width="11.25" style="3055" customWidth="1"/>
    <col min="4112" max="4112" width="7.875" style="3055" customWidth="1"/>
    <col min="4113" max="4113" width="9.625" style="3055" customWidth="1"/>
    <col min="4114" max="4115" width="15.5" style="3055" customWidth="1"/>
    <col min="4116" max="4116" width="12.875" style="3055" customWidth="1"/>
    <col min="4117" max="4118" width="11.25" style="3055" customWidth="1"/>
    <col min="4119" max="4119" width="17.875" style="3055" customWidth="1"/>
    <col min="4120" max="4120" width="7.875" style="3055" customWidth="1"/>
    <col min="4121" max="4124" width="9" style="3055" customWidth="1"/>
    <col min="4125" max="4125" width="18.75" style="3055" customWidth="1"/>
    <col min="4126" max="4126" width="7.875" style="3055" customWidth="1"/>
    <col min="4127" max="4127" width="27.75" style="3055" customWidth="1"/>
    <col min="4128" max="4128" width="7.875" style="3055" customWidth="1"/>
    <col min="4129" max="4131" width="10.625" style="3055" customWidth="1"/>
    <col min="4132" max="4133" width="16" style="3055" customWidth="1"/>
    <col min="4134" max="4135" width="14.375" style="3055" customWidth="1"/>
    <col min="4136" max="4137" width="21.875" style="3055" customWidth="1"/>
    <col min="4138" max="4138" width="6.25" style="3055" customWidth="1"/>
    <col min="4139" max="4139" width="7.875" style="3055" customWidth="1"/>
    <col min="4140" max="4140" width="16.875" style="3055" customWidth="1"/>
    <col min="4141" max="4142" width="20.125" style="3055" customWidth="1"/>
    <col min="4143" max="4143" width="7.875" style="3055" customWidth="1"/>
    <col min="4144" max="4352" width="9" style="3055"/>
    <col min="4353" max="4353" width="34.375" style="3055" customWidth="1"/>
    <col min="4354" max="4354" width="6.25" style="3055" customWidth="1"/>
    <col min="4355" max="4355" width="7.875" style="3055" customWidth="1"/>
    <col min="4356" max="4356" width="19.5" style="3055" customWidth="1"/>
    <col min="4357" max="4357" width="4.625" style="3055" customWidth="1"/>
    <col min="4358" max="4358" width="34.375" style="3055" customWidth="1"/>
    <col min="4359" max="4359" width="9.25" style="3055" customWidth="1"/>
    <col min="4360" max="4361" width="13.875" style="3055" customWidth="1"/>
    <col min="4362" max="4362" width="11.75" style="3055" customWidth="1"/>
    <col min="4363" max="4366" width="7.875" style="3055" customWidth="1"/>
    <col min="4367" max="4367" width="11.25" style="3055" customWidth="1"/>
    <col min="4368" max="4368" width="7.875" style="3055" customWidth="1"/>
    <col min="4369" max="4369" width="9.625" style="3055" customWidth="1"/>
    <col min="4370" max="4371" width="15.5" style="3055" customWidth="1"/>
    <col min="4372" max="4372" width="12.875" style="3055" customWidth="1"/>
    <col min="4373" max="4374" width="11.25" style="3055" customWidth="1"/>
    <col min="4375" max="4375" width="17.875" style="3055" customWidth="1"/>
    <col min="4376" max="4376" width="7.875" style="3055" customWidth="1"/>
    <col min="4377" max="4380" width="9" style="3055" customWidth="1"/>
    <col min="4381" max="4381" width="18.75" style="3055" customWidth="1"/>
    <col min="4382" max="4382" width="7.875" style="3055" customWidth="1"/>
    <col min="4383" max="4383" width="27.75" style="3055" customWidth="1"/>
    <col min="4384" max="4384" width="7.875" style="3055" customWidth="1"/>
    <col min="4385" max="4387" width="10.625" style="3055" customWidth="1"/>
    <col min="4388" max="4389" width="16" style="3055" customWidth="1"/>
    <col min="4390" max="4391" width="14.375" style="3055" customWidth="1"/>
    <col min="4392" max="4393" width="21.875" style="3055" customWidth="1"/>
    <col min="4394" max="4394" width="6.25" style="3055" customWidth="1"/>
    <col min="4395" max="4395" width="7.875" style="3055" customWidth="1"/>
    <col min="4396" max="4396" width="16.875" style="3055" customWidth="1"/>
    <col min="4397" max="4398" width="20.125" style="3055" customWidth="1"/>
    <col min="4399" max="4399" width="7.875" style="3055" customWidth="1"/>
    <col min="4400" max="4608" width="9" style="3055"/>
    <col min="4609" max="4609" width="34.375" style="3055" customWidth="1"/>
    <col min="4610" max="4610" width="6.25" style="3055" customWidth="1"/>
    <col min="4611" max="4611" width="7.875" style="3055" customWidth="1"/>
    <col min="4612" max="4612" width="19.5" style="3055" customWidth="1"/>
    <col min="4613" max="4613" width="4.625" style="3055" customWidth="1"/>
    <col min="4614" max="4614" width="34.375" style="3055" customWidth="1"/>
    <col min="4615" max="4615" width="9.25" style="3055" customWidth="1"/>
    <col min="4616" max="4617" width="13.875" style="3055" customWidth="1"/>
    <col min="4618" max="4618" width="11.75" style="3055" customWidth="1"/>
    <col min="4619" max="4622" width="7.875" style="3055" customWidth="1"/>
    <col min="4623" max="4623" width="11.25" style="3055" customWidth="1"/>
    <col min="4624" max="4624" width="7.875" style="3055" customWidth="1"/>
    <col min="4625" max="4625" width="9.625" style="3055" customWidth="1"/>
    <col min="4626" max="4627" width="15.5" style="3055" customWidth="1"/>
    <col min="4628" max="4628" width="12.875" style="3055" customWidth="1"/>
    <col min="4629" max="4630" width="11.25" style="3055" customWidth="1"/>
    <col min="4631" max="4631" width="17.875" style="3055" customWidth="1"/>
    <col min="4632" max="4632" width="7.875" style="3055" customWidth="1"/>
    <col min="4633" max="4636" width="9" style="3055" customWidth="1"/>
    <col min="4637" max="4637" width="18.75" style="3055" customWidth="1"/>
    <col min="4638" max="4638" width="7.875" style="3055" customWidth="1"/>
    <col min="4639" max="4639" width="27.75" style="3055" customWidth="1"/>
    <col min="4640" max="4640" width="7.875" style="3055" customWidth="1"/>
    <col min="4641" max="4643" width="10.625" style="3055" customWidth="1"/>
    <col min="4644" max="4645" width="16" style="3055" customWidth="1"/>
    <col min="4646" max="4647" width="14.375" style="3055" customWidth="1"/>
    <col min="4648" max="4649" width="21.875" style="3055" customWidth="1"/>
    <col min="4650" max="4650" width="6.25" style="3055" customWidth="1"/>
    <col min="4651" max="4651" width="7.875" style="3055" customWidth="1"/>
    <col min="4652" max="4652" width="16.875" style="3055" customWidth="1"/>
    <col min="4653" max="4654" width="20.125" style="3055" customWidth="1"/>
    <col min="4655" max="4655" width="7.875" style="3055" customWidth="1"/>
    <col min="4656" max="4864" width="9" style="3055"/>
    <col min="4865" max="4865" width="34.375" style="3055" customWidth="1"/>
    <col min="4866" max="4866" width="6.25" style="3055" customWidth="1"/>
    <col min="4867" max="4867" width="7.875" style="3055" customWidth="1"/>
    <col min="4868" max="4868" width="19.5" style="3055" customWidth="1"/>
    <col min="4869" max="4869" width="4.625" style="3055" customWidth="1"/>
    <col min="4870" max="4870" width="34.375" style="3055" customWidth="1"/>
    <col min="4871" max="4871" width="9.25" style="3055" customWidth="1"/>
    <col min="4872" max="4873" width="13.875" style="3055" customWidth="1"/>
    <col min="4874" max="4874" width="11.75" style="3055" customWidth="1"/>
    <col min="4875" max="4878" width="7.875" style="3055" customWidth="1"/>
    <col min="4879" max="4879" width="11.25" style="3055" customWidth="1"/>
    <col min="4880" max="4880" width="7.875" style="3055" customWidth="1"/>
    <col min="4881" max="4881" width="9.625" style="3055" customWidth="1"/>
    <col min="4882" max="4883" width="15.5" style="3055" customWidth="1"/>
    <col min="4884" max="4884" width="12.875" style="3055" customWidth="1"/>
    <col min="4885" max="4886" width="11.25" style="3055" customWidth="1"/>
    <col min="4887" max="4887" width="17.875" style="3055" customWidth="1"/>
    <col min="4888" max="4888" width="7.875" style="3055" customWidth="1"/>
    <col min="4889" max="4892" width="9" style="3055" customWidth="1"/>
    <col min="4893" max="4893" width="18.75" style="3055" customWidth="1"/>
    <col min="4894" max="4894" width="7.875" style="3055" customWidth="1"/>
    <col min="4895" max="4895" width="27.75" style="3055" customWidth="1"/>
    <col min="4896" max="4896" width="7.875" style="3055" customWidth="1"/>
    <col min="4897" max="4899" width="10.625" style="3055" customWidth="1"/>
    <col min="4900" max="4901" width="16" style="3055" customWidth="1"/>
    <col min="4902" max="4903" width="14.375" style="3055" customWidth="1"/>
    <col min="4904" max="4905" width="21.875" style="3055" customWidth="1"/>
    <col min="4906" max="4906" width="6.25" style="3055" customWidth="1"/>
    <col min="4907" max="4907" width="7.875" style="3055" customWidth="1"/>
    <col min="4908" max="4908" width="16.875" style="3055" customWidth="1"/>
    <col min="4909" max="4910" width="20.125" style="3055" customWidth="1"/>
    <col min="4911" max="4911" width="7.875" style="3055" customWidth="1"/>
    <col min="4912" max="5120" width="9" style="3055"/>
    <col min="5121" max="5121" width="34.375" style="3055" customWidth="1"/>
    <col min="5122" max="5122" width="6.25" style="3055" customWidth="1"/>
    <col min="5123" max="5123" width="7.875" style="3055" customWidth="1"/>
    <col min="5124" max="5124" width="19.5" style="3055" customWidth="1"/>
    <col min="5125" max="5125" width="4.625" style="3055" customWidth="1"/>
    <col min="5126" max="5126" width="34.375" style="3055" customWidth="1"/>
    <col min="5127" max="5127" width="9.25" style="3055" customWidth="1"/>
    <col min="5128" max="5129" width="13.875" style="3055" customWidth="1"/>
    <col min="5130" max="5130" width="11.75" style="3055" customWidth="1"/>
    <col min="5131" max="5134" width="7.875" style="3055" customWidth="1"/>
    <col min="5135" max="5135" width="11.25" style="3055" customWidth="1"/>
    <col min="5136" max="5136" width="7.875" style="3055" customWidth="1"/>
    <col min="5137" max="5137" width="9.625" style="3055" customWidth="1"/>
    <col min="5138" max="5139" width="15.5" style="3055" customWidth="1"/>
    <col min="5140" max="5140" width="12.875" style="3055" customWidth="1"/>
    <col min="5141" max="5142" width="11.25" style="3055" customWidth="1"/>
    <col min="5143" max="5143" width="17.875" style="3055" customWidth="1"/>
    <col min="5144" max="5144" width="7.875" style="3055" customWidth="1"/>
    <col min="5145" max="5148" width="9" style="3055" customWidth="1"/>
    <col min="5149" max="5149" width="18.75" style="3055" customWidth="1"/>
    <col min="5150" max="5150" width="7.875" style="3055" customWidth="1"/>
    <col min="5151" max="5151" width="27.75" style="3055" customWidth="1"/>
    <col min="5152" max="5152" width="7.875" style="3055" customWidth="1"/>
    <col min="5153" max="5155" width="10.625" style="3055" customWidth="1"/>
    <col min="5156" max="5157" width="16" style="3055" customWidth="1"/>
    <col min="5158" max="5159" width="14.375" style="3055" customWidth="1"/>
    <col min="5160" max="5161" width="21.875" style="3055" customWidth="1"/>
    <col min="5162" max="5162" width="6.25" style="3055" customWidth="1"/>
    <col min="5163" max="5163" width="7.875" style="3055" customWidth="1"/>
    <col min="5164" max="5164" width="16.875" style="3055" customWidth="1"/>
    <col min="5165" max="5166" width="20.125" style="3055" customWidth="1"/>
    <col min="5167" max="5167" width="7.875" style="3055" customWidth="1"/>
    <col min="5168" max="5376" width="9" style="3055"/>
    <col min="5377" max="5377" width="34.375" style="3055" customWidth="1"/>
    <col min="5378" max="5378" width="6.25" style="3055" customWidth="1"/>
    <col min="5379" max="5379" width="7.875" style="3055" customWidth="1"/>
    <col min="5380" max="5380" width="19.5" style="3055" customWidth="1"/>
    <col min="5381" max="5381" width="4.625" style="3055" customWidth="1"/>
    <col min="5382" max="5382" width="34.375" style="3055" customWidth="1"/>
    <col min="5383" max="5383" width="9.25" style="3055" customWidth="1"/>
    <col min="5384" max="5385" width="13.875" style="3055" customWidth="1"/>
    <col min="5386" max="5386" width="11.75" style="3055" customWidth="1"/>
    <col min="5387" max="5390" width="7.875" style="3055" customWidth="1"/>
    <col min="5391" max="5391" width="11.25" style="3055" customWidth="1"/>
    <col min="5392" max="5392" width="7.875" style="3055" customWidth="1"/>
    <col min="5393" max="5393" width="9.625" style="3055" customWidth="1"/>
    <col min="5394" max="5395" width="15.5" style="3055" customWidth="1"/>
    <col min="5396" max="5396" width="12.875" style="3055" customWidth="1"/>
    <col min="5397" max="5398" width="11.25" style="3055" customWidth="1"/>
    <col min="5399" max="5399" width="17.875" style="3055" customWidth="1"/>
    <col min="5400" max="5400" width="7.875" style="3055" customWidth="1"/>
    <col min="5401" max="5404" width="9" style="3055" customWidth="1"/>
    <col min="5405" max="5405" width="18.75" style="3055" customWidth="1"/>
    <col min="5406" max="5406" width="7.875" style="3055" customWidth="1"/>
    <col min="5407" max="5407" width="27.75" style="3055" customWidth="1"/>
    <col min="5408" max="5408" width="7.875" style="3055" customWidth="1"/>
    <col min="5409" max="5411" width="10.625" style="3055" customWidth="1"/>
    <col min="5412" max="5413" width="16" style="3055" customWidth="1"/>
    <col min="5414" max="5415" width="14.375" style="3055" customWidth="1"/>
    <col min="5416" max="5417" width="21.875" style="3055" customWidth="1"/>
    <col min="5418" max="5418" width="6.25" style="3055" customWidth="1"/>
    <col min="5419" max="5419" width="7.875" style="3055" customWidth="1"/>
    <col min="5420" max="5420" width="16.875" style="3055" customWidth="1"/>
    <col min="5421" max="5422" width="20.125" style="3055" customWidth="1"/>
    <col min="5423" max="5423" width="7.875" style="3055" customWidth="1"/>
    <col min="5424" max="5632" width="9" style="3055"/>
    <col min="5633" max="5633" width="34.375" style="3055" customWidth="1"/>
    <col min="5634" max="5634" width="6.25" style="3055" customWidth="1"/>
    <col min="5635" max="5635" width="7.875" style="3055" customWidth="1"/>
    <col min="5636" max="5636" width="19.5" style="3055" customWidth="1"/>
    <col min="5637" max="5637" width="4.625" style="3055" customWidth="1"/>
    <col min="5638" max="5638" width="34.375" style="3055" customWidth="1"/>
    <col min="5639" max="5639" width="9.25" style="3055" customWidth="1"/>
    <col min="5640" max="5641" width="13.875" style="3055" customWidth="1"/>
    <col min="5642" max="5642" width="11.75" style="3055" customWidth="1"/>
    <col min="5643" max="5646" width="7.875" style="3055" customWidth="1"/>
    <col min="5647" max="5647" width="11.25" style="3055" customWidth="1"/>
    <col min="5648" max="5648" width="7.875" style="3055" customWidth="1"/>
    <col min="5649" max="5649" width="9.625" style="3055" customWidth="1"/>
    <col min="5650" max="5651" width="15.5" style="3055" customWidth="1"/>
    <col min="5652" max="5652" width="12.875" style="3055" customWidth="1"/>
    <col min="5653" max="5654" width="11.25" style="3055" customWidth="1"/>
    <col min="5655" max="5655" width="17.875" style="3055" customWidth="1"/>
    <col min="5656" max="5656" width="7.875" style="3055" customWidth="1"/>
    <col min="5657" max="5660" width="9" style="3055" customWidth="1"/>
    <col min="5661" max="5661" width="18.75" style="3055" customWidth="1"/>
    <col min="5662" max="5662" width="7.875" style="3055" customWidth="1"/>
    <col min="5663" max="5663" width="27.75" style="3055" customWidth="1"/>
    <col min="5664" max="5664" width="7.875" style="3055" customWidth="1"/>
    <col min="5665" max="5667" width="10.625" style="3055" customWidth="1"/>
    <col min="5668" max="5669" width="16" style="3055" customWidth="1"/>
    <col min="5670" max="5671" width="14.375" style="3055" customWidth="1"/>
    <col min="5672" max="5673" width="21.875" style="3055" customWidth="1"/>
    <col min="5674" max="5674" width="6.25" style="3055" customWidth="1"/>
    <col min="5675" max="5675" width="7.875" style="3055" customWidth="1"/>
    <col min="5676" max="5676" width="16.875" style="3055" customWidth="1"/>
    <col min="5677" max="5678" width="20.125" style="3055" customWidth="1"/>
    <col min="5679" max="5679" width="7.875" style="3055" customWidth="1"/>
    <col min="5680" max="5888" width="9" style="3055"/>
    <col min="5889" max="5889" width="34.375" style="3055" customWidth="1"/>
    <col min="5890" max="5890" width="6.25" style="3055" customWidth="1"/>
    <col min="5891" max="5891" width="7.875" style="3055" customWidth="1"/>
    <col min="5892" max="5892" width="19.5" style="3055" customWidth="1"/>
    <col min="5893" max="5893" width="4.625" style="3055" customWidth="1"/>
    <col min="5894" max="5894" width="34.375" style="3055" customWidth="1"/>
    <col min="5895" max="5895" width="9.25" style="3055" customWidth="1"/>
    <col min="5896" max="5897" width="13.875" style="3055" customWidth="1"/>
    <col min="5898" max="5898" width="11.75" style="3055" customWidth="1"/>
    <col min="5899" max="5902" width="7.875" style="3055" customWidth="1"/>
    <col min="5903" max="5903" width="11.25" style="3055" customWidth="1"/>
    <col min="5904" max="5904" width="7.875" style="3055" customWidth="1"/>
    <col min="5905" max="5905" width="9.625" style="3055" customWidth="1"/>
    <col min="5906" max="5907" width="15.5" style="3055" customWidth="1"/>
    <col min="5908" max="5908" width="12.875" style="3055" customWidth="1"/>
    <col min="5909" max="5910" width="11.25" style="3055" customWidth="1"/>
    <col min="5911" max="5911" width="17.875" style="3055" customWidth="1"/>
    <col min="5912" max="5912" width="7.875" style="3055" customWidth="1"/>
    <col min="5913" max="5916" width="9" style="3055" customWidth="1"/>
    <col min="5917" max="5917" width="18.75" style="3055" customWidth="1"/>
    <col min="5918" max="5918" width="7.875" style="3055" customWidth="1"/>
    <col min="5919" max="5919" width="27.75" style="3055" customWidth="1"/>
    <col min="5920" max="5920" width="7.875" style="3055" customWidth="1"/>
    <col min="5921" max="5923" width="10.625" style="3055" customWidth="1"/>
    <col min="5924" max="5925" width="16" style="3055" customWidth="1"/>
    <col min="5926" max="5927" width="14.375" style="3055" customWidth="1"/>
    <col min="5928" max="5929" width="21.875" style="3055" customWidth="1"/>
    <col min="5930" max="5930" width="6.25" style="3055" customWidth="1"/>
    <col min="5931" max="5931" width="7.875" style="3055" customWidth="1"/>
    <col min="5932" max="5932" width="16.875" style="3055" customWidth="1"/>
    <col min="5933" max="5934" width="20.125" style="3055" customWidth="1"/>
    <col min="5935" max="5935" width="7.875" style="3055" customWidth="1"/>
    <col min="5936" max="6144" width="9" style="3055"/>
    <col min="6145" max="6145" width="34.375" style="3055" customWidth="1"/>
    <col min="6146" max="6146" width="6.25" style="3055" customWidth="1"/>
    <col min="6147" max="6147" width="7.875" style="3055" customWidth="1"/>
    <col min="6148" max="6148" width="19.5" style="3055" customWidth="1"/>
    <col min="6149" max="6149" width="4.625" style="3055" customWidth="1"/>
    <col min="6150" max="6150" width="34.375" style="3055" customWidth="1"/>
    <col min="6151" max="6151" width="9.25" style="3055" customWidth="1"/>
    <col min="6152" max="6153" width="13.875" style="3055" customWidth="1"/>
    <col min="6154" max="6154" width="11.75" style="3055" customWidth="1"/>
    <col min="6155" max="6158" width="7.875" style="3055" customWidth="1"/>
    <col min="6159" max="6159" width="11.25" style="3055" customWidth="1"/>
    <col min="6160" max="6160" width="7.875" style="3055" customWidth="1"/>
    <col min="6161" max="6161" width="9.625" style="3055" customWidth="1"/>
    <col min="6162" max="6163" width="15.5" style="3055" customWidth="1"/>
    <col min="6164" max="6164" width="12.875" style="3055" customWidth="1"/>
    <col min="6165" max="6166" width="11.25" style="3055" customWidth="1"/>
    <col min="6167" max="6167" width="17.875" style="3055" customWidth="1"/>
    <col min="6168" max="6168" width="7.875" style="3055" customWidth="1"/>
    <col min="6169" max="6172" width="9" style="3055" customWidth="1"/>
    <col min="6173" max="6173" width="18.75" style="3055" customWidth="1"/>
    <col min="6174" max="6174" width="7.875" style="3055" customWidth="1"/>
    <col min="6175" max="6175" width="27.75" style="3055" customWidth="1"/>
    <col min="6176" max="6176" width="7.875" style="3055" customWidth="1"/>
    <col min="6177" max="6179" width="10.625" style="3055" customWidth="1"/>
    <col min="6180" max="6181" width="16" style="3055" customWidth="1"/>
    <col min="6182" max="6183" width="14.375" style="3055" customWidth="1"/>
    <col min="6184" max="6185" width="21.875" style="3055" customWidth="1"/>
    <col min="6186" max="6186" width="6.25" style="3055" customWidth="1"/>
    <col min="6187" max="6187" width="7.875" style="3055" customWidth="1"/>
    <col min="6188" max="6188" width="16.875" style="3055" customWidth="1"/>
    <col min="6189" max="6190" width="20.125" style="3055" customWidth="1"/>
    <col min="6191" max="6191" width="7.875" style="3055" customWidth="1"/>
    <col min="6192" max="6400" width="9" style="3055"/>
    <col min="6401" max="6401" width="34.375" style="3055" customWidth="1"/>
    <col min="6402" max="6402" width="6.25" style="3055" customWidth="1"/>
    <col min="6403" max="6403" width="7.875" style="3055" customWidth="1"/>
    <col min="6404" max="6404" width="19.5" style="3055" customWidth="1"/>
    <col min="6405" max="6405" width="4.625" style="3055" customWidth="1"/>
    <col min="6406" max="6406" width="34.375" style="3055" customWidth="1"/>
    <col min="6407" max="6407" width="9.25" style="3055" customWidth="1"/>
    <col min="6408" max="6409" width="13.875" style="3055" customWidth="1"/>
    <col min="6410" max="6410" width="11.75" style="3055" customWidth="1"/>
    <col min="6411" max="6414" width="7.875" style="3055" customWidth="1"/>
    <col min="6415" max="6415" width="11.25" style="3055" customWidth="1"/>
    <col min="6416" max="6416" width="7.875" style="3055" customWidth="1"/>
    <col min="6417" max="6417" width="9.625" style="3055" customWidth="1"/>
    <col min="6418" max="6419" width="15.5" style="3055" customWidth="1"/>
    <col min="6420" max="6420" width="12.875" style="3055" customWidth="1"/>
    <col min="6421" max="6422" width="11.25" style="3055" customWidth="1"/>
    <col min="6423" max="6423" width="17.875" style="3055" customWidth="1"/>
    <col min="6424" max="6424" width="7.875" style="3055" customWidth="1"/>
    <col min="6425" max="6428" width="9" style="3055" customWidth="1"/>
    <col min="6429" max="6429" width="18.75" style="3055" customWidth="1"/>
    <col min="6430" max="6430" width="7.875" style="3055" customWidth="1"/>
    <col min="6431" max="6431" width="27.75" style="3055" customWidth="1"/>
    <col min="6432" max="6432" width="7.875" style="3055" customWidth="1"/>
    <col min="6433" max="6435" width="10.625" style="3055" customWidth="1"/>
    <col min="6436" max="6437" width="16" style="3055" customWidth="1"/>
    <col min="6438" max="6439" width="14.375" style="3055" customWidth="1"/>
    <col min="6440" max="6441" width="21.875" style="3055" customWidth="1"/>
    <col min="6442" max="6442" width="6.25" style="3055" customWidth="1"/>
    <col min="6443" max="6443" width="7.875" style="3055" customWidth="1"/>
    <col min="6444" max="6444" width="16.875" style="3055" customWidth="1"/>
    <col min="6445" max="6446" width="20.125" style="3055" customWidth="1"/>
    <col min="6447" max="6447" width="7.875" style="3055" customWidth="1"/>
    <col min="6448" max="6656" width="9" style="3055"/>
    <col min="6657" max="6657" width="34.375" style="3055" customWidth="1"/>
    <col min="6658" max="6658" width="6.25" style="3055" customWidth="1"/>
    <col min="6659" max="6659" width="7.875" style="3055" customWidth="1"/>
    <col min="6660" max="6660" width="19.5" style="3055" customWidth="1"/>
    <col min="6661" max="6661" width="4.625" style="3055" customWidth="1"/>
    <col min="6662" max="6662" width="34.375" style="3055" customWidth="1"/>
    <col min="6663" max="6663" width="9.25" style="3055" customWidth="1"/>
    <col min="6664" max="6665" width="13.875" style="3055" customWidth="1"/>
    <col min="6666" max="6666" width="11.75" style="3055" customWidth="1"/>
    <col min="6667" max="6670" width="7.875" style="3055" customWidth="1"/>
    <col min="6671" max="6671" width="11.25" style="3055" customWidth="1"/>
    <col min="6672" max="6672" width="7.875" style="3055" customWidth="1"/>
    <col min="6673" max="6673" width="9.625" style="3055" customWidth="1"/>
    <col min="6674" max="6675" width="15.5" style="3055" customWidth="1"/>
    <col min="6676" max="6676" width="12.875" style="3055" customWidth="1"/>
    <col min="6677" max="6678" width="11.25" style="3055" customWidth="1"/>
    <col min="6679" max="6679" width="17.875" style="3055" customWidth="1"/>
    <col min="6680" max="6680" width="7.875" style="3055" customWidth="1"/>
    <col min="6681" max="6684" width="9" style="3055" customWidth="1"/>
    <col min="6685" max="6685" width="18.75" style="3055" customWidth="1"/>
    <col min="6686" max="6686" width="7.875" style="3055" customWidth="1"/>
    <col min="6687" max="6687" width="27.75" style="3055" customWidth="1"/>
    <col min="6688" max="6688" width="7.875" style="3055" customWidth="1"/>
    <col min="6689" max="6691" width="10.625" style="3055" customWidth="1"/>
    <col min="6692" max="6693" width="16" style="3055" customWidth="1"/>
    <col min="6694" max="6695" width="14.375" style="3055" customWidth="1"/>
    <col min="6696" max="6697" width="21.875" style="3055" customWidth="1"/>
    <col min="6698" max="6698" width="6.25" style="3055" customWidth="1"/>
    <col min="6699" max="6699" width="7.875" style="3055" customWidth="1"/>
    <col min="6700" max="6700" width="16.875" style="3055" customWidth="1"/>
    <col min="6701" max="6702" width="20.125" style="3055" customWidth="1"/>
    <col min="6703" max="6703" width="7.875" style="3055" customWidth="1"/>
    <col min="6704" max="6912" width="9" style="3055"/>
    <col min="6913" max="6913" width="34.375" style="3055" customWidth="1"/>
    <col min="6914" max="6914" width="6.25" style="3055" customWidth="1"/>
    <col min="6915" max="6915" width="7.875" style="3055" customWidth="1"/>
    <col min="6916" max="6916" width="19.5" style="3055" customWidth="1"/>
    <col min="6917" max="6917" width="4.625" style="3055" customWidth="1"/>
    <col min="6918" max="6918" width="34.375" style="3055" customWidth="1"/>
    <col min="6919" max="6919" width="9.25" style="3055" customWidth="1"/>
    <col min="6920" max="6921" width="13.875" style="3055" customWidth="1"/>
    <col min="6922" max="6922" width="11.75" style="3055" customWidth="1"/>
    <col min="6923" max="6926" width="7.875" style="3055" customWidth="1"/>
    <col min="6927" max="6927" width="11.25" style="3055" customWidth="1"/>
    <col min="6928" max="6928" width="7.875" style="3055" customWidth="1"/>
    <col min="6929" max="6929" width="9.625" style="3055" customWidth="1"/>
    <col min="6930" max="6931" width="15.5" style="3055" customWidth="1"/>
    <col min="6932" max="6932" width="12.875" style="3055" customWidth="1"/>
    <col min="6933" max="6934" width="11.25" style="3055" customWidth="1"/>
    <col min="6935" max="6935" width="17.875" style="3055" customWidth="1"/>
    <col min="6936" max="6936" width="7.875" style="3055" customWidth="1"/>
    <col min="6937" max="6940" width="9" style="3055" customWidth="1"/>
    <col min="6941" max="6941" width="18.75" style="3055" customWidth="1"/>
    <col min="6942" max="6942" width="7.875" style="3055" customWidth="1"/>
    <col min="6943" max="6943" width="27.75" style="3055" customWidth="1"/>
    <col min="6944" max="6944" width="7.875" style="3055" customWidth="1"/>
    <col min="6945" max="6947" width="10.625" style="3055" customWidth="1"/>
    <col min="6948" max="6949" width="16" style="3055" customWidth="1"/>
    <col min="6950" max="6951" width="14.375" style="3055" customWidth="1"/>
    <col min="6952" max="6953" width="21.875" style="3055" customWidth="1"/>
    <col min="6954" max="6954" width="6.25" style="3055" customWidth="1"/>
    <col min="6955" max="6955" width="7.875" style="3055" customWidth="1"/>
    <col min="6956" max="6956" width="16.875" style="3055" customWidth="1"/>
    <col min="6957" max="6958" width="20.125" style="3055" customWidth="1"/>
    <col min="6959" max="6959" width="7.875" style="3055" customWidth="1"/>
    <col min="6960" max="7168" width="9" style="3055"/>
    <col min="7169" max="7169" width="34.375" style="3055" customWidth="1"/>
    <col min="7170" max="7170" width="6.25" style="3055" customWidth="1"/>
    <col min="7171" max="7171" width="7.875" style="3055" customWidth="1"/>
    <col min="7172" max="7172" width="19.5" style="3055" customWidth="1"/>
    <col min="7173" max="7173" width="4.625" style="3055" customWidth="1"/>
    <col min="7174" max="7174" width="34.375" style="3055" customWidth="1"/>
    <col min="7175" max="7175" width="9.25" style="3055" customWidth="1"/>
    <col min="7176" max="7177" width="13.875" style="3055" customWidth="1"/>
    <col min="7178" max="7178" width="11.75" style="3055" customWidth="1"/>
    <col min="7179" max="7182" width="7.875" style="3055" customWidth="1"/>
    <col min="7183" max="7183" width="11.25" style="3055" customWidth="1"/>
    <col min="7184" max="7184" width="7.875" style="3055" customWidth="1"/>
    <col min="7185" max="7185" width="9.625" style="3055" customWidth="1"/>
    <col min="7186" max="7187" width="15.5" style="3055" customWidth="1"/>
    <col min="7188" max="7188" width="12.875" style="3055" customWidth="1"/>
    <col min="7189" max="7190" width="11.25" style="3055" customWidth="1"/>
    <col min="7191" max="7191" width="17.875" style="3055" customWidth="1"/>
    <col min="7192" max="7192" width="7.875" style="3055" customWidth="1"/>
    <col min="7193" max="7196" width="9" style="3055" customWidth="1"/>
    <col min="7197" max="7197" width="18.75" style="3055" customWidth="1"/>
    <col min="7198" max="7198" width="7.875" style="3055" customWidth="1"/>
    <col min="7199" max="7199" width="27.75" style="3055" customWidth="1"/>
    <col min="7200" max="7200" width="7.875" style="3055" customWidth="1"/>
    <col min="7201" max="7203" width="10.625" style="3055" customWidth="1"/>
    <col min="7204" max="7205" width="16" style="3055" customWidth="1"/>
    <col min="7206" max="7207" width="14.375" style="3055" customWidth="1"/>
    <col min="7208" max="7209" width="21.875" style="3055" customWidth="1"/>
    <col min="7210" max="7210" width="6.25" style="3055" customWidth="1"/>
    <col min="7211" max="7211" width="7.875" style="3055" customWidth="1"/>
    <col min="7212" max="7212" width="16.875" style="3055" customWidth="1"/>
    <col min="7213" max="7214" width="20.125" style="3055" customWidth="1"/>
    <col min="7215" max="7215" width="7.875" style="3055" customWidth="1"/>
    <col min="7216" max="7424" width="9" style="3055"/>
    <col min="7425" max="7425" width="34.375" style="3055" customWidth="1"/>
    <col min="7426" max="7426" width="6.25" style="3055" customWidth="1"/>
    <col min="7427" max="7427" width="7.875" style="3055" customWidth="1"/>
    <col min="7428" max="7428" width="19.5" style="3055" customWidth="1"/>
    <col min="7429" max="7429" width="4.625" style="3055" customWidth="1"/>
    <col min="7430" max="7430" width="34.375" style="3055" customWidth="1"/>
    <col min="7431" max="7431" width="9.25" style="3055" customWidth="1"/>
    <col min="7432" max="7433" width="13.875" style="3055" customWidth="1"/>
    <col min="7434" max="7434" width="11.75" style="3055" customWidth="1"/>
    <col min="7435" max="7438" width="7.875" style="3055" customWidth="1"/>
    <col min="7439" max="7439" width="11.25" style="3055" customWidth="1"/>
    <col min="7440" max="7440" width="7.875" style="3055" customWidth="1"/>
    <col min="7441" max="7441" width="9.625" style="3055" customWidth="1"/>
    <col min="7442" max="7443" width="15.5" style="3055" customWidth="1"/>
    <col min="7444" max="7444" width="12.875" style="3055" customWidth="1"/>
    <col min="7445" max="7446" width="11.25" style="3055" customWidth="1"/>
    <col min="7447" max="7447" width="17.875" style="3055" customWidth="1"/>
    <col min="7448" max="7448" width="7.875" style="3055" customWidth="1"/>
    <col min="7449" max="7452" width="9" style="3055" customWidth="1"/>
    <col min="7453" max="7453" width="18.75" style="3055" customWidth="1"/>
    <col min="7454" max="7454" width="7.875" style="3055" customWidth="1"/>
    <col min="7455" max="7455" width="27.75" style="3055" customWidth="1"/>
    <col min="7456" max="7456" width="7.875" style="3055" customWidth="1"/>
    <col min="7457" max="7459" width="10.625" style="3055" customWidth="1"/>
    <col min="7460" max="7461" width="16" style="3055" customWidth="1"/>
    <col min="7462" max="7463" width="14.375" style="3055" customWidth="1"/>
    <col min="7464" max="7465" width="21.875" style="3055" customWidth="1"/>
    <col min="7466" max="7466" width="6.25" style="3055" customWidth="1"/>
    <col min="7467" max="7467" width="7.875" style="3055" customWidth="1"/>
    <col min="7468" max="7468" width="16.875" style="3055" customWidth="1"/>
    <col min="7469" max="7470" width="20.125" style="3055" customWidth="1"/>
    <col min="7471" max="7471" width="7.875" style="3055" customWidth="1"/>
    <col min="7472" max="7680" width="9" style="3055"/>
    <col min="7681" max="7681" width="34.375" style="3055" customWidth="1"/>
    <col min="7682" max="7682" width="6.25" style="3055" customWidth="1"/>
    <col min="7683" max="7683" width="7.875" style="3055" customWidth="1"/>
    <col min="7684" max="7684" width="19.5" style="3055" customWidth="1"/>
    <col min="7685" max="7685" width="4.625" style="3055" customWidth="1"/>
    <col min="7686" max="7686" width="34.375" style="3055" customWidth="1"/>
    <col min="7687" max="7687" width="9.25" style="3055" customWidth="1"/>
    <col min="7688" max="7689" width="13.875" style="3055" customWidth="1"/>
    <col min="7690" max="7690" width="11.75" style="3055" customWidth="1"/>
    <col min="7691" max="7694" width="7.875" style="3055" customWidth="1"/>
    <col min="7695" max="7695" width="11.25" style="3055" customWidth="1"/>
    <col min="7696" max="7696" width="7.875" style="3055" customWidth="1"/>
    <col min="7697" max="7697" width="9.625" style="3055" customWidth="1"/>
    <col min="7698" max="7699" width="15.5" style="3055" customWidth="1"/>
    <col min="7700" max="7700" width="12.875" style="3055" customWidth="1"/>
    <col min="7701" max="7702" width="11.25" style="3055" customWidth="1"/>
    <col min="7703" max="7703" width="17.875" style="3055" customWidth="1"/>
    <col min="7704" max="7704" width="7.875" style="3055" customWidth="1"/>
    <col min="7705" max="7708" width="9" style="3055" customWidth="1"/>
    <col min="7709" max="7709" width="18.75" style="3055" customWidth="1"/>
    <col min="7710" max="7710" width="7.875" style="3055" customWidth="1"/>
    <col min="7711" max="7711" width="27.75" style="3055" customWidth="1"/>
    <col min="7712" max="7712" width="7.875" style="3055" customWidth="1"/>
    <col min="7713" max="7715" width="10.625" style="3055" customWidth="1"/>
    <col min="7716" max="7717" width="16" style="3055" customWidth="1"/>
    <col min="7718" max="7719" width="14.375" style="3055" customWidth="1"/>
    <col min="7720" max="7721" width="21.875" style="3055" customWidth="1"/>
    <col min="7722" max="7722" width="6.25" style="3055" customWidth="1"/>
    <col min="7723" max="7723" width="7.875" style="3055" customWidth="1"/>
    <col min="7724" max="7724" width="16.875" style="3055" customWidth="1"/>
    <col min="7725" max="7726" width="20.125" style="3055" customWidth="1"/>
    <col min="7727" max="7727" width="7.875" style="3055" customWidth="1"/>
    <col min="7728" max="7936" width="9" style="3055"/>
    <col min="7937" max="7937" width="34.375" style="3055" customWidth="1"/>
    <col min="7938" max="7938" width="6.25" style="3055" customWidth="1"/>
    <col min="7939" max="7939" width="7.875" style="3055" customWidth="1"/>
    <col min="7940" max="7940" width="19.5" style="3055" customWidth="1"/>
    <col min="7941" max="7941" width="4.625" style="3055" customWidth="1"/>
    <col min="7942" max="7942" width="34.375" style="3055" customWidth="1"/>
    <col min="7943" max="7943" width="9.25" style="3055" customWidth="1"/>
    <col min="7944" max="7945" width="13.875" style="3055" customWidth="1"/>
    <col min="7946" max="7946" width="11.75" style="3055" customWidth="1"/>
    <col min="7947" max="7950" width="7.875" style="3055" customWidth="1"/>
    <col min="7951" max="7951" width="11.25" style="3055" customWidth="1"/>
    <col min="7952" max="7952" width="7.875" style="3055" customWidth="1"/>
    <col min="7953" max="7953" width="9.625" style="3055" customWidth="1"/>
    <col min="7954" max="7955" width="15.5" style="3055" customWidth="1"/>
    <col min="7956" max="7956" width="12.875" style="3055" customWidth="1"/>
    <col min="7957" max="7958" width="11.25" style="3055" customWidth="1"/>
    <col min="7959" max="7959" width="17.875" style="3055" customWidth="1"/>
    <col min="7960" max="7960" width="7.875" style="3055" customWidth="1"/>
    <col min="7961" max="7964" width="9" style="3055" customWidth="1"/>
    <col min="7965" max="7965" width="18.75" style="3055" customWidth="1"/>
    <col min="7966" max="7966" width="7.875" style="3055" customWidth="1"/>
    <col min="7967" max="7967" width="27.75" style="3055" customWidth="1"/>
    <col min="7968" max="7968" width="7.875" style="3055" customWidth="1"/>
    <col min="7969" max="7971" width="10.625" style="3055" customWidth="1"/>
    <col min="7972" max="7973" width="16" style="3055" customWidth="1"/>
    <col min="7974" max="7975" width="14.375" style="3055" customWidth="1"/>
    <col min="7976" max="7977" width="21.875" style="3055" customWidth="1"/>
    <col min="7978" max="7978" width="6.25" style="3055" customWidth="1"/>
    <col min="7979" max="7979" width="7.875" style="3055" customWidth="1"/>
    <col min="7980" max="7980" width="16.875" style="3055" customWidth="1"/>
    <col min="7981" max="7982" width="20.125" style="3055" customWidth="1"/>
    <col min="7983" max="7983" width="7.875" style="3055" customWidth="1"/>
    <col min="7984" max="8192" width="9" style="3055"/>
    <col min="8193" max="8193" width="34.375" style="3055" customWidth="1"/>
    <col min="8194" max="8194" width="6.25" style="3055" customWidth="1"/>
    <col min="8195" max="8195" width="7.875" style="3055" customWidth="1"/>
    <col min="8196" max="8196" width="19.5" style="3055" customWidth="1"/>
    <col min="8197" max="8197" width="4.625" style="3055" customWidth="1"/>
    <col min="8198" max="8198" width="34.375" style="3055" customWidth="1"/>
    <col min="8199" max="8199" width="9.25" style="3055" customWidth="1"/>
    <col min="8200" max="8201" width="13.875" style="3055" customWidth="1"/>
    <col min="8202" max="8202" width="11.75" style="3055" customWidth="1"/>
    <col min="8203" max="8206" width="7.875" style="3055" customWidth="1"/>
    <col min="8207" max="8207" width="11.25" style="3055" customWidth="1"/>
    <col min="8208" max="8208" width="7.875" style="3055" customWidth="1"/>
    <col min="8209" max="8209" width="9.625" style="3055" customWidth="1"/>
    <col min="8210" max="8211" width="15.5" style="3055" customWidth="1"/>
    <col min="8212" max="8212" width="12.875" style="3055" customWidth="1"/>
    <col min="8213" max="8214" width="11.25" style="3055" customWidth="1"/>
    <col min="8215" max="8215" width="17.875" style="3055" customWidth="1"/>
    <col min="8216" max="8216" width="7.875" style="3055" customWidth="1"/>
    <col min="8217" max="8220" width="9" style="3055" customWidth="1"/>
    <col min="8221" max="8221" width="18.75" style="3055" customWidth="1"/>
    <col min="8222" max="8222" width="7.875" style="3055" customWidth="1"/>
    <col min="8223" max="8223" width="27.75" style="3055" customWidth="1"/>
    <col min="8224" max="8224" width="7.875" style="3055" customWidth="1"/>
    <col min="8225" max="8227" width="10.625" style="3055" customWidth="1"/>
    <col min="8228" max="8229" width="16" style="3055" customWidth="1"/>
    <col min="8230" max="8231" width="14.375" style="3055" customWidth="1"/>
    <col min="8232" max="8233" width="21.875" style="3055" customWidth="1"/>
    <col min="8234" max="8234" width="6.25" style="3055" customWidth="1"/>
    <col min="8235" max="8235" width="7.875" style="3055" customWidth="1"/>
    <col min="8236" max="8236" width="16.875" style="3055" customWidth="1"/>
    <col min="8237" max="8238" width="20.125" style="3055" customWidth="1"/>
    <col min="8239" max="8239" width="7.875" style="3055" customWidth="1"/>
    <col min="8240" max="8448" width="9" style="3055"/>
    <col min="8449" max="8449" width="34.375" style="3055" customWidth="1"/>
    <col min="8450" max="8450" width="6.25" style="3055" customWidth="1"/>
    <col min="8451" max="8451" width="7.875" style="3055" customWidth="1"/>
    <col min="8452" max="8452" width="19.5" style="3055" customWidth="1"/>
    <col min="8453" max="8453" width="4.625" style="3055" customWidth="1"/>
    <col min="8454" max="8454" width="34.375" style="3055" customWidth="1"/>
    <col min="8455" max="8455" width="9.25" style="3055" customWidth="1"/>
    <col min="8456" max="8457" width="13.875" style="3055" customWidth="1"/>
    <col min="8458" max="8458" width="11.75" style="3055" customWidth="1"/>
    <col min="8459" max="8462" width="7.875" style="3055" customWidth="1"/>
    <col min="8463" max="8463" width="11.25" style="3055" customWidth="1"/>
    <col min="8464" max="8464" width="7.875" style="3055" customWidth="1"/>
    <col min="8465" max="8465" width="9.625" style="3055" customWidth="1"/>
    <col min="8466" max="8467" width="15.5" style="3055" customWidth="1"/>
    <col min="8468" max="8468" width="12.875" style="3055" customWidth="1"/>
    <col min="8469" max="8470" width="11.25" style="3055" customWidth="1"/>
    <col min="8471" max="8471" width="17.875" style="3055" customWidth="1"/>
    <col min="8472" max="8472" width="7.875" style="3055" customWidth="1"/>
    <col min="8473" max="8476" width="9" style="3055" customWidth="1"/>
    <col min="8477" max="8477" width="18.75" style="3055" customWidth="1"/>
    <col min="8478" max="8478" width="7.875" style="3055" customWidth="1"/>
    <col min="8479" max="8479" width="27.75" style="3055" customWidth="1"/>
    <col min="8480" max="8480" width="7.875" style="3055" customWidth="1"/>
    <col min="8481" max="8483" width="10.625" style="3055" customWidth="1"/>
    <col min="8484" max="8485" width="16" style="3055" customWidth="1"/>
    <col min="8486" max="8487" width="14.375" style="3055" customWidth="1"/>
    <col min="8488" max="8489" width="21.875" style="3055" customWidth="1"/>
    <col min="8490" max="8490" width="6.25" style="3055" customWidth="1"/>
    <col min="8491" max="8491" width="7.875" style="3055" customWidth="1"/>
    <col min="8492" max="8492" width="16.875" style="3055" customWidth="1"/>
    <col min="8493" max="8494" width="20.125" style="3055" customWidth="1"/>
    <col min="8495" max="8495" width="7.875" style="3055" customWidth="1"/>
    <col min="8496" max="8704" width="9" style="3055"/>
    <col min="8705" max="8705" width="34.375" style="3055" customWidth="1"/>
    <col min="8706" max="8706" width="6.25" style="3055" customWidth="1"/>
    <col min="8707" max="8707" width="7.875" style="3055" customWidth="1"/>
    <col min="8708" max="8708" width="19.5" style="3055" customWidth="1"/>
    <col min="8709" max="8709" width="4.625" style="3055" customWidth="1"/>
    <col min="8710" max="8710" width="34.375" style="3055" customWidth="1"/>
    <col min="8711" max="8711" width="9.25" style="3055" customWidth="1"/>
    <col min="8712" max="8713" width="13.875" style="3055" customWidth="1"/>
    <col min="8714" max="8714" width="11.75" style="3055" customWidth="1"/>
    <col min="8715" max="8718" width="7.875" style="3055" customWidth="1"/>
    <col min="8719" max="8719" width="11.25" style="3055" customWidth="1"/>
    <col min="8720" max="8720" width="7.875" style="3055" customWidth="1"/>
    <col min="8721" max="8721" width="9.625" style="3055" customWidth="1"/>
    <col min="8722" max="8723" width="15.5" style="3055" customWidth="1"/>
    <col min="8724" max="8724" width="12.875" style="3055" customWidth="1"/>
    <col min="8725" max="8726" width="11.25" style="3055" customWidth="1"/>
    <col min="8727" max="8727" width="17.875" style="3055" customWidth="1"/>
    <col min="8728" max="8728" width="7.875" style="3055" customWidth="1"/>
    <col min="8729" max="8732" width="9" style="3055" customWidth="1"/>
    <col min="8733" max="8733" width="18.75" style="3055" customWidth="1"/>
    <col min="8734" max="8734" width="7.875" style="3055" customWidth="1"/>
    <col min="8735" max="8735" width="27.75" style="3055" customWidth="1"/>
    <col min="8736" max="8736" width="7.875" style="3055" customWidth="1"/>
    <col min="8737" max="8739" width="10.625" style="3055" customWidth="1"/>
    <col min="8740" max="8741" width="16" style="3055" customWidth="1"/>
    <col min="8742" max="8743" width="14.375" style="3055" customWidth="1"/>
    <col min="8744" max="8745" width="21.875" style="3055" customWidth="1"/>
    <col min="8746" max="8746" width="6.25" style="3055" customWidth="1"/>
    <col min="8747" max="8747" width="7.875" style="3055" customWidth="1"/>
    <col min="8748" max="8748" width="16.875" style="3055" customWidth="1"/>
    <col min="8749" max="8750" width="20.125" style="3055" customWidth="1"/>
    <col min="8751" max="8751" width="7.875" style="3055" customWidth="1"/>
    <col min="8752" max="8960" width="9" style="3055"/>
    <col min="8961" max="8961" width="34.375" style="3055" customWidth="1"/>
    <col min="8962" max="8962" width="6.25" style="3055" customWidth="1"/>
    <col min="8963" max="8963" width="7.875" style="3055" customWidth="1"/>
    <col min="8964" max="8964" width="19.5" style="3055" customWidth="1"/>
    <col min="8965" max="8965" width="4.625" style="3055" customWidth="1"/>
    <col min="8966" max="8966" width="34.375" style="3055" customWidth="1"/>
    <col min="8967" max="8967" width="9.25" style="3055" customWidth="1"/>
    <col min="8968" max="8969" width="13.875" style="3055" customWidth="1"/>
    <col min="8970" max="8970" width="11.75" style="3055" customWidth="1"/>
    <col min="8971" max="8974" width="7.875" style="3055" customWidth="1"/>
    <col min="8975" max="8975" width="11.25" style="3055" customWidth="1"/>
    <col min="8976" max="8976" width="7.875" style="3055" customWidth="1"/>
    <col min="8977" max="8977" width="9.625" style="3055" customWidth="1"/>
    <col min="8978" max="8979" width="15.5" style="3055" customWidth="1"/>
    <col min="8980" max="8980" width="12.875" style="3055" customWidth="1"/>
    <col min="8981" max="8982" width="11.25" style="3055" customWidth="1"/>
    <col min="8983" max="8983" width="17.875" style="3055" customWidth="1"/>
    <col min="8984" max="8984" width="7.875" style="3055" customWidth="1"/>
    <col min="8985" max="8988" width="9" style="3055" customWidth="1"/>
    <col min="8989" max="8989" width="18.75" style="3055" customWidth="1"/>
    <col min="8990" max="8990" width="7.875" style="3055" customWidth="1"/>
    <col min="8991" max="8991" width="27.75" style="3055" customWidth="1"/>
    <col min="8992" max="8992" width="7.875" style="3055" customWidth="1"/>
    <col min="8993" max="8995" width="10.625" style="3055" customWidth="1"/>
    <col min="8996" max="8997" width="16" style="3055" customWidth="1"/>
    <col min="8998" max="8999" width="14.375" style="3055" customWidth="1"/>
    <col min="9000" max="9001" width="21.875" style="3055" customWidth="1"/>
    <col min="9002" max="9002" width="6.25" style="3055" customWidth="1"/>
    <col min="9003" max="9003" width="7.875" style="3055" customWidth="1"/>
    <col min="9004" max="9004" width="16.875" style="3055" customWidth="1"/>
    <col min="9005" max="9006" width="20.125" style="3055" customWidth="1"/>
    <col min="9007" max="9007" width="7.875" style="3055" customWidth="1"/>
    <col min="9008" max="9216" width="9" style="3055"/>
    <col min="9217" max="9217" width="34.375" style="3055" customWidth="1"/>
    <col min="9218" max="9218" width="6.25" style="3055" customWidth="1"/>
    <col min="9219" max="9219" width="7.875" style="3055" customWidth="1"/>
    <col min="9220" max="9220" width="19.5" style="3055" customWidth="1"/>
    <col min="9221" max="9221" width="4.625" style="3055" customWidth="1"/>
    <col min="9222" max="9222" width="34.375" style="3055" customWidth="1"/>
    <col min="9223" max="9223" width="9.25" style="3055" customWidth="1"/>
    <col min="9224" max="9225" width="13.875" style="3055" customWidth="1"/>
    <col min="9226" max="9226" width="11.75" style="3055" customWidth="1"/>
    <col min="9227" max="9230" width="7.875" style="3055" customWidth="1"/>
    <col min="9231" max="9231" width="11.25" style="3055" customWidth="1"/>
    <col min="9232" max="9232" width="7.875" style="3055" customWidth="1"/>
    <col min="9233" max="9233" width="9.625" style="3055" customWidth="1"/>
    <col min="9234" max="9235" width="15.5" style="3055" customWidth="1"/>
    <col min="9236" max="9236" width="12.875" style="3055" customWidth="1"/>
    <col min="9237" max="9238" width="11.25" style="3055" customWidth="1"/>
    <col min="9239" max="9239" width="17.875" style="3055" customWidth="1"/>
    <col min="9240" max="9240" width="7.875" style="3055" customWidth="1"/>
    <col min="9241" max="9244" width="9" style="3055" customWidth="1"/>
    <col min="9245" max="9245" width="18.75" style="3055" customWidth="1"/>
    <col min="9246" max="9246" width="7.875" style="3055" customWidth="1"/>
    <col min="9247" max="9247" width="27.75" style="3055" customWidth="1"/>
    <col min="9248" max="9248" width="7.875" style="3055" customWidth="1"/>
    <col min="9249" max="9251" width="10.625" style="3055" customWidth="1"/>
    <col min="9252" max="9253" width="16" style="3055" customWidth="1"/>
    <col min="9254" max="9255" width="14.375" style="3055" customWidth="1"/>
    <col min="9256" max="9257" width="21.875" style="3055" customWidth="1"/>
    <col min="9258" max="9258" width="6.25" style="3055" customWidth="1"/>
    <col min="9259" max="9259" width="7.875" style="3055" customWidth="1"/>
    <col min="9260" max="9260" width="16.875" style="3055" customWidth="1"/>
    <col min="9261" max="9262" width="20.125" style="3055" customWidth="1"/>
    <col min="9263" max="9263" width="7.875" style="3055" customWidth="1"/>
    <col min="9264" max="9472" width="9" style="3055"/>
    <col min="9473" max="9473" width="34.375" style="3055" customWidth="1"/>
    <col min="9474" max="9474" width="6.25" style="3055" customWidth="1"/>
    <col min="9475" max="9475" width="7.875" style="3055" customWidth="1"/>
    <col min="9476" max="9476" width="19.5" style="3055" customWidth="1"/>
    <col min="9477" max="9477" width="4.625" style="3055" customWidth="1"/>
    <col min="9478" max="9478" width="34.375" style="3055" customWidth="1"/>
    <col min="9479" max="9479" width="9.25" style="3055" customWidth="1"/>
    <col min="9480" max="9481" width="13.875" style="3055" customWidth="1"/>
    <col min="9482" max="9482" width="11.75" style="3055" customWidth="1"/>
    <col min="9483" max="9486" width="7.875" style="3055" customWidth="1"/>
    <col min="9487" max="9487" width="11.25" style="3055" customWidth="1"/>
    <col min="9488" max="9488" width="7.875" style="3055" customWidth="1"/>
    <col min="9489" max="9489" width="9.625" style="3055" customWidth="1"/>
    <col min="9490" max="9491" width="15.5" style="3055" customWidth="1"/>
    <col min="9492" max="9492" width="12.875" style="3055" customWidth="1"/>
    <col min="9493" max="9494" width="11.25" style="3055" customWidth="1"/>
    <col min="9495" max="9495" width="17.875" style="3055" customWidth="1"/>
    <col min="9496" max="9496" width="7.875" style="3055" customWidth="1"/>
    <col min="9497" max="9500" width="9" style="3055" customWidth="1"/>
    <col min="9501" max="9501" width="18.75" style="3055" customWidth="1"/>
    <col min="9502" max="9502" width="7.875" style="3055" customWidth="1"/>
    <col min="9503" max="9503" width="27.75" style="3055" customWidth="1"/>
    <col min="9504" max="9504" width="7.875" style="3055" customWidth="1"/>
    <col min="9505" max="9507" width="10.625" style="3055" customWidth="1"/>
    <col min="9508" max="9509" width="16" style="3055" customWidth="1"/>
    <col min="9510" max="9511" width="14.375" style="3055" customWidth="1"/>
    <col min="9512" max="9513" width="21.875" style="3055" customWidth="1"/>
    <col min="9514" max="9514" width="6.25" style="3055" customWidth="1"/>
    <col min="9515" max="9515" width="7.875" style="3055" customWidth="1"/>
    <col min="9516" max="9516" width="16.875" style="3055" customWidth="1"/>
    <col min="9517" max="9518" width="20.125" style="3055" customWidth="1"/>
    <col min="9519" max="9519" width="7.875" style="3055" customWidth="1"/>
    <col min="9520" max="9728" width="9" style="3055"/>
    <col min="9729" max="9729" width="34.375" style="3055" customWidth="1"/>
    <col min="9730" max="9730" width="6.25" style="3055" customWidth="1"/>
    <col min="9731" max="9731" width="7.875" style="3055" customWidth="1"/>
    <col min="9732" max="9732" width="19.5" style="3055" customWidth="1"/>
    <col min="9733" max="9733" width="4.625" style="3055" customWidth="1"/>
    <col min="9734" max="9734" width="34.375" style="3055" customWidth="1"/>
    <col min="9735" max="9735" width="9.25" style="3055" customWidth="1"/>
    <col min="9736" max="9737" width="13.875" style="3055" customWidth="1"/>
    <col min="9738" max="9738" width="11.75" style="3055" customWidth="1"/>
    <col min="9739" max="9742" width="7.875" style="3055" customWidth="1"/>
    <col min="9743" max="9743" width="11.25" style="3055" customWidth="1"/>
    <col min="9744" max="9744" width="7.875" style="3055" customWidth="1"/>
    <col min="9745" max="9745" width="9.625" style="3055" customWidth="1"/>
    <col min="9746" max="9747" width="15.5" style="3055" customWidth="1"/>
    <col min="9748" max="9748" width="12.875" style="3055" customWidth="1"/>
    <col min="9749" max="9750" width="11.25" style="3055" customWidth="1"/>
    <col min="9751" max="9751" width="17.875" style="3055" customWidth="1"/>
    <col min="9752" max="9752" width="7.875" style="3055" customWidth="1"/>
    <col min="9753" max="9756" width="9" style="3055" customWidth="1"/>
    <col min="9757" max="9757" width="18.75" style="3055" customWidth="1"/>
    <col min="9758" max="9758" width="7.875" style="3055" customWidth="1"/>
    <col min="9759" max="9759" width="27.75" style="3055" customWidth="1"/>
    <col min="9760" max="9760" width="7.875" style="3055" customWidth="1"/>
    <col min="9761" max="9763" width="10.625" style="3055" customWidth="1"/>
    <col min="9764" max="9765" width="16" style="3055" customWidth="1"/>
    <col min="9766" max="9767" width="14.375" style="3055" customWidth="1"/>
    <col min="9768" max="9769" width="21.875" style="3055" customWidth="1"/>
    <col min="9770" max="9770" width="6.25" style="3055" customWidth="1"/>
    <col min="9771" max="9771" width="7.875" style="3055" customWidth="1"/>
    <col min="9772" max="9772" width="16.875" style="3055" customWidth="1"/>
    <col min="9773" max="9774" width="20.125" style="3055" customWidth="1"/>
    <col min="9775" max="9775" width="7.875" style="3055" customWidth="1"/>
    <col min="9776" max="9984" width="9" style="3055"/>
    <col min="9985" max="9985" width="34.375" style="3055" customWidth="1"/>
    <col min="9986" max="9986" width="6.25" style="3055" customWidth="1"/>
    <col min="9987" max="9987" width="7.875" style="3055" customWidth="1"/>
    <col min="9988" max="9988" width="19.5" style="3055" customWidth="1"/>
    <col min="9989" max="9989" width="4.625" style="3055" customWidth="1"/>
    <col min="9990" max="9990" width="34.375" style="3055" customWidth="1"/>
    <col min="9991" max="9991" width="9.25" style="3055" customWidth="1"/>
    <col min="9992" max="9993" width="13.875" style="3055" customWidth="1"/>
    <col min="9994" max="9994" width="11.75" style="3055" customWidth="1"/>
    <col min="9995" max="9998" width="7.875" style="3055" customWidth="1"/>
    <col min="9999" max="9999" width="11.25" style="3055" customWidth="1"/>
    <col min="10000" max="10000" width="7.875" style="3055" customWidth="1"/>
    <col min="10001" max="10001" width="9.625" style="3055" customWidth="1"/>
    <col min="10002" max="10003" width="15.5" style="3055" customWidth="1"/>
    <col min="10004" max="10004" width="12.875" style="3055" customWidth="1"/>
    <col min="10005" max="10006" width="11.25" style="3055" customWidth="1"/>
    <col min="10007" max="10007" width="17.875" style="3055" customWidth="1"/>
    <col min="10008" max="10008" width="7.875" style="3055" customWidth="1"/>
    <col min="10009" max="10012" width="9" style="3055" customWidth="1"/>
    <col min="10013" max="10013" width="18.75" style="3055" customWidth="1"/>
    <col min="10014" max="10014" width="7.875" style="3055" customWidth="1"/>
    <col min="10015" max="10015" width="27.75" style="3055" customWidth="1"/>
    <col min="10016" max="10016" width="7.875" style="3055" customWidth="1"/>
    <col min="10017" max="10019" width="10.625" style="3055" customWidth="1"/>
    <col min="10020" max="10021" width="16" style="3055" customWidth="1"/>
    <col min="10022" max="10023" width="14.375" style="3055" customWidth="1"/>
    <col min="10024" max="10025" width="21.875" style="3055" customWidth="1"/>
    <col min="10026" max="10026" width="6.25" style="3055" customWidth="1"/>
    <col min="10027" max="10027" width="7.875" style="3055" customWidth="1"/>
    <col min="10028" max="10028" width="16.875" style="3055" customWidth="1"/>
    <col min="10029" max="10030" width="20.125" style="3055" customWidth="1"/>
    <col min="10031" max="10031" width="7.875" style="3055" customWidth="1"/>
    <col min="10032" max="10240" width="9" style="3055"/>
    <col min="10241" max="10241" width="34.375" style="3055" customWidth="1"/>
    <col min="10242" max="10242" width="6.25" style="3055" customWidth="1"/>
    <col min="10243" max="10243" width="7.875" style="3055" customWidth="1"/>
    <col min="10244" max="10244" width="19.5" style="3055" customWidth="1"/>
    <col min="10245" max="10245" width="4.625" style="3055" customWidth="1"/>
    <col min="10246" max="10246" width="34.375" style="3055" customWidth="1"/>
    <col min="10247" max="10247" width="9.25" style="3055" customWidth="1"/>
    <col min="10248" max="10249" width="13.875" style="3055" customWidth="1"/>
    <col min="10250" max="10250" width="11.75" style="3055" customWidth="1"/>
    <col min="10251" max="10254" width="7.875" style="3055" customWidth="1"/>
    <col min="10255" max="10255" width="11.25" style="3055" customWidth="1"/>
    <col min="10256" max="10256" width="7.875" style="3055" customWidth="1"/>
    <col min="10257" max="10257" width="9.625" style="3055" customWidth="1"/>
    <col min="10258" max="10259" width="15.5" style="3055" customWidth="1"/>
    <col min="10260" max="10260" width="12.875" style="3055" customWidth="1"/>
    <col min="10261" max="10262" width="11.25" style="3055" customWidth="1"/>
    <col min="10263" max="10263" width="17.875" style="3055" customWidth="1"/>
    <col min="10264" max="10264" width="7.875" style="3055" customWidth="1"/>
    <col min="10265" max="10268" width="9" style="3055" customWidth="1"/>
    <col min="10269" max="10269" width="18.75" style="3055" customWidth="1"/>
    <col min="10270" max="10270" width="7.875" style="3055" customWidth="1"/>
    <col min="10271" max="10271" width="27.75" style="3055" customWidth="1"/>
    <col min="10272" max="10272" width="7.875" style="3055" customWidth="1"/>
    <col min="10273" max="10275" width="10.625" style="3055" customWidth="1"/>
    <col min="10276" max="10277" width="16" style="3055" customWidth="1"/>
    <col min="10278" max="10279" width="14.375" style="3055" customWidth="1"/>
    <col min="10280" max="10281" width="21.875" style="3055" customWidth="1"/>
    <col min="10282" max="10282" width="6.25" style="3055" customWidth="1"/>
    <col min="10283" max="10283" width="7.875" style="3055" customWidth="1"/>
    <col min="10284" max="10284" width="16.875" style="3055" customWidth="1"/>
    <col min="10285" max="10286" width="20.125" style="3055" customWidth="1"/>
    <col min="10287" max="10287" width="7.875" style="3055" customWidth="1"/>
    <col min="10288" max="10496" width="9" style="3055"/>
    <col min="10497" max="10497" width="34.375" style="3055" customWidth="1"/>
    <col min="10498" max="10498" width="6.25" style="3055" customWidth="1"/>
    <col min="10499" max="10499" width="7.875" style="3055" customWidth="1"/>
    <col min="10500" max="10500" width="19.5" style="3055" customWidth="1"/>
    <col min="10501" max="10501" width="4.625" style="3055" customWidth="1"/>
    <col min="10502" max="10502" width="34.375" style="3055" customWidth="1"/>
    <col min="10503" max="10503" width="9.25" style="3055" customWidth="1"/>
    <col min="10504" max="10505" width="13.875" style="3055" customWidth="1"/>
    <col min="10506" max="10506" width="11.75" style="3055" customWidth="1"/>
    <col min="10507" max="10510" width="7.875" style="3055" customWidth="1"/>
    <col min="10511" max="10511" width="11.25" style="3055" customWidth="1"/>
    <col min="10512" max="10512" width="7.875" style="3055" customWidth="1"/>
    <col min="10513" max="10513" width="9.625" style="3055" customWidth="1"/>
    <col min="10514" max="10515" width="15.5" style="3055" customWidth="1"/>
    <col min="10516" max="10516" width="12.875" style="3055" customWidth="1"/>
    <col min="10517" max="10518" width="11.25" style="3055" customWidth="1"/>
    <col min="10519" max="10519" width="17.875" style="3055" customWidth="1"/>
    <col min="10520" max="10520" width="7.875" style="3055" customWidth="1"/>
    <col min="10521" max="10524" width="9" style="3055" customWidth="1"/>
    <col min="10525" max="10525" width="18.75" style="3055" customWidth="1"/>
    <col min="10526" max="10526" width="7.875" style="3055" customWidth="1"/>
    <col min="10527" max="10527" width="27.75" style="3055" customWidth="1"/>
    <col min="10528" max="10528" width="7.875" style="3055" customWidth="1"/>
    <col min="10529" max="10531" width="10.625" style="3055" customWidth="1"/>
    <col min="10532" max="10533" width="16" style="3055" customWidth="1"/>
    <col min="10534" max="10535" width="14.375" style="3055" customWidth="1"/>
    <col min="10536" max="10537" width="21.875" style="3055" customWidth="1"/>
    <col min="10538" max="10538" width="6.25" style="3055" customWidth="1"/>
    <col min="10539" max="10539" width="7.875" style="3055" customWidth="1"/>
    <col min="10540" max="10540" width="16.875" style="3055" customWidth="1"/>
    <col min="10541" max="10542" width="20.125" style="3055" customWidth="1"/>
    <col min="10543" max="10543" width="7.875" style="3055" customWidth="1"/>
    <col min="10544" max="10752" width="9" style="3055"/>
    <col min="10753" max="10753" width="34.375" style="3055" customWidth="1"/>
    <col min="10754" max="10754" width="6.25" style="3055" customWidth="1"/>
    <col min="10755" max="10755" width="7.875" style="3055" customWidth="1"/>
    <col min="10756" max="10756" width="19.5" style="3055" customWidth="1"/>
    <col min="10757" max="10757" width="4.625" style="3055" customWidth="1"/>
    <col min="10758" max="10758" width="34.375" style="3055" customWidth="1"/>
    <col min="10759" max="10759" width="9.25" style="3055" customWidth="1"/>
    <col min="10760" max="10761" width="13.875" style="3055" customWidth="1"/>
    <col min="10762" max="10762" width="11.75" style="3055" customWidth="1"/>
    <col min="10763" max="10766" width="7.875" style="3055" customWidth="1"/>
    <col min="10767" max="10767" width="11.25" style="3055" customWidth="1"/>
    <col min="10768" max="10768" width="7.875" style="3055" customWidth="1"/>
    <col min="10769" max="10769" width="9.625" style="3055" customWidth="1"/>
    <col min="10770" max="10771" width="15.5" style="3055" customWidth="1"/>
    <col min="10772" max="10772" width="12.875" style="3055" customWidth="1"/>
    <col min="10773" max="10774" width="11.25" style="3055" customWidth="1"/>
    <col min="10775" max="10775" width="17.875" style="3055" customWidth="1"/>
    <col min="10776" max="10776" width="7.875" style="3055" customWidth="1"/>
    <col min="10777" max="10780" width="9" style="3055" customWidth="1"/>
    <col min="10781" max="10781" width="18.75" style="3055" customWidth="1"/>
    <col min="10782" max="10782" width="7.875" style="3055" customWidth="1"/>
    <col min="10783" max="10783" width="27.75" style="3055" customWidth="1"/>
    <col min="10784" max="10784" width="7.875" style="3055" customWidth="1"/>
    <col min="10785" max="10787" width="10.625" style="3055" customWidth="1"/>
    <col min="10788" max="10789" width="16" style="3055" customWidth="1"/>
    <col min="10790" max="10791" width="14.375" style="3055" customWidth="1"/>
    <col min="10792" max="10793" width="21.875" style="3055" customWidth="1"/>
    <col min="10794" max="10794" width="6.25" style="3055" customWidth="1"/>
    <col min="10795" max="10795" width="7.875" style="3055" customWidth="1"/>
    <col min="10796" max="10796" width="16.875" style="3055" customWidth="1"/>
    <col min="10797" max="10798" width="20.125" style="3055" customWidth="1"/>
    <col min="10799" max="10799" width="7.875" style="3055" customWidth="1"/>
    <col min="10800" max="11008" width="9" style="3055"/>
    <col min="11009" max="11009" width="34.375" style="3055" customWidth="1"/>
    <col min="11010" max="11010" width="6.25" style="3055" customWidth="1"/>
    <col min="11011" max="11011" width="7.875" style="3055" customWidth="1"/>
    <col min="11012" max="11012" width="19.5" style="3055" customWidth="1"/>
    <col min="11013" max="11013" width="4.625" style="3055" customWidth="1"/>
    <col min="11014" max="11014" width="34.375" style="3055" customWidth="1"/>
    <col min="11015" max="11015" width="9.25" style="3055" customWidth="1"/>
    <col min="11016" max="11017" width="13.875" style="3055" customWidth="1"/>
    <col min="11018" max="11018" width="11.75" style="3055" customWidth="1"/>
    <col min="11019" max="11022" width="7.875" style="3055" customWidth="1"/>
    <col min="11023" max="11023" width="11.25" style="3055" customWidth="1"/>
    <col min="11024" max="11024" width="7.875" style="3055" customWidth="1"/>
    <col min="11025" max="11025" width="9.625" style="3055" customWidth="1"/>
    <col min="11026" max="11027" width="15.5" style="3055" customWidth="1"/>
    <col min="11028" max="11028" width="12.875" style="3055" customWidth="1"/>
    <col min="11029" max="11030" width="11.25" style="3055" customWidth="1"/>
    <col min="11031" max="11031" width="17.875" style="3055" customWidth="1"/>
    <col min="11032" max="11032" width="7.875" style="3055" customWidth="1"/>
    <col min="11033" max="11036" width="9" style="3055" customWidth="1"/>
    <col min="11037" max="11037" width="18.75" style="3055" customWidth="1"/>
    <col min="11038" max="11038" width="7.875" style="3055" customWidth="1"/>
    <col min="11039" max="11039" width="27.75" style="3055" customWidth="1"/>
    <col min="11040" max="11040" width="7.875" style="3055" customWidth="1"/>
    <col min="11041" max="11043" width="10.625" style="3055" customWidth="1"/>
    <col min="11044" max="11045" width="16" style="3055" customWidth="1"/>
    <col min="11046" max="11047" width="14.375" style="3055" customWidth="1"/>
    <col min="11048" max="11049" width="21.875" style="3055" customWidth="1"/>
    <col min="11050" max="11050" width="6.25" style="3055" customWidth="1"/>
    <col min="11051" max="11051" width="7.875" style="3055" customWidth="1"/>
    <col min="11052" max="11052" width="16.875" style="3055" customWidth="1"/>
    <col min="11053" max="11054" width="20.125" style="3055" customWidth="1"/>
    <col min="11055" max="11055" width="7.875" style="3055" customWidth="1"/>
    <col min="11056" max="11264" width="9" style="3055"/>
    <col min="11265" max="11265" width="34.375" style="3055" customWidth="1"/>
    <col min="11266" max="11266" width="6.25" style="3055" customWidth="1"/>
    <col min="11267" max="11267" width="7.875" style="3055" customWidth="1"/>
    <col min="11268" max="11268" width="19.5" style="3055" customWidth="1"/>
    <col min="11269" max="11269" width="4.625" style="3055" customWidth="1"/>
    <col min="11270" max="11270" width="34.375" style="3055" customWidth="1"/>
    <col min="11271" max="11271" width="9.25" style="3055" customWidth="1"/>
    <col min="11272" max="11273" width="13.875" style="3055" customWidth="1"/>
    <col min="11274" max="11274" width="11.75" style="3055" customWidth="1"/>
    <col min="11275" max="11278" width="7.875" style="3055" customWidth="1"/>
    <col min="11279" max="11279" width="11.25" style="3055" customWidth="1"/>
    <col min="11280" max="11280" width="7.875" style="3055" customWidth="1"/>
    <col min="11281" max="11281" width="9.625" style="3055" customWidth="1"/>
    <col min="11282" max="11283" width="15.5" style="3055" customWidth="1"/>
    <col min="11284" max="11284" width="12.875" style="3055" customWidth="1"/>
    <col min="11285" max="11286" width="11.25" style="3055" customWidth="1"/>
    <col min="11287" max="11287" width="17.875" style="3055" customWidth="1"/>
    <col min="11288" max="11288" width="7.875" style="3055" customWidth="1"/>
    <col min="11289" max="11292" width="9" style="3055" customWidth="1"/>
    <col min="11293" max="11293" width="18.75" style="3055" customWidth="1"/>
    <col min="11294" max="11294" width="7.875" style="3055" customWidth="1"/>
    <col min="11295" max="11295" width="27.75" style="3055" customWidth="1"/>
    <col min="11296" max="11296" width="7.875" style="3055" customWidth="1"/>
    <col min="11297" max="11299" width="10.625" style="3055" customWidth="1"/>
    <col min="11300" max="11301" width="16" style="3055" customWidth="1"/>
    <col min="11302" max="11303" width="14.375" style="3055" customWidth="1"/>
    <col min="11304" max="11305" width="21.875" style="3055" customWidth="1"/>
    <col min="11306" max="11306" width="6.25" style="3055" customWidth="1"/>
    <col min="11307" max="11307" width="7.875" style="3055" customWidth="1"/>
    <col min="11308" max="11308" width="16.875" style="3055" customWidth="1"/>
    <col min="11309" max="11310" width="20.125" style="3055" customWidth="1"/>
    <col min="11311" max="11311" width="7.875" style="3055" customWidth="1"/>
    <col min="11312" max="11520" width="9" style="3055"/>
    <col min="11521" max="11521" width="34.375" style="3055" customWidth="1"/>
    <col min="11522" max="11522" width="6.25" style="3055" customWidth="1"/>
    <col min="11523" max="11523" width="7.875" style="3055" customWidth="1"/>
    <col min="11524" max="11524" width="19.5" style="3055" customWidth="1"/>
    <col min="11525" max="11525" width="4.625" style="3055" customWidth="1"/>
    <col min="11526" max="11526" width="34.375" style="3055" customWidth="1"/>
    <col min="11527" max="11527" width="9.25" style="3055" customWidth="1"/>
    <col min="11528" max="11529" width="13.875" style="3055" customWidth="1"/>
    <col min="11530" max="11530" width="11.75" style="3055" customWidth="1"/>
    <col min="11531" max="11534" width="7.875" style="3055" customWidth="1"/>
    <col min="11535" max="11535" width="11.25" style="3055" customWidth="1"/>
    <col min="11536" max="11536" width="7.875" style="3055" customWidth="1"/>
    <col min="11537" max="11537" width="9.625" style="3055" customWidth="1"/>
    <col min="11538" max="11539" width="15.5" style="3055" customWidth="1"/>
    <col min="11540" max="11540" width="12.875" style="3055" customWidth="1"/>
    <col min="11541" max="11542" width="11.25" style="3055" customWidth="1"/>
    <col min="11543" max="11543" width="17.875" style="3055" customWidth="1"/>
    <col min="11544" max="11544" width="7.875" style="3055" customWidth="1"/>
    <col min="11545" max="11548" width="9" style="3055" customWidth="1"/>
    <col min="11549" max="11549" width="18.75" style="3055" customWidth="1"/>
    <col min="11550" max="11550" width="7.875" style="3055" customWidth="1"/>
    <col min="11551" max="11551" width="27.75" style="3055" customWidth="1"/>
    <col min="11552" max="11552" width="7.875" style="3055" customWidth="1"/>
    <col min="11553" max="11555" width="10.625" style="3055" customWidth="1"/>
    <col min="11556" max="11557" width="16" style="3055" customWidth="1"/>
    <col min="11558" max="11559" width="14.375" style="3055" customWidth="1"/>
    <col min="11560" max="11561" width="21.875" style="3055" customWidth="1"/>
    <col min="11562" max="11562" width="6.25" style="3055" customWidth="1"/>
    <col min="11563" max="11563" width="7.875" style="3055" customWidth="1"/>
    <col min="11564" max="11564" width="16.875" style="3055" customWidth="1"/>
    <col min="11565" max="11566" width="20.125" style="3055" customWidth="1"/>
    <col min="11567" max="11567" width="7.875" style="3055" customWidth="1"/>
    <col min="11568" max="11776" width="9" style="3055"/>
    <col min="11777" max="11777" width="34.375" style="3055" customWidth="1"/>
    <col min="11778" max="11778" width="6.25" style="3055" customWidth="1"/>
    <col min="11779" max="11779" width="7.875" style="3055" customWidth="1"/>
    <col min="11780" max="11780" width="19.5" style="3055" customWidth="1"/>
    <col min="11781" max="11781" width="4.625" style="3055" customWidth="1"/>
    <col min="11782" max="11782" width="34.375" style="3055" customWidth="1"/>
    <col min="11783" max="11783" width="9.25" style="3055" customWidth="1"/>
    <col min="11784" max="11785" width="13.875" style="3055" customWidth="1"/>
    <col min="11786" max="11786" width="11.75" style="3055" customWidth="1"/>
    <col min="11787" max="11790" width="7.875" style="3055" customWidth="1"/>
    <col min="11791" max="11791" width="11.25" style="3055" customWidth="1"/>
    <col min="11792" max="11792" width="7.875" style="3055" customWidth="1"/>
    <col min="11793" max="11793" width="9.625" style="3055" customWidth="1"/>
    <col min="11794" max="11795" width="15.5" style="3055" customWidth="1"/>
    <col min="11796" max="11796" width="12.875" style="3055" customWidth="1"/>
    <col min="11797" max="11798" width="11.25" style="3055" customWidth="1"/>
    <col min="11799" max="11799" width="17.875" style="3055" customWidth="1"/>
    <col min="11800" max="11800" width="7.875" style="3055" customWidth="1"/>
    <col min="11801" max="11804" width="9" style="3055" customWidth="1"/>
    <col min="11805" max="11805" width="18.75" style="3055" customWidth="1"/>
    <col min="11806" max="11806" width="7.875" style="3055" customWidth="1"/>
    <col min="11807" max="11807" width="27.75" style="3055" customWidth="1"/>
    <col min="11808" max="11808" width="7.875" style="3055" customWidth="1"/>
    <col min="11809" max="11811" width="10.625" style="3055" customWidth="1"/>
    <col min="11812" max="11813" width="16" style="3055" customWidth="1"/>
    <col min="11814" max="11815" width="14.375" style="3055" customWidth="1"/>
    <col min="11816" max="11817" width="21.875" style="3055" customWidth="1"/>
    <col min="11818" max="11818" width="6.25" style="3055" customWidth="1"/>
    <col min="11819" max="11819" width="7.875" style="3055" customWidth="1"/>
    <col min="11820" max="11820" width="16.875" style="3055" customWidth="1"/>
    <col min="11821" max="11822" width="20.125" style="3055" customWidth="1"/>
    <col min="11823" max="11823" width="7.875" style="3055" customWidth="1"/>
    <col min="11824" max="12032" width="9" style="3055"/>
    <col min="12033" max="12033" width="34.375" style="3055" customWidth="1"/>
    <col min="12034" max="12034" width="6.25" style="3055" customWidth="1"/>
    <col min="12035" max="12035" width="7.875" style="3055" customWidth="1"/>
    <col min="12036" max="12036" width="19.5" style="3055" customWidth="1"/>
    <col min="12037" max="12037" width="4.625" style="3055" customWidth="1"/>
    <col min="12038" max="12038" width="34.375" style="3055" customWidth="1"/>
    <col min="12039" max="12039" width="9.25" style="3055" customWidth="1"/>
    <col min="12040" max="12041" width="13.875" style="3055" customWidth="1"/>
    <col min="12042" max="12042" width="11.75" style="3055" customWidth="1"/>
    <col min="12043" max="12046" width="7.875" style="3055" customWidth="1"/>
    <col min="12047" max="12047" width="11.25" style="3055" customWidth="1"/>
    <col min="12048" max="12048" width="7.875" style="3055" customWidth="1"/>
    <col min="12049" max="12049" width="9.625" style="3055" customWidth="1"/>
    <col min="12050" max="12051" width="15.5" style="3055" customWidth="1"/>
    <col min="12052" max="12052" width="12.875" style="3055" customWidth="1"/>
    <col min="12053" max="12054" width="11.25" style="3055" customWidth="1"/>
    <col min="12055" max="12055" width="17.875" style="3055" customWidth="1"/>
    <col min="12056" max="12056" width="7.875" style="3055" customWidth="1"/>
    <col min="12057" max="12060" width="9" style="3055" customWidth="1"/>
    <col min="12061" max="12061" width="18.75" style="3055" customWidth="1"/>
    <col min="12062" max="12062" width="7.875" style="3055" customWidth="1"/>
    <col min="12063" max="12063" width="27.75" style="3055" customWidth="1"/>
    <col min="12064" max="12064" width="7.875" style="3055" customWidth="1"/>
    <col min="12065" max="12067" width="10.625" style="3055" customWidth="1"/>
    <col min="12068" max="12069" width="16" style="3055" customWidth="1"/>
    <col min="12070" max="12071" width="14.375" style="3055" customWidth="1"/>
    <col min="12072" max="12073" width="21.875" style="3055" customWidth="1"/>
    <col min="12074" max="12074" width="6.25" style="3055" customWidth="1"/>
    <col min="12075" max="12075" width="7.875" style="3055" customWidth="1"/>
    <col min="12076" max="12076" width="16.875" style="3055" customWidth="1"/>
    <col min="12077" max="12078" width="20.125" style="3055" customWidth="1"/>
    <col min="12079" max="12079" width="7.875" style="3055" customWidth="1"/>
    <col min="12080" max="12288" width="9" style="3055"/>
    <col min="12289" max="12289" width="34.375" style="3055" customWidth="1"/>
    <col min="12290" max="12290" width="6.25" style="3055" customWidth="1"/>
    <col min="12291" max="12291" width="7.875" style="3055" customWidth="1"/>
    <col min="12292" max="12292" width="19.5" style="3055" customWidth="1"/>
    <col min="12293" max="12293" width="4.625" style="3055" customWidth="1"/>
    <col min="12294" max="12294" width="34.375" style="3055" customWidth="1"/>
    <col min="12295" max="12295" width="9.25" style="3055" customWidth="1"/>
    <col min="12296" max="12297" width="13.875" style="3055" customWidth="1"/>
    <col min="12298" max="12298" width="11.75" style="3055" customWidth="1"/>
    <col min="12299" max="12302" width="7.875" style="3055" customWidth="1"/>
    <col min="12303" max="12303" width="11.25" style="3055" customWidth="1"/>
    <col min="12304" max="12304" width="7.875" style="3055" customWidth="1"/>
    <col min="12305" max="12305" width="9.625" style="3055" customWidth="1"/>
    <col min="12306" max="12307" width="15.5" style="3055" customWidth="1"/>
    <col min="12308" max="12308" width="12.875" style="3055" customWidth="1"/>
    <col min="12309" max="12310" width="11.25" style="3055" customWidth="1"/>
    <col min="12311" max="12311" width="17.875" style="3055" customWidth="1"/>
    <col min="12312" max="12312" width="7.875" style="3055" customWidth="1"/>
    <col min="12313" max="12316" width="9" style="3055" customWidth="1"/>
    <col min="12317" max="12317" width="18.75" style="3055" customWidth="1"/>
    <col min="12318" max="12318" width="7.875" style="3055" customWidth="1"/>
    <col min="12319" max="12319" width="27.75" style="3055" customWidth="1"/>
    <col min="12320" max="12320" width="7.875" style="3055" customWidth="1"/>
    <col min="12321" max="12323" width="10.625" style="3055" customWidth="1"/>
    <col min="12324" max="12325" width="16" style="3055" customWidth="1"/>
    <col min="12326" max="12327" width="14.375" style="3055" customWidth="1"/>
    <col min="12328" max="12329" width="21.875" style="3055" customWidth="1"/>
    <col min="12330" max="12330" width="6.25" style="3055" customWidth="1"/>
    <col min="12331" max="12331" width="7.875" style="3055" customWidth="1"/>
    <col min="12332" max="12332" width="16.875" style="3055" customWidth="1"/>
    <col min="12333" max="12334" width="20.125" style="3055" customWidth="1"/>
    <col min="12335" max="12335" width="7.875" style="3055" customWidth="1"/>
    <col min="12336" max="12544" width="9" style="3055"/>
    <col min="12545" max="12545" width="34.375" style="3055" customWidth="1"/>
    <col min="12546" max="12546" width="6.25" style="3055" customWidth="1"/>
    <col min="12547" max="12547" width="7.875" style="3055" customWidth="1"/>
    <col min="12548" max="12548" width="19.5" style="3055" customWidth="1"/>
    <col min="12549" max="12549" width="4.625" style="3055" customWidth="1"/>
    <col min="12550" max="12550" width="34.375" style="3055" customWidth="1"/>
    <col min="12551" max="12551" width="9.25" style="3055" customWidth="1"/>
    <col min="12552" max="12553" width="13.875" style="3055" customWidth="1"/>
    <col min="12554" max="12554" width="11.75" style="3055" customWidth="1"/>
    <col min="12555" max="12558" width="7.875" style="3055" customWidth="1"/>
    <col min="12559" max="12559" width="11.25" style="3055" customWidth="1"/>
    <col min="12560" max="12560" width="7.875" style="3055" customWidth="1"/>
    <col min="12561" max="12561" width="9.625" style="3055" customWidth="1"/>
    <col min="12562" max="12563" width="15.5" style="3055" customWidth="1"/>
    <col min="12564" max="12564" width="12.875" style="3055" customWidth="1"/>
    <col min="12565" max="12566" width="11.25" style="3055" customWidth="1"/>
    <col min="12567" max="12567" width="17.875" style="3055" customWidth="1"/>
    <col min="12568" max="12568" width="7.875" style="3055" customWidth="1"/>
    <col min="12569" max="12572" width="9" style="3055" customWidth="1"/>
    <col min="12573" max="12573" width="18.75" style="3055" customWidth="1"/>
    <col min="12574" max="12574" width="7.875" style="3055" customWidth="1"/>
    <col min="12575" max="12575" width="27.75" style="3055" customWidth="1"/>
    <col min="12576" max="12576" width="7.875" style="3055" customWidth="1"/>
    <col min="12577" max="12579" width="10.625" style="3055" customWidth="1"/>
    <col min="12580" max="12581" width="16" style="3055" customWidth="1"/>
    <col min="12582" max="12583" width="14.375" style="3055" customWidth="1"/>
    <col min="12584" max="12585" width="21.875" style="3055" customWidth="1"/>
    <col min="12586" max="12586" width="6.25" style="3055" customWidth="1"/>
    <col min="12587" max="12587" width="7.875" style="3055" customWidth="1"/>
    <col min="12588" max="12588" width="16.875" style="3055" customWidth="1"/>
    <col min="12589" max="12590" width="20.125" style="3055" customWidth="1"/>
    <col min="12591" max="12591" width="7.875" style="3055" customWidth="1"/>
    <col min="12592" max="12800" width="9" style="3055"/>
    <col min="12801" max="12801" width="34.375" style="3055" customWidth="1"/>
    <col min="12802" max="12802" width="6.25" style="3055" customWidth="1"/>
    <col min="12803" max="12803" width="7.875" style="3055" customWidth="1"/>
    <col min="12804" max="12804" width="19.5" style="3055" customWidth="1"/>
    <col min="12805" max="12805" width="4.625" style="3055" customWidth="1"/>
    <col min="12806" max="12806" width="34.375" style="3055" customWidth="1"/>
    <col min="12807" max="12807" width="9.25" style="3055" customWidth="1"/>
    <col min="12808" max="12809" width="13.875" style="3055" customWidth="1"/>
    <col min="12810" max="12810" width="11.75" style="3055" customWidth="1"/>
    <col min="12811" max="12814" width="7.875" style="3055" customWidth="1"/>
    <col min="12815" max="12815" width="11.25" style="3055" customWidth="1"/>
    <col min="12816" max="12816" width="7.875" style="3055" customWidth="1"/>
    <col min="12817" max="12817" width="9.625" style="3055" customWidth="1"/>
    <col min="12818" max="12819" width="15.5" style="3055" customWidth="1"/>
    <col min="12820" max="12820" width="12.875" style="3055" customWidth="1"/>
    <col min="12821" max="12822" width="11.25" style="3055" customWidth="1"/>
    <col min="12823" max="12823" width="17.875" style="3055" customWidth="1"/>
    <col min="12824" max="12824" width="7.875" style="3055" customWidth="1"/>
    <col min="12825" max="12828" width="9" style="3055" customWidth="1"/>
    <col min="12829" max="12829" width="18.75" style="3055" customWidth="1"/>
    <col min="12830" max="12830" width="7.875" style="3055" customWidth="1"/>
    <col min="12831" max="12831" width="27.75" style="3055" customWidth="1"/>
    <col min="12832" max="12832" width="7.875" style="3055" customWidth="1"/>
    <col min="12833" max="12835" width="10.625" style="3055" customWidth="1"/>
    <col min="12836" max="12837" width="16" style="3055" customWidth="1"/>
    <col min="12838" max="12839" width="14.375" style="3055" customWidth="1"/>
    <col min="12840" max="12841" width="21.875" style="3055" customWidth="1"/>
    <col min="12842" max="12842" width="6.25" style="3055" customWidth="1"/>
    <col min="12843" max="12843" width="7.875" style="3055" customWidth="1"/>
    <col min="12844" max="12844" width="16.875" style="3055" customWidth="1"/>
    <col min="12845" max="12846" width="20.125" style="3055" customWidth="1"/>
    <col min="12847" max="12847" width="7.875" style="3055" customWidth="1"/>
    <col min="12848" max="13056" width="9" style="3055"/>
    <col min="13057" max="13057" width="34.375" style="3055" customWidth="1"/>
    <col min="13058" max="13058" width="6.25" style="3055" customWidth="1"/>
    <col min="13059" max="13059" width="7.875" style="3055" customWidth="1"/>
    <col min="13060" max="13060" width="19.5" style="3055" customWidth="1"/>
    <col min="13061" max="13061" width="4.625" style="3055" customWidth="1"/>
    <col min="13062" max="13062" width="34.375" style="3055" customWidth="1"/>
    <col min="13063" max="13063" width="9.25" style="3055" customWidth="1"/>
    <col min="13064" max="13065" width="13.875" style="3055" customWidth="1"/>
    <col min="13066" max="13066" width="11.75" style="3055" customWidth="1"/>
    <col min="13067" max="13070" width="7.875" style="3055" customWidth="1"/>
    <col min="13071" max="13071" width="11.25" style="3055" customWidth="1"/>
    <col min="13072" max="13072" width="7.875" style="3055" customWidth="1"/>
    <col min="13073" max="13073" width="9.625" style="3055" customWidth="1"/>
    <col min="13074" max="13075" width="15.5" style="3055" customWidth="1"/>
    <col min="13076" max="13076" width="12.875" style="3055" customWidth="1"/>
    <col min="13077" max="13078" width="11.25" style="3055" customWidth="1"/>
    <col min="13079" max="13079" width="17.875" style="3055" customWidth="1"/>
    <col min="13080" max="13080" width="7.875" style="3055" customWidth="1"/>
    <col min="13081" max="13084" width="9" style="3055" customWidth="1"/>
    <col min="13085" max="13085" width="18.75" style="3055" customWidth="1"/>
    <col min="13086" max="13086" width="7.875" style="3055" customWidth="1"/>
    <col min="13087" max="13087" width="27.75" style="3055" customWidth="1"/>
    <col min="13088" max="13088" width="7.875" style="3055" customWidth="1"/>
    <col min="13089" max="13091" width="10.625" style="3055" customWidth="1"/>
    <col min="13092" max="13093" width="16" style="3055" customWidth="1"/>
    <col min="13094" max="13095" width="14.375" style="3055" customWidth="1"/>
    <col min="13096" max="13097" width="21.875" style="3055" customWidth="1"/>
    <col min="13098" max="13098" width="6.25" style="3055" customWidth="1"/>
    <col min="13099" max="13099" width="7.875" style="3055" customWidth="1"/>
    <col min="13100" max="13100" width="16.875" style="3055" customWidth="1"/>
    <col min="13101" max="13102" width="20.125" style="3055" customWidth="1"/>
    <col min="13103" max="13103" width="7.875" style="3055" customWidth="1"/>
    <col min="13104" max="13312" width="9" style="3055"/>
    <col min="13313" max="13313" width="34.375" style="3055" customWidth="1"/>
    <col min="13314" max="13314" width="6.25" style="3055" customWidth="1"/>
    <col min="13315" max="13315" width="7.875" style="3055" customWidth="1"/>
    <col min="13316" max="13316" width="19.5" style="3055" customWidth="1"/>
    <col min="13317" max="13317" width="4.625" style="3055" customWidth="1"/>
    <col min="13318" max="13318" width="34.375" style="3055" customWidth="1"/>
    <col min="13319" max="13319" width="9.25" style="3055" customWidth="1"/>
    <col min="13320" max="13321" width="13.875" style="3055" customWidth="1"/>
    <col min="13322" max="13322" width="11.75" style="3055" customWidth="1"/>
    <col min="13323" max="13326" width="7.875" style="3055" customWidth="1"/>
    <col min="13327" max="13327" width="11.25" style="3055" customWidth="1"/>
    <col min="13328" max="13328" width="7.875" style="3055" customWidth="1"/>
    <col min="13329" max="13329" width="9.625" style="3055" customWidth="1"/>
    <col min="13330" max="13331" width="15.5" style="3055" customWidth="1"/>
    <col min="13332" max="13332" width="12.875" style="3055" customWidth="1"/>
    <col min="13333" max="13334" width="11.25" style="3055" customWidth="1"/>
    <col min="13335" max="13335" width="17.875" style="3055" customWidth="1"/>
    <col min="13336" max="13336" width="7.875" style="3055" customWidth="1"/>
    <col min="13337" max="13340" width="9" style="3055" customWidth="1"/>
    <col min="13341" max="13341" width="18.75" style="3055" customWidth="1"/>
    <col min="13342" max="13342" width="7.875" style="3055" customWidth="1"/>
    <col min="13343" max="13343" width="27.75" style="3055" customWidth="1"/>
    <col min="13344" max="13344" width="7.875" style="3055" customWidth="1"/>
    <col min="13345" max="13347" width="10.625" style="3055" customWidth="1"/>
    <col min="13348" max="13349" width="16" style="3055" customWidth="1"/>
    <col min="13350" max="13351" width="14.375" style="3055" customWidth="1"/>
    <col min="13352" max="13353" width="21.875" style="3055" customWidth="1"/>
    <col min="13354" max="13354" width="6.25" style="3055" customWidth="1"/>
    <col min="13355" max="13355" width="7.875" style="3055" customWidth="1"/>
    <col min="13356" max="13356" width="16.875" style="3055" customWidth="1"/>
    <col min="13357" max="13358" width="20.125" style="3055" customWidth="1"/>
    <col min="13359" max="13359" width="7.875" style="3055" customWidth="1"/>
    <col min="13360" max="13568" width="9" style="3055"/>
    <col min="13569" max="13569" width="34.375" style="3055" customWidth="1"/>
    <col min="13570" max="13570" width="6.25" style="3055" customWidth="1"/>
    <col min="13571" max="13571" width="7.875" style="3055" customWidth="1"/>
    <col min="13572" max="13572" width="19.5" style="3055" customWidth="1"/>
    <col min="13573" max="13573" width="4.625" style="3055" customWidth="1"/>
    <col min="13574" max="13574" width="34.375" style="3055" customWidth="1"/>
    <col min="13575" max="13575" width="9.25" style="3055" customWidth="1"/>
    <col min="13576" max="13577" width="13.875" style="3055" customWidth="1"/>
    <col min="13578" max="13578" width="11.75" style="3055" customWidth="1"/>
    <col min="13579" max="13582" width="7.875" style="3055" customWidth="1"/>
    <col min="13583" max="13583" width="11.25" style="3055" customWidth="1"/>
    <col min="13584" max="13584" width="7.875" style="3055" customWidth="1"/>
    <col min="13585" max="13585" width="9.625" style="3055" customWidth="1"/>
    <col min="13586" max="13587" width="15.5" style="3055" customWidth="1"/>
    <col min="13588" max="13588" width="12.875" style="3055" customWidth="1"/>
    <col min="13589" max="13590" width="11.25" style="3055" customWidth="1"/>
    <col min="13591" max="13591" width="17.875" style="3055" customWidth="1"/>
    <col min="13592" max="13592" width="7.875" style="3055" customWidth="1"/>
    <col min="13593" max="13596" width="9" style="3055" customWidth="1"/>
    <col min="13597" max="13597" width="18.75" style="3055" customWidth="1"/>
    <col min="13598" max="13598" width="7.875" style="3055" customWidth="1"/>
    <col min="13599" max="13599" width="27.75" style="3055" customWidth="1"/>
    <col min="13600" max="13600" width="7.875" style="3055" customWidth="1"/>
    <col min="13601" max="13603" width="10.625" style="3055" customWidth="1"/>
    <col min="13604" max="13605" width="16" style="3055" customWidth="1"/>
    <col min="13606" max="13607" width="14.375" style="3055" customWidth="1"/>
    <col min="13608" max="13609" width="21.875" style="3055" customWidth="1"/>
    <col min="13610" max="13610" width="6.25" style="3055" customWidth="1"/>
    <col min="13611" max="13611" width="7.875" style="3055" customWidth="1"/>
    <col min="13612" max="13612" width="16.875" style="3055" customWidth="1"/>
    <col min="13613" max="13614" width="20.125" style="3055" customWidth="1"/>
    <col min="13615" max="13615" width="7.875" style="3055" customWidth="1"/>
    <col min="13616" max="13824" width="9" style="3055"/>
    <col min="13825" max="13825" width="34.375" style="3055" customWidth="1"/>
    <col min="13826" max="13826" width="6.25" style="3055" customWidth="1"/>
    <col min="13827" max="13827" width="7.875" style="3055" customWidth="1"/>
    <col min="13828" max="13828" width="19.5" style="3055" customWidth="1"/>
    <col min="13829" max="13829" width="4.625" style="3055" customWidth="1"/>
    <col min="13830" max="13830" width="34.375" style="3055" customWidth="1"/>
    <col min="13831" max="13831" width="9.25" style="3055" customWidth="1"/>
    <col min="13832" max="13833" width="13.875" style="3055" customWidth="1"/>
    <col min="13834" max="13834" width="11.75" style="3055" customWidth="1"/>
    <col min="13835" max="13838" width="7.875" style="3055" customWidth="1"/>
    <col min="13839" max="13839" width="11.25" style="3055" customWidth="1"/>
    <col min="13840" max="13840" width="7.875" style="3055" customWidth="1"/>
    <col min="13841" max="13841" width="9.625" style="3055" customWidth="1"/>
    <col min="13842" max="13843" width="15.5" style="3055" customWidth="1"/>
    <col min="13844" max="13844" width="12.875" style="3055" customWidth="1"/>
    <col min="13845" max="13846" width="11.25" style="3055" customWidth="1"/>
    <col min="13847" max="13847" width="17.875" style="3055" customWidth="1"/>
    <col min="13848" max="13848" width="7.875" style="3055" customWidth="1"/>
    <col min="13849" max="13852" width="9" style="3055" customWidth="1"/>
    <col min="13853" max="13853" width="18.75" style="3055" customWidth="1"/>
    <col min="13854" max="13854" width="7.875" style="3055" customWidth="1"/>
    <col min="13855" max="13855" width="27.75" style="3055" customWidth="1"/>
    <col min="13856" max="13856" width="7.875" style="3055" customWidth="1"/>
    <col min="13857" max="13859" width="10.625" style="3055" customWidth="1"/>
    <col min="13860" max="13861" width="16" style="3055" customWidth="1"/>
    <col min="13862" max="13863" width="14.375" style="3055" customWidth="1"/>
    <col min="13864" max="13865" width="21.875" style="3055" customWidth="1"/>
    <col min="13866" max="13866" width="6.25" style="3055" customWidth="1"/>
    <col min="13867" max="13867" width="7.875" style="3055" customWidth="1"/>
    <col min="13868" max="13868" width="16.875" style="3055" customWidth="1"/>
    <col min="13869" max="13870" width="20.125" style="3055" customWidth="1"/>
    <col min="13871" max="13871" width="7.875" style="3055" customWidth="1"/>
    <col min="13872" max="14080" width="9" style="3055"/>
    <col min="14081" max="14081" width="34.375" style="3055" customWidth="1"/>
    <col min="14082" max="14082" width="6.25" style="3055" customWidth="1"/>
    <col min="14083" max="14083" width="7.875" style="3055" customWidth="1"/>
    <col min="14084" max="14084" width="19.5" style="3055" customWidth="1"/>
    <col min="14085" max="14085" width="4.625" style="3055" customWidth="1"/>
    <col min="14086" max="14086" width="34.375" style="3055" customWidth="1"/>
    <col min="14087" max="14087" width="9.25" style="3055" customWidth="1"/>
    <col min="14088" max="14089" width="13.875" style="3055" customWidth="1"/>
    <col min="14090" max="14090" width="11.75" style="3055" customWidth="1"/>
    <col min="14091" max="14094" width="7.875" style="3055" customWidth="1"/>
    <col min="14095" max="14095" width="11.25" style="3055" customWidth="1"/>
    <col min="14096" max="14096" width="7.875" style="3055" customWidth="1"/>
    <col min="14097" max="14097" width="9.625" style="3055" customWidth="1"/>
    <col min="14098" max="14099" width="15.5" style="3055" customWidth="1"/>
    <col min="14100" max="14100" width="12.875" style="3055" customWidth="1"/>
    <col min="14101" max="14102" width="11.25" style="3055" customWidth="1"/>
    <col min="14103" max="14103" width="17.875" style="3055" customWidth="1"/>
    <col min="14104" max="14104" width="7.875" style="3055" customWidth="1"/>
    <col min="14105" max="14108" width="9" style="3055" customWidth="1"/>
    <col min="14109" max="14109" width="18.75" style="3055" customWidth="1"/>
    <col min="14110" max="14110" width="7.875" style="3055" customWidth="1"/>
    <col min="14111" max="14111" width="27.75" style="3055" customWidth="1"/>
    <col min="14112" max="14112" width="7.875" style="3055" customWidth="1"/>
    <col min="14113" max="14115" width="10.625" style="3055" customWidth="1"/>
    <col min="14116" max="14117" width="16" style="3055" customWidth="1"/>
    <col min="14118" max="14119" width="14.375" style="3055" customWidth="1"/>
    <col min="14120" max="14121" width="21.875" style="3055" customWidth="1"/>
    <col min="14122" max="14122" width="6.25" style="3055" customWidth="1"/>
    <col min="14123" max="14123" width="7.875" style="3055" customWidth="1"/>
    <col min="14124" max="14124" width="16.875" style="3055" customWidth="1"/>
    <col min="14125" max="14126" width="20.125" style="3055" customWidth="1"/>
    <col min="14127" max="14127" width="7.875" style="3055" customWidth="1"/>
    <col min="14128" max="14336" width="9" style="3055"/>
    <col min="14337" max="14337" width="34.375" style="3055" customWidth="1"/>
    <col min="14338" max="14338" width="6.25" style="3055" customWidth="1"/>
    <col min="14339" max="14339" width="7.875" style="3055" customWidth="1"/>
    <col min="14340" max="14340" width="19.5" style="3055" customWidth="1"/>
    <col min="14341" max="14341" width="4.625" style="3055" customWidth="1"/>
    <col min="14342" max="14342" width="34.375" style="3055" customWidth="1"/>
    <col min="14343" max="14343" width="9.25" style="3055" customWidth="1"/>
    <col min="14344" max="14345" width="13.875" style="3055" customWidth="1"/>
    <col min="14346" max="14346" width="11.75" style="3055" customWidth="1"/>
    <col min="14347" max="14350" width="7.875" style="3055" customWidth="1"/>
    <col min="14351" max="14351" width="11.25" style="3055" customWidth="1"/>
    <col min="14352" max="14352" width="7.875" style="3055" customWidth="1"/>
    <col min="14353" max="14353" width="9.625" style="3055" customWidth="1"/>
    <col min="14354" max="14355" width="15.5" style="3055" customWidth="1"/>
    <col min="14356" max="14356" width="12.875" style="3055" customWidth="1"/>
    <col min="14357" max="14358" width="11.25" style="3055" customWidth="1"/>
    <col min="14359" max="14359" width="17.875" style="3055" customWidth="1"/>
    <col min="14360" max="14360" width="7.875" style="3055" customWidth="1"/>
    <col min="14361" max="14364" width="9" style="3055" customWidth="1"/>
    <col min="14365" max="14365" width="18.75" style="3055" customWidth="1"/>
    <col min="14366" max="14366" width="7.875" style="3055" customWidth="1"/>
    <col min="14367" max="14367" width="27.75" style="3055" customWidth="1"/>
    <col min="14368" max="14368" width="7.875" style="3055" customWidth="1"/>
    <col min="14369" max="14371" width="10.625" style="3055" customWidth="1"/>
    <col min="14372" max="14373" width="16" style="3055" customWidth="1"/>
    <col min="14374" max="14375" width="14.375" style="3055" customWidth="1"/>
    <col min="14376" max="14377" width="21.875" style="3055" customWidth="1"/>
    <col min="14378" max="14378" width="6.25" style="3055" customWidth="1"/>
    <col min="14379" max="14379" width="7.875" style="3055" customWidth="1"/>
    <col min="14380" max="14380" width="16.875" style="3055" customWidth="1"/>
    <col min="14381" max="14382" width="20.125" style="3055" customWidth="1"/>
    <col min="14383" max="14383" width="7.875" style="3055" customWidth="1"/>
    <col min="14384" max="14592" width="9" style="3055"/>
    <col min="14593" max="14593" width="34.375" style="3055" customWidth="1"/>
    <col min="14594" max="14594" width="6.25" style="3055" customWidth="1"/>
    <col min="14595" max="14595" width="7.875" style="3055" customWidth="1"/>
    <col min="14596" max="14596" width="19.5" style="3055" customWidth="1"/>
    <col min="14597" max="14597" width="4.625" style="3055" customWidth="1"/>
    <col min="14598" max="14598" width="34.375" style="3055" customWidth="1"/>
    <col min="14599" max="14599" width="9.25" style="3055" customWidth="1"/>
    <col min="14600" max="14601" width="13.875" style="3055" customWidth="1"/>
    <col min="14602" max="14602" width="11.75" style="3055" customWidth="1"/>
    <col min="14603" max="14606" width="7.875" style="3055" customWidth="1"/>
    <col min="14607" max="14607" width="11.25" style="3055" customWidth="1"/>
    <col min="14608" max="14608" width="7.875" style="3055" customWidth="1"/>
    <col min="14609" max="14609" width="9.625" style="3055" customWidth="1"/>
    <col min="14610" max="14611" width="15.5" style="3055" customWidth="1"/>
    <col min="14612" max="14612" width="12.875" style="3055" customWidth="1"/>
    <col min="14613" max="14614" width="11.25" style="3055" customWidth="1"/>
    <col min="14615" max="14615" width="17.875" style="3055" customWidth="1"/>
    <col min="14616" max="14616" width="7.875" style="3055" customWidth="1"/>
    <col min="14617" max="14620" width="9" style="3055" customWidth="1"/>
    <col min="14621" max="14621" width="18.75" style="3055" customWidth="1"/>
    <col min="14622" max="14622" width="7.875" style="3055" customWidth="1"/>
    <col min="14623" max="14623" width="27.75" style="3055" customWidth="1"/>
    <col min="14624" max="14624" width="7.875" style="3055" customWidth="1"/>
    <col min="14625" max="14627" width="10.625" style="3055" customWidth="1"/>
    <col min="14628" max="14629" width="16" style="3055" customWidth="1"/>
    <col min="14630" max="14631" width="14.375" style="3055" customWidth="1"/>
    <col min="14632" max="14633" width="21.875" style="3055" customWidth="1"/>
    <col min="14634" max="14634" width="6.25" style="3055" customWidth="1"/>
    <col min="14635" max="14635" width="7.875" style="3055" customWidth="1"/>
    <col min="14636" max="14636" width="16.875" style="3055" customWidth="1"/>
    <col min="14637" max="14638" width="20.125" style="3055" customWidth="1"/>
    <col min="14639" max="14639" width="7.875" style="3055" customWidth="1"/>
    <col min="14640" max="14848" width="9" style="3055"/>
    <col min="14849" max="14849" width="34.375" style="3055" customWidth="1"/>
    <col min="14850" max="14850" width="6.25" style="3055" customWidth="1"/>
    <col min="14851" max="14851" width="7.875" style="3055" customWidth="1"/>
    <col min="14852" max="14852" width="19.5" style="3055" customWidth="1"/>
    <col min="14853" max="14853" width="4.625" style="3055" customWidth="1"/>
    <col min="14854" max="14854" width="34.375" style="3055" customWidth="1"/>
    <col min="14855" max="14855" width="9.25" style="3055" customWidth="1"/>
    <col min="14856" max="14857" width="13.875" style="3055" customWidth="1"/>
    <col min="14858" max="14858" width="11.75" style="3055" customWidth="1"/>
    <col min="14859" max="14862" width="7.875" style="3055" customWidth="1"/>
    <col min="14863" max="14863" width="11.25" style="3055" customWidth="1"/>
    <col min="14864" max="14864" width="7.875" style="3055" customWidth="1"/>
    <col min="14865" max="14865" width="9.625" style="3055" customWidth="1"/>
    <col min="14866" max="14867" width="15.5" style="3055" customWidth="1"/>
    <col min="14868" max="14868" width="12.875" style="3055" customWidth="1"/>
    <col min="14869" max="14870" width="11.25" style="3055" customWidth="1"/>
    <col min="14871" max="14871" width="17.875" style="3055" customWidth="1"/>
    <col min="14872" max="14872" width="7.875" style="3055" customWidth="1"/>
    <col min="14873" max="14876" width="9" style="3055" customWidth="1"/>
    <col min="14877" max="14877" width="18.75" style="3055" customWidth="1"/>
    <col min="14878" max="14878" width="7.875" style="3055" customWidth="1"/>
    <col min="14879" max="14879" width="27.75" style="3055" customWidth="1"/>
    <col min="14880" max="14880" width="7.875" style="3055" customWidth="1"/>
    <col min="14881" max="14883" width="10.625" style="3055" customWidth="1"/>
    <col min="14884" max="14885" width="16" style="3055" customWidth="1"/>
    <col min="14886" max="14887" width="14.375" style="3055" customWidth="1"/>
    <col min="14888" max="14889" width="21.875" style="3055" customWidth="1"/>
    <col min="14890" max="14890" width="6.25" style="3055" customWidth="1"/>
    <col min="14891" max="14891" width="7.875" style="3055" customWidth="1"/>
    <col min="14892" max="14892" width="16.875" style="3055" customWidth="1"/>
    <col min="14893" max="14894" width="20.125" style="3055" customWidth="1"/>
    <col min="14895" max="14895" width="7.875" style="3055" customWidth="1"/>
    <col min="14896" max="15104" width="9" style="3055"/>
    <col min="15105" max="15105" width="34.375" style="3055" customWidth="1"/>
    <col min="15106" max="15106" width="6.25" style="3055" customWidth="1"/>
    <col min="15107" max="15107" width="7.875" style="3055" customWidth="1"/>
    <col min="15108" max="15108" width="19.5" style="3055" customWidth="1"/>
    <col min="15109" max="15109" width="4.625" style="3055" customWidth="1"/>
    <col min="15110" max="15110" width="34.375" style="3055" customWidth="1"/>
    <col min="15111" max="15111" width="9.25" style="3055" customWidth="1"/>
    <col min="15112" max="15113" width="13.875" style="3055" customWidth="1"/>
    <col min="15114" max="15114" width="11.75" style="3055" customWidth="1"/>
    <col min="15115" max="15118" width="7.875" style="3055" customWidth="1"/>
    <col min="15119" max="15119" width="11.25" style="3055" customWidth="1"/>
    <col min="15120" max="15120" width="7.875" style="3055" customWidth="1"/>
    <col min="15121" max="15121" width="9.625" style="3055" customWidth="1"/>
    <col min="15122" max="15123" width="15.5" style="3055" customWidth="1"/>
    <col min="15124" max="15124" width="12.875" style="3055" customWidth="1"/>
    <col min="15125" max="15126" width="11.25" style="3055" customWidth="1"/>
    <col min="15127" max="15127" width="17.875" style="3055" customWidth="1"/>
    <col min="15128" max="15128" width="7.875" style="3055" customWidth="1"/>
    <col min="15129" max="15132" width="9" style="3055" customWidth="1"/>
    <col min="15133" max="15133" width="18.75" style="3055" customWidth="1"/>
    <col min="15134" max="15134" width="7.875" style="3055" customWidth="1"/>
    <col min="15135" max="15135" width="27.75" style="3055" customWidth="1"/>
    <col min="15136" max="15136" width="7.875" style="3055" customWidth="1"/>
    <col min="15137" max="15139" width="10.625" style="3055" customWidth="1"/>
    <col min="15140" max="15141" width="16" style="3055" customWidth="1"/>
    <col min="15142" max="15143" width="14.375" style="3055" customWidth="1"/>
    <col min="15144" max="15145" width="21.875" style="3055" customWidth="1"/>
    <col min="15146" max="15146" width="6.25" style="3055" customWidth="1"/>
    <col min="15147" max="15147" width="7.875" style="3055" customWidth="1"/>
    <col min="15148" max="15148" width="16.875" style="3055" customWidth="1"/>
    <col min="15149" max="15150" width="20.125" style="3055" customWidth="1"/>
    <col min="15151" max="15151" width="7.875" style="3055" customWidth="1"/>
    <col min="15152" max="15360" width="9" style="3055"/>
    <col min="15361" max="15361" width="34.375" style="3055" customWidth="1"/>
    <col min="15362" max="15362" width="6.25" style="3055" customWidth="1"/>
    <col min="15363" max="15363" width="7.875" style="3055" customWidth="1"/>
    <col min="15364" max="15364" width="19.5" style="3055" customWidth="1"/>
    <col min="15365" max="15365" width="4.625" style="3055" customWidth="1"/>
    <col min="15366" max="15366" width="34.375" style="3055" customWidth="1"/>
    <col min="15367" max="15367" width="9.25" style="3055" customWidth="1"/>
    <col min="15368" max="15369" width="13.875" style="3055" customWidth="1"/>
    <col min="15370" max="15370" width="11.75" style="3055" customWidth="1"/>
    <col min="15371" max="15374" width="7.875" style="3055" customWidth="1"/>
    <col min="15375" max="15375" width="11.25" style="3055" customWidth="1"/>
    <col min="15376" max="15376" width="7.875" style="3055" customWidth="1"/>
    <col min="15377" max="15377" width="9.625" style="3055" customWidth="1"/>
    <col min="15378" max="15379" width="15.5" style="3055" customWidth="1"/>
    <col min="15380" max="15380" width="12.875" style="3055" customWidth="1"/>
    <col min="15381" max="15382" width="11.25" style="3055" customWidth="1"/>
    <col min="15383" max="15383" width="17.875" style="3055" customWidth="1"/>
    <col min="15384" max="15384" width="7.875" style="3055" customWidth="1"/>
    <col min="15385" max="15388" width="9" style="3055" customWidth="1"/>
    <col min="15389" max="15389" width="18.75" style="3055" customWidth="1"/>
    <col min="15390" max="15390" width="7.875" style="3055" customWidth="1"/>
    <col min="15391" max="15391" width="27.75" style="3055" customWidth="1"/>
    <col min="15392" max="15392" width="7.875" style="3055" customWidth="1"/>
    <col min="15393" max="15395" width="10.625" style="3055" customWidth="1"/>
    <col min="15396" max="15397" width="16" style="3055" customWidth="1"/>
    <col min="15398" max="15399" width="14.375" style="3055" customWidth="1"/>
    <col min="15400" max="15401" width="21.875" style="3055" customWidth="1"/>
    <col min="15402" max="15402" width="6.25" style="3055" customWidth="1"/>
    <col min="15403" max="15403" width="7.875" style="3055" customWidth="1"/>
    <col min="15404" max="15404" width="16.875" style="3055" customWidth="1"/>
    <col min="15405" max="15406" width="20.125" style="3055" customWidth="1"/>
    <col min="15407" max="15407" width="7.875" style="3055" customWidth="1"/>
    <col min="15408" max="15616" width="9" style="3055"/>
    <col min="15617" max="15617" width="34.375" style="3055" customWidth="1"/>
    <col min="15618" max="15618" width="6.25" style="3055" customWidth="1"/>
    <col min="15619" max="15619" width="7.875" style="3055" customWidth="1"/>
    <col min="15620" max="15620" width="19.5" style="3055" customWidth="1"/>
    <col min="15621" max="15621" width="4.625" style="3055" customWidth="1"/>
    <col min="15622" max="15622" width="34.375" style="3055" customWidth="1"/>
    <col min="15623" max="15623" width="9.25" style="3055" customWidth="1"/>
    <col min="15624" max="15625" width="13.875" style="3055" customWidth="1"/>
    <col min="15626" max="15626" width="11.75" style="3055" customWidth="1"/>
    <col min="15627" max="15630" width="7.875" style="3055" customWidth="1"/>
    <col min="15631" max="15631" width="11.25" style="3055" customWidth="1"/>
    <col min="15632" max="15632" width="7.875" style="3055" customWidth="1"/>
    <col min="15633" max="15633" width="9.625" style="3055" customWidth="1"/>
    <col min="15634" max="15635" width="15.5" style="3055" customWidth="1"/>
    <col min="15636" max="15636" width="12.875" style="3055" customWidth="1"/>
    <col min="15637" max="15638" width="11.25" style="3055" customWidth="1"/>
    <col min="15639" max="15639" width="17.875" style="3055" customWidth="1"/>
    <col min="15640" max="15640" width="7.875" style="3055" customWidth="1"/>
    <col min="15641" max="15644" width="9" style="3055" customWidth="1"/>
    <col min="15645" max="15645" width="18.75" style="3055" customWidth="1"/>
    <col min="15646" max="15646" width="7.875" style="3055" customWidth="1"/>
    <col min="15647" max="15647" width="27.75" style="3055" customWidth="1"/>
    <col min="15648" max="15648" width="7.875" style="3055" customWidth="1"/>
    <col min="15649" max="15651" width="10.625" style="3055" customWidth="1"/>
    <col min="15652" max="15653" width="16" style="3055" customWidth="1"/>
    <col min="15654" max="15655" width="14.375" style="3055" customWidth="1"/>
    <col min="15656" max="15657" width="21.875" style="3055" customWidth="1"/>
    <col min="15658" max="15658" width="6.25" style="3055" customWidth="1"/>
    <col min="15659" max="15659" width="7.875" style="3055" customWidth="1"/>
    <col min="15660" max="15660" width="16.875" style="3055" customWidth="1"/>
    <col min="15661" max="15662" width="20.125" style="3055" customWidth="1"/>
    <col min="15663" max="15663" width="7.875" style="3055" customWidth="1"/>
    <col min="15664" max="15872" width="9" style="3055"/>
    <col min="15873" max="15873" width="34.375" style="3055" customWidth="1"/>
    <col min="15874" max="15874" width="6.25" style="3055" customWidth="1"/>
    <col min="15875" max="15875" width="7.875" style="3055" customWidth="1"/>
    <col min="15876" max="15876" width="19.5" style="3055" customWidth="1"/>
    <col min="15877" max="15877" width="4.625" style="3055" customWidth="1"/>
    <col min="15878" max="15878" width="34.375" style="3055" customWidth="1"/>
    <col min="15879" max="15879" width="9.25" style="3055" customWidth="1"/>
    <col min="15880" max="15881" width="13.875" style="3055" customWidth="1"/>
    <col min="15882" max="15882" width="11.75" style="3055" customWidth="1"/>
    <col min="15883" max="15886" width="7.875" style="3055" customWidth="1"/>
    <col min="15887" max="15887" width="11.25" style="3055" customWidth="1"/>
    <col min="15888" max="15888" width="7.875" style="3055" customWidth="1"/>
    <col min="15889" max="15889" width="9.625" style="3055" customWidth="1"/>
    <col min="15890" max="15891" width="15.5" style="3055" customWidth="1"/>
    <col min="15892" max="15892" width="12.875" style="3055" customWidth="1"/>
    <col min="15893" max="15894" width="11.25" style="3055" customWidth="1"/>
    <col min="15895" max="15895" width="17.875" style="3055" customWidth="1"/>
    <col min="15896" max="15896" width="7.875" style="3055" customWidth="1"/>
    <col min="15897" max="15900" width="9" style="3055" customWidth="1"/>
    <col min="15901" max="15901" width="18.75" style="3055" customWidth="1"/>
    <col min="15902" max="15902" width="7.875" style="3055" customWidth="1"/>
    <col min="15903" max="15903" width="27.75" style="3055" customWidth="1"/>
    <col min="15904" max="15904" width="7.875" style="3055" customWidth="1"/>
    <col min="15905" max="15907" width="10.625" style="3055" customWidth="1"/>
    <col min="15908" max="15909" width="16" style="3055" customWidth="1"/>
    <col min="15910" max="15911" width="14.375" style="3055" customWidth="1"/>
    <col min="15912" max="15913" width="21.875" style="3055" customWidth="1"/>
    <col min="15914" max="15914" width="6.25" style="3055" customWidth="1"/>
    <col min="15915" max="15915" width="7.875" style="3055" customWidth="1"/>
    <col min="15916" max="15916" width="16.875" style="3055" customWidth="1"/>
    <col min="15917" max="15918" width="20.125" style="3055" customWidth="1"/>
    <col min="15919" max="15919" width="7.875" style="3055" customWidth="1"/>
    <col min="15920" max="16128" width="9" style="3055"/>
    <col min="16129" max="16129" width="34.375" style="3055" customWidth="1"/>
    <col min="16130" max="16130" width="6.25" style="3055" customWidth="1"/>
    <col min="16131" max="16131" width="7.875" style="3055" customWidth="1"/>
    <col min="16132" max="16132" width="19.5" style="3055" customWidth="1"/>
    <col min="16133" max="16133" width="4.625" style="3055" customWidth="1"/>
    <col min="16134" max="16134" width="34.375" style="3055" customWidth="1"/>
    <col min="16135" max="16135" width="9.25" style="3055" customWidth="1"/>
    <col min="16136" max="16137" width="13.875" style="3055" customWidth="1"/>
    <col min="16138" max="16138" width="11.75" style="3055" customWidth="1"/>
    <col min="16139" max="16142" width="7.875" style="3055" customWidth="1"/>
    <col min="16143" max="16143" width="11.25" style="3055" customWidth="1"/>
    <col min="16144" max="16144" width="7.875" style="3055" customWidth="1"/>
    <col min="16145" max="16145" width="9.625" style="3055" customWidth="1"/>
    <col min="16146" max="16147" width="15.5" style="3055" customWidth="1"/>
    <col min="16148" max="16148" width="12.875" style="3055" customWidth="1"/>
    <col min="16149" max="16150" width="11.25" style="3055" customWidth="1"/>
    <col min="16151" max="16151" width="17.875" style="3055" customWidth="1"/>
    <col min="16152" max="16152" width="7.875" style="3055" customWidth="1"/>
    <col min="16153" max="16156" width="9" style="3055" customWidth="1"/>
    <col min="16157" max="16157" width="18.75" style="3055" customWidth="1"/>
    <col min="16158" max="16158" width="7.875" style="3055" customWidth="1"/>
    <col min="16159" max="16159" width="27.75" style="3055" customWidth="1"/>
    <col min="16160" max="16160" width="7.875" style="3055" customWidth="1"/>
    <col min="16161" max="16163" width="10.625" style="3055" customWidth="1"/>
    <col min="16164" max="16165" width="16" style="3055" customWidth="1"/>
    <col min="16166" max="16167" width="14.375" style="3055" customWidth="1"/>
    <col min="16168" max="16169" width="21.875" style="3055" customWidth="1"/>
    <col min="16170" max="16170" width="6.25" style="3055" customWidth="1"/>
    <col min="16171" max="16171" width="7.875" style="3055" customWidth="1"/>
    <col min="16172" max="16172" width="16.875" style="3055" customWidth="1"/>
    <col min="16173" max="16174" width="20.125" style="3055" customWidth="1"/>
    <col min="16175" max="16175" width="7.875" style="3055" customWidth="1"/>
    <col min="16176" max="16384" width="9" style="3055"/>
  </cols>
  <sheetData>
    <row r="1" spans="1:48">
      <c r="A1" s="3055" t="s">
        <v>3065</v>
      </c>
      <c r="B1" s="3055" t="s">
        <v>3066</v>
      </c>
      <c r="C1" s="3055" t="s">
        <v>3067</v>
      </c>
      <c r="D1" s="3055" t="s">
        <v>3068</v>
      </c>
      <c r="E1" s="3055" t="s">
        <v>3069</v>
      </c>
      <c r="F1" s="3055" t="s">
        <v>3070</v>
      </c>
      <c r="G1" s="3055" t="s">
        <v>3071</v>
      </c>
      <c r="H1" s="3055" t="s">
        <v>3072</v>
      </c>
      <c r="I1" s="3055" t="s">
        <v>3073</v>
      </c>
      <c r="J1" s="3055" t="s">
        <v>3074</v>
      </c>
      <c r="K1" s="3055" t="s">
        <v>3075</v>
      </c>
      <c r="L1" s="3055" t="s">
        <v>3076</v>
      </c>
      <c r="M1" s="3055" t="s">
        <v>3077</v>
      </c>
      <c r="N1" s="3055" t="s">
        <v>3078</v>
      </c>
      <c r="O1" s="3055" t="s">
        <v>3079</v>
      </c>
      <c r="P1" s="3055" t="s">
        <v>3080</v>
      </c>
      <c r="Q1" s="3055" t="s">
        <v>3081</v>
      </c>
      <c r="R1" s="3055" t="s">
        <v>3082</v>
      </c>
      <c r="S1" s="3055" t="s">
        <v>3083</v>
      </c>
      <c r="T1" s="3055" t="s">
        <v>3084</v>
      </c>
      <c r="U1" s="3055" t="s">
        <v>3085</v>
      </c>
      <c r="V1" s="3055" t="s">
        <v>3086</v>
      </c>
      <c r="W1" s="3055" t="s">
        <v>3087</v>
      </c>
      <c r="X1" s="3055" t="s">
        <v>3088</v>
      </c>
      <c r="Y1" s="3055" t="s">
        <v>3089</v>
      </c>
      <c r="Z1" s="3055" t="s">
        <v>3090</v>
      </c>
      <c r="AA1" s="3055" t="s">
        <v>3091</v>
      </c>
      <c r="AB1" s="3055" t="s">
        <v>3092</v>
      </c>
      <c r="AC1" s="3055" t="s">
        <v>3093</v>
      </c>
      <c r="AD1" s="3055" t="s">
        <v>3094</v>
      </c>
      <c r="AE1" s="3055" t="s">
        <v>3095</v>
      </c>
      <c r="AF1" s="3055" t="s">
        <v>3096</v>
      </c>
      <c r="AG1" s="3055" t="s">
        <v>3097</v>
      </c>
      <c r="AH1" s="3055" t="s">
        <v>3098</v>
      </c>
      <c r="AI1" s="3055" t="s">
        <v>3099</v>
      </c>
      <c r="AJ1" s="3055" t="s">
        <v>3100</v>
      </c>
      <c r="AK1" s="3055" t="s">
        <v>3101</v>
      </c>
      <c r="AL1" s="3055" t="s">
        <v>3102</v>
      </c>
      <c r="AM1" s="3055" t="s">
        <v>3103</v>
      </c>
      <c r="AN1" s="3055" t="s">
        <v>3104</v>
      </c>
      <c r="AO1" s="3055" t="s">
        <v>3105</v>
      </c>
      <c r="AP1" s="3055" t="s">
        <v>3106</v>
      </c>
      <c r="AQ1" s="3055" t="s">
        <v>3107</v>
      </c>
      <c r="AR1" s="3055" t="s">
        <v>3108</v>
      </c>
      <c r="AS1" s="3055" t="s">
        <v>3109</v>
      </c>
      <c r="AT1" s="3055" t="s">
        <v>3110</v>
      </c>
      <c r="AU1" s="3055" t="s">
        <v>3111</v>
      </c>
      <c r="AV1" s="3055" t="s">
        <v>3306</v>
      </c>
    </row>
    <row r="2" spans="1:48" s="3056" customFormat="1">
      <c r="A2" s="3056" t="s">
        <v>3112</v>
      </c>
      <c r="B2" s="3056" t="s">
        <v>3113</v>
      </c>
      <c r="C2" s="3056" t="s">
        <v>3114</v>
      </c>
      <c r="D2" s="3056" t="s">
        <v>3115</v>
      </c>
      <c r="E2" s="3056" t="s">
        <v>1298</v>
      </c>
      <c r="F2" s="3056" t="s">
        <v>3112</v>
      </c>
      <c r="G2" s="3056" t="s">
        <v>3116</v>
      </c>
      <c r="H2" s="3056">
        <v>38676</v>
      </c>
      <c r="I2" s="3056">
        <v>30940.799999999999</v>
      </c>
      <c r="J2" s="3056" t="s">
        <v>3117</v>
      </c>
      <c r="K2" s="3056" t="s">
        <v>3118</v>
      </c>
      <c r="L2" s="3056" t="s">
        <v>3114</v>
      </c>
      <c r="M2" s="3056">
        <v>0</v>
      </c>
      <c r="N2" s="3056" t="s">
        <v>1298</v>
      </c>
      <c r="O2" s="3056" t="s">
        <v>3119</v>
      </c>
      <c r="P2" s="3056" t="s">
        <v>1298</v>
      </c>
      <c r="Q2" s="3056" t="s">
        <v>1298</v>
      </c>
      <c r="R2" s="3056" t="s">
        <v>1298</v>
      </c>
      <c r="S2" s="3056" t="s">
        <v>1298</v>
      </c>
      <c r="T2" s="3056" t="s">
        <v>1298</v>
      </c>
      <c r="U2" s="3056" t="s">
        <v>1298</v>
      </c>
      <c r="V2" s="3056" t="s">
        <v>1298</v>
      </c>
      <c r="W2" s="3056" t="s">
        <v>1298</v>
      </c>
      <c r="X2" s="3056" t="s">
        <v>3120</v>
      </c>
      <c r="Y2" s="3056" t="s">
        <v>3121</v>
      </c>
      <c r="Z2" s="3056" t="s">
        <v>3122</v>
      </c>
      <c r="AA2" s="3056" t="s">
        <v>3123</v>
      </c>
      <c r="AB2" s="3056" t="s">
        <v>3123</v>
      </c>
      <c r="AC2" s="3056" t="s">
        <v>3124</v>
      </c>
      <c r="AD2" s="3056" t="s">
        <v>3125</v>
      </c>
      <c r="AE2" s="3056" t="s">
        <v>3126</v>
      </c>
      <c r="AF2" s="3056" t="s">
        <v>1298</v>
      </c>
      <c r="AG2" s="3056">
        <v>849</v>
      </c>
      <c r="AH2" s="3056">
        <v>849</v>
      </c>
      <c r="AI2" s="3056">
        <v>849</v>
      </c>
      <c r="AJ2" s="3056">
        <v>14.63</v>
      </c>
      <c r="AK2" s="3056">
        <v>14.63</v>
      </c>
      <c r="AL2" s="3056">
        <v>274.39</v>
      </c>
      <c r="AM2" s="3056">
        <v>274.38</v>
      </c>
      <c r="AN2" s="3056" t="s">
        <v>1298</v>
      </c>
      <c r="AO2" s="3056" t="s">
        <v>1298</v>
      </c>
      <c r="AP2" s="3056">
        <v>0</v>
      </c>
      <c r="AQ2" s="3056" t="s">
        <v>3127</v>
      </c>
      <c r="AR2" s="3056" t="s">
        <v>1298</v>
      </c>
      <c r="AS2" s="3056" t="s">
        <v>1298</v>
      </c>
      <c r="AT2" s="3056" t="s">
        <v>1298</v>
      </c>
      <c r="AU2" s="3056" t="s">
        <v>3128</v>
      </c>
      <c r="AV2" s="3056">
        <f>ROUND(AI2/H2*10000,0)</f>
        <v>220</v>
      </c>
    </row>
    <row r="3" spans="1:48">
      <c r="A3" s="3055" t="s">
        <v>3129</v>
      </c>
      <c r="B3" s="3055" t="s">
        <v>3113</v>
      </c>
      <c r="C3" s="3055" t="s">
        <v>3114</v>
      </c>
      <c r="D3" s="3055" t="s">
        <v>3115</v>
      </c>
      <c r="E3" s="3055" t="s">
        <v>1298</v>
      </c>
      <c r="F3" s="3055" t="s">
        <v>3129</v>
      </c>
      <c r="G3" s="3055" t="s">
        <v>3130</v>
      </c>
      <c r="H3" s="3055">
        <v>22947</v>
      </c>
      <c r="I3" s="3055">
        <v>18357.599999999999</v>
      </c>
      <c r="J3" s="3055" t="s">
        <v>3117</v>
      </c>
      <c r="K3" s="3055" t="s">
        <v>3118</v>
      </c>
      <c r="L3" s="3055" t="s">
        <v>3114</v>
      </c>
      <c r="M3" s="3055">
        <v>0</v>
      </c>
      <c r="N3" s="3055" t="s">
        <v>1298</v>
      </c>
      <c r="O3" s="3055" t="s">
        <v>3119</v>
      </c>
      <c r="P3" s="3055" t="s">
        <v>1298</v>
      </c>
      <c r="Q3" s="3055" t="s">
        <v>1298</v>
      </c>
      <c r="R3" s="3055" t="s">
        <v>1298</v>
      </c>
      <c r="S3" s="3055" t="s">
        <v>1298</v>
      </c>
      <c r="T3" s="3055" t="s">
        <v>1298</v>
      </c>
      <c r="U3" s="3055" t="s">
        <v>1298</v>
      </c>
      <c r="V3" s="3055" t="s">
        <v>1298</v>
      </c>
      <c r="W3" s="3055" t="s">
        <v>1298</v>
      </c>
      <c r="X3" s="3055" t="s">
        <v>3120</v>
      </c>
      <c r="Y3" s="3055" t="s">
        <v>3121</v>
      </c>
      <c r="Z3" s="3055" t="s">
        <v>3122</v>
      </c>
      <c r="AA3" s="3055" t="s">
        <v>3123</v>
      </c>
      <c r="AB3" s="3055" t="s">
        <v>3123</v>
      </c>
      <c r="AC3" s="3055" t="s">
        <v>3124</v>
      </c>
      <c r="AD3" s="3055" t="s">
        <v>3125</v>
      </c>
      <c r="AE3" s="3055" t="s">
        <v>3131</v>
      </c>
      <c r="AF3" s="3055" t="s">
        <v>1298</v>
      </c>
      <c r="AG3" s="3055">
        <v>260</v>
      </c>
      <c r="AH3" s="3055">
        <v>510</v>
      </c>
      <c r="AI3" s="3055">
        <v>510</v>
      </c>
      <c r="AJ3" s="3055">
        <v>14.82</v>
      </c>
      <c r="AK3" s="3055">
        <v>14.82</v>
      </c>
      <c r="AL3" s="3055">
        <v>277.81</v>
      </c>
      <c r="AM3" s="3055">
        <v>277.81</v>
      </c>
      <c r="AN3" s="3055" t="s">
        <v>1298</v>
      </c>
      <c r="AO3" s="3055" t="s">
        <v>1298</v>
      </c>
      <c r="AP3" s="3055">
        <v>0</v>
      </c>
      <c r="AQ3" s="3055" t="s">
        <v>3127</v>
      </c>
      <c r="AR3" s="3055" t="s">
        <v>1298</v>
      </c>
      <c r="AS3" s="3055" t="s">
        <v>1298</v>
      </c>
      <c r="AT3" s="3055" t="s">
        <v>1298</v>
      </c>
      <c r="AU3" s="3055" t="s">
        <v>3128</v>
      </c>
      <c r="AV3" s="3055">
        <f t="shared" ref="AV3:AV51" si="0">ROUND(AI3/H3*10000,0)</f>
        <v>222</v>
      </c>
    </row>
    <row r="4" spans="1:48" s="3056" customFormat="1">
      <c r="A4" s="3056" t="s">
        <v>3132</v>
      </c>
      <c r="B4" s="3056" t="s">
        <v>3113</v>
      </c>
      <c r="C4" s="3056" t="s">
        <v>3114</v>
      </c>
      <c r="D4" s="3056" t="s">
        <v>3115</v>
      </c>
      <c r="E4" s="3056" t="s">
        <v>1298</v>
      </c>
      <c r="F4" s="3056" t="s">
        <v>3132</v>
      </c>
      <c r="G4" s="3056" t="s">
        <v>3133</v>
      </c>
      <c r="H4" s="3056">
        <v>7111</v>
      </c>
      <c r="I4" s="3056">
        <v>5688.8</v>
      </c>
      <c r="J4" s="3056" t="s">
        <v>3134</v>
      </c>
      <c r="K4" s="3056" t="s">
        <v>3118</v>
      </c>
      <c r="L4" s="3056" t="s">
        <v>3114</v>
      </c>
      <c r="M4" s="3056">
        <v>0</v>
      </c>
      <c r="N4" s="3056" t="s">
        <v>1298</v>
      </c>
      <c r="O4" s="3056" t="s">
        <v>3135</v>
      </c>
      <c r="P4" s="3056" t="s">
        <v>1298</v>
      </c>
      <c r="Q4" s="3056" t="s">
        <v>1298</v>
      </c>
      <c r="R4" s="3056" t="s">
        <v>1298</v>
      </c>
      <c r="S4" s="3056" t="s">
        <v>1298</v>
      </c>
      <c r="T4" s="3056" t="s">
        <v>1298</v>
      </c>
      <c r="U4" s="3056" t="s">
        <v>1298</v>
      </c>
      <c r="V4" s="3056" t="s">
        <v>1298</v>
      </c>
      <c r="W4" s="3056" t="s">
        <v>1298</v>
      </c>
      <c r="X4" s="3056" t="s">
        <v>3120</v>
      </c>
      <c r="Y4" s="3056" t="s">
        <v>3121</v>
      </c>
      <c r="Z4" s="3056" t="s">
        <v>3122</v>
      </c>
      <c r="AA4" s="3056" t="s">
        <v>3123</v>
      </c>
      <c r="AB4" s="3056" t="s">
        <v>3123</v>
      </c>
      <c r="AC4" s="3056" t="s">
        <v>3124</v>
      </c>
      <c r="AD4" s="3056" t="s">
        <v>3125</v>
      </c>
      <c r="AE4" s="3056" t="s">
        <v>3136</v>
      </c>
      <c r="AF4" s="3056" t="s">
        <v>1298</v>
      </c>
      <c r="AG4" s="3056">
        <v>157</v>
      </c>
      <c r="AH4" s="3056">
        <v>157</v>
      </c>
      <c r="AI4" s="3056">
        <v>157</v>
      </c>
      <c r="AJ4" s="3056">
        <v>14.72</v>
      </c>
      <c r="AK4" s="3056">
        <v>14.72</v>
      </c>
      <c r="AL4" s="3056">
        <v>275.98</v>
      </c>
      <c r="AM4" s="3056">
        <v>275.98</v>
      </c>
      <c r="AN4" s="3056" t="s">
        <v>1298</v>
      </c>
      <c r="AO4" s="3056" t="s">
        <v>1298</v>
      </c>
      <c r="AP4" s="3056">
        <v>0</v>
      </c>
      <c r="AQ4" s="3056" t="s">
        <v>3127</v>
      </c>
      <c r="AR4" s="3056" t="s">
        <v>1298</v>
      </c>
      <c r="AS4" s="3056" t="s">
        <v>1298</v>
      </c>
      <c r="AT4" s="3056" t="s">
        <v>1298</v>
      </c>
      <c r="AU4" s="3056" t="s">
        <v>3128</v>
      </c>
      <c r="AV4" s="3056">
        <f t="shared" si="0"/>
        <v>221</v>
      </c>
    </row>
    <row r="5" spans="1:48" s="3056" customFormat="1">
      <c r="A5" s="3056" t="s">
        <v>3137</v>
      </c>
      <c r="B5" s="3056" t="s">
        <v>3113</v>
      </c>
      <c r="C5" s="3056" t="s">
        <v>3114</v>
      </c>
      <c r="D5" s="3056" t="s">
        <v>3115</v>
      </c>
      <c r="E5" s="3056" t="s">
        <v>1298</v>
      </c>
      <c r="F5" s="3056" t="s">
        <v>3137</v>
      </c>
      <c r="G5" s="3056" t="s">
        <v>3138</v>
      </c>
      <c r="H5" s="3056">
        <v>24367</v>
      </c>
      <c r="I5" s="3056">
        <v>19493.599999999999</v>
      </c>
      <c r="J5" s="3056" t="s">
        <v>3117</v>
      </c>
      <c r="K5" s="3056" t="s">
        <v>3118</v>
      </c>
      <c r="L5" s="3056" t="s">
        <v>3114</v>
      </c>
      <c r="M5" s="3056">
        <v>0</v>
      </c>
      <c r="N5" s="3056" t="s">
        <v>1298</v>
      </c>
      <c r="O5" s="3056" t="s">
        <v>3119</v>
      </c>
      <c r="P5" s="3056" t="s">
        <v>1298</v>
      </c>
      <c r="Q5" s="3056" t="s">
        <v>1298</v>
      </c>
      <c r="R5" s="3056" t="s">
        <v>1298</v>
      </c>
      <c r="S5" s="3056" t="s">
        <v>1298</v>
      </c>
      <c r="T5" s="3056" t="s">
        <v>1298</v>
      </c>
      <c r="U5" s="3056" t="s">
        <v>1298</v>
      </c>
      <c r="V5" s="3056" t="s">
        <v>1298</v>
      </c>
      <c r="W5" s="3056" t="s">
        <v>1298</v>
      </c>
      <c r="X5" s="3056" t="s">
        <v>3120</v>
      </c>
      <c r="Y5" s="3056" t="s">
        <v>3121</v>
      </c>
      <c r="Z5" s="3056" t="s">
        <v>3122</v>
      </c>
      <c r="AA5" s="3056" t="s">
        <v>3123</v>
      </c>
      <c r="AB5" s="3056" t="s">
        <v>3123</v>
      </c>
      <c r="AC5" s="3056" t="s">
        <v>3124</v>
      </c>
      <c r="AD5" s="3056" t="s">
        <v>3125</v>
      </c>
      <c r="AE5" s="3056" t="s">
        <v>3139</v>
      </c>
      <c r="AF5" s="3056" t="s">
        <v>1298</v>
      </c>
      <c r="AG5" s="3056">
        <v>536</v>
      </c>
      <c r="AH5" s="3056">
        <v>536</v>
      </c>
      <c r="AI5" s="3056">
        <v>536</v>
      </c>
      <c r="AJ5" s="3056">
        <v>14.66</v>
      </c>
      <c r="AK5" s="3056">
        <v>14.66</v>
      </c>
      <c r="AL5" s="3056">
        <v>274.95999999999998</v>
      </c>
      <c r="AM5" s="3056">
        <v>274.95</v>
      </c>
      <c r="AN5" s="3056" t="s">
        <v>1298</v>
      </c>
      <c r="AO5" s="3056" t="s">
        <v>1298</v>
      </c>
      <c r="AP5" s="3056">
        <v>0</v>
      </c>
      <c r="AQ5" s="3056" t="s">
        <v>3127</v>
      </c>
      <c r="AR5" s="3056" t="s">
        <v>1298</v>
      </c>
      <c r="AS5" s="3056" t="s">
        <v>1298</v>
      </c>
      <c r="AT5" s="3056" t="s">
        <v>1298</v>
      </c>
      <c r="AU5" s="3056" t="s">
        <v>3128</v>
      </c>
      <c r="AV5" s="3056">
        <f t="shared" si="0"/>
        <v>220</v>
      </c>
    </row>
    <row r="6" spans="1:48">
      <c r="A6" s="3055" t="s">
        <v>3132</v>
      </c>
      <c r="B6" s="3055" t="s">
        <v>3113</v>
      </c>
      <c r="C6" s="3055" t="s">
        <v>3114</v>
      </c>
      <c r="D6" s="3055" t="s">
        <v>3115</v>
      </c>
      <c r="E6" s="3055" t="s">
        <v>1298</v>
      </c>
      <c r="F6" s="3055" t="s">
        <v>3132</v>
      </c>
      <c r="G6" s="3055" t="s">
        <v>3140</v>
      </c>
      <c r="H6" s="3055">
        <v>3905</v>
      </c>
      <c r="I6" s="3055">
        <v>3124</v>
      </c>
      <c r="J6" s="3055" t="s">
        <v>3134</v>
      </c>
      <c r="K6" s="3055" t="s">
        <v>3118</v>
      </c>
      <c r="L6" s="3055" t="s">
        <v>3114</v>
      </c>
      <c r="M6" s="3055">
        <v>0</v>
      </c>
      <c r="N6" s="3055" t="s">
        <v>1298</v>
      </c>
      <c r="O6" s="3055" t="s">
        <v>3135</v>
      </c>
      <c r="P6" s="3055" t="s">
        <v>1298</v>
      </c>
      <c r="Q6" s="3055" t="s">
        <v>1298</v>
      </c>
      <c r="R6" s="3055" t="s">
        <v>1298</v>
      </c>
      <c r="S6" s="3055" t="s">
        <v>1298</v>
      </c>
      <c r="T6" s="3055" t="s">
        <v>1298</v>
      </c>
      <c r="U6" s="3055" t="s">
        <v>1298</v>
      </c>
      <c r="V6" s="3055" t="s">
        <v>1298</v>
      </c>
      <c r="W6" s="3055" t="s">
        <v>1298</v>
      </c>
      <c r="X6" s="3055" t="s">
        <v>3120</v>
      </c>
      <c r="Y6" s="3055" t="s">
        <v>3121</v>
      </c>
      <c r="Z6" s="3055" t="s">
        <v>3122</v>
      </c>
      <c r="AA6" s="3055" t="s">
        <v>3123</v>
      </c>
      <c r="AB6" s="3055" t="s">
        <v>3123</v>
      </c>
      <c r="AC6" s="3055" t="s">
        <v>3124</v>
      </c>
      <c r="AD6" s="3055" t="s">
        <v>3125</v>
      </c>
      <c r="AE6" s="3055" t="s">
        <v>3136</v>
      </c>
      <c r="AF6" s="3055" t="s">
        <v>1298</v>
      </c>
      <c r="AG6" s="3055">
        <v>87</v>
      </c>
      <c r="AH6" s="3055">
        <v>87</v>
      </c>
      <c r="AI6" s="3055">
        <v>87</v>
      </c>
      <c r="AJ6" s="3055">
        <v>14.85</v>
      </c>
      <c r="AK6" s="3055">
        <v>14.85</v>
      </c>
      <c r="AL6" s="3055">
        <v>278.48</v>
      </c>
      <c r="AM6" s="3055">
        <v>278.49</v>
      </c>
      <c r="AN6" s="3055" t="s">
        <v>1298</v>
      </c>
      <c r="AO6" s="3055" t="s">
        <v>1298</v>
      </c>
      <c r="AP6" s="3055">
        <v>0</v>
      </c>
      <c r="AQ6" s="3055" t="s">
        <v>3127</v>
      </c>
      <c r="AR6" s="3055" t="s">
        <v>1298</v>
      </c>
      <c r="AS6" s="3055" t="s">
        <v>1298</v>
      </c>
      <c r="AT6" s="3055" t="s">
        <v>1298</v>
      </c>
      <c r="AU6" s="3055" t="s">
        <v>3128</v>
      </c>
      <c r="AV6" s="3055">
        <f t="shared" si="0"/>
        <v>223</v>
      </c>
    </row>
    <row r="7" spans="1:48">
      <c r="A7" s="3055" t="s">
        <v>3141</v>
      </c>
      <c r="B7" s="3055" t="s">
        <v>3113</v>
      </c>
      <c r="C7" s="3055" t="s">
        <v>3114</v>
      </c>
      <c r="D7" s="3055" t="s">
        <v>3115</v>
      </c>
      <c r="E7" s="3055" t="s">
        <v>1298</v>
      </c>
      <c r="F7" s="3055" t="s">
        <v>3141</v>
      </c>
      <c r="G7" s="3055" t="s">
        <v>3142</v>
      </c>
      <c r="H7" s="3055">
        <v>39901</v>
      </c>
      <c r="I7" s="3055">
        <v>31920.799999999999</v>
      </c>
      <c r="J7" s="3055" t="s">
        <v>3117</v>
      </c>
      <c r="K7" s="3055" t="s">
        <v>3118</v>
      </c>
      <c r="L7" s="3055" t="s">
        <v>3114</v>
      </c>
      <c r="M7" s="3055">
        <v>0</v>
      </c>
      <c r="N7" s="3055" t="s">
        <v>1298</v>
      </c>
      <c r="O7" s="3055" t="s">
        <v>3119</v>
      </c>
      <c r="P7" s="3055" t="s">
        <v>1298</v>
      </c>
      <c r="Q7" s="3055" t="s">
        <v>1298</v>
      </c>
      <c r="R7" s="3055" t="s">
        <v>1298</v>
      </c>
      <c r="S7" s="3055" t="s">
        <v>1298</v>
      </c>
      <c r="T7" s="3055" t="s">
        <v>1298</v>
      </c>
      <c r="U7" s="3055" t="s">
        <v>1298</v>
      </c>
      <c r="V7" s="3055" t="s">
        <v>1298</v>
      </c>
      <c r="W7" s="3055" t="s">
        <v>1298</v>
      </c>
      <c r="X7" s="3055" t="s">
        <v>3120</v>
      </c>
      <c r="Y7" s="3055" t="s">
        <v>3121</v>
      </c>
      <c r="Z7" s="3055" t="s">
        <v>3122</v>
      </c>
      <c r="AA7" s="3055" t="s">
        <v>3123</v>
      </c>
      <c r="AB7" s="3055" t="s">
        <v>3123</v>
      </c>
      <c r="AC7" s="3055" t="s">
        <v>3124</v>
      </c>
      <c r="AD7" s="3055" t="s">
        <v>3125</v>
      </c>
      <c r="AE7" s="3055" t="s">
        <v>3143</v>
      </c>
      <c r="AF7" s="3055" t="s">
        <v>1298</v>
      </c>
      <c r="AG7" s="3055">
        <v>445</v>
      </c>
      <c r="AH7" s="3055">
        <v>886</v>
      </c>
      <c r="AI7" s="3055">
        <v>886</v>
      </c>
      <c r="AJ7" s="3055">
        <v>14.8</v>
      </c>
      <c r="AK7" s="3055">
        <v>14.8</v>
      </c>
      <c r="AL7" s="3055">
        <v>277.56</v>
      </c>
      <c r="AM7" s="3055">
        <v>277.56</v>
      </c>
      <c r="AN7" s="3055" t="s">
        <v>1298</v>
      </c>
      <c r="AO7" s="3055" t="s">
        <v>1298</v>
      </c>
      <c r="AP7" s="3055">
        <v>0</v>
      </c>
      <c r="AQ7" s="3055" t="s">
        <v>3127</v>
      </c>
      <c r="AR7" s="3055" t="s">
        <v>1298</v>
      </c>
      <c r="AS7" s="3055" t="s">
        <v>1298</v>
      </c>
      <c r="AT7" s="3055" t="s">
        <v>1298</v>
      </c>
      <c r="AU7" s="3055" t="s">
        <v>3128</v>
      </c>
      <c r="AV7" s="3055">
        <f t="shared" si="0"/>
        <v>222</v>
      </c>
    </row>
    <row r="8" spans="1:48">
      <c r="A8" s="3055" t="s">
        <v>3129</v>
      </c>
      <c r="B8" s="3055" t="s">
        <v>3113</v>
      </c>
      <c r="C8" s="3055" t="s">
        <v>3114</v>
      </c>
      <c r="D8" s="3055" t="s">
        <v>3115</v>
      </c>
      <c r="E8" s="3055" t="s">
        <v>1298</v>
      </c>
      <c r="F8" s="3055" t="s">
        <v>3129</v>
      </c>
      <c r="G8" s="3055" t="s">
        <v>3144</v>
      </c>
      <c r="H8" s="3055">
        <v>38675</v>
      </c>
      <c r="I8" s="3055">
        <v>30940</v>
      </c>
      <c r="J8" s="3055" t="s">
        <v>3117</v>
      </c>
      <c r="K8" s="3055" t="s">
        <v>3118</v>
      </c>
      <c r="L8" s="3055" t="s">
        <v>3114</v>
      </c>
      <c r="M8" s="3055">
        <v>0</v>
      </c>
      <c r="N8" s="3055" t="s">
        <v>1298</v>
      </c>
      <c r="O8" s="3055" t="s">
        <v>3119</v>
      </c>
      <c r="P8" s="3055" t="s">
        <v>1298</v>
      </c>
      <c r="Q8" s="3055" t="s">
        <v>1298</v>
      </c>
      <c r="R8" s="3055" t="s">
        <v>1298</v>
      </c>
      <c r="S8" s="3055" t="s">
        <v>1298</v>
      </c>
      <c r="T8" s="3055" t="s">
        <v>1298</v>
      </c>
      <c r="U8" s="3055" t="s">
        <v>1298</v>
      </c>
      <c r="V8" s="3055" t="s">
        <v>1298</v>
      </c>
      <c r="W8" s="3055" t="s">
        <v>1298</v>
      </c>
      <c r="X8" s="3055" t="s">
        <v>3120</v>
      </c>
      <c r="Y8" s="3055" t="s">
        <v>3121</v>
      </c>
      <c r="Z8" s="3055" t="s">
        <v>3122</v>
      </c>
      <c r="AA8" s="3055" t="s">
        <v>3123</v>
      </c>
      <c r="AB8" s="3055" t="s">
        <v>3123</v>
      </c>
      <c r="AC8" s="3055" t="s">
        <v>3124</v>
      </c>
      <c r="AD8" s="3055" t="s">
        <v>3125</v>
      </c>
      <c r="AE8" s="3055" t="s">
        <v>3145</v>
      </c>
      <c r="AF8" s="3055" t="s">
        <v>1298</v>
      </c>
      <c r="AG8" s="3055">
        <v>430</v>
      </c>
      <c r="AH8" s="3055">
        <v>859</v>
      </c>
      <c r="AI8" s="3055">
        <v>859</v>
      </c>
      <c r="AJ8" s="3055">
        <v>14.81</v>
      </c>
      <c r="AK8" s="3055">
        <v>14.81</v>
      </c>
      <c r="AL8" s="3055">
        <v>277.63</v>
      </c>
      <c r="AM8" s="3055">
        <v>277.62</v>
      </c>
      <c r="AN8" s="3055" t="s">
        <v>1298</v>
      </c>
      <c r="AO8" s="3055" t="s">
        <v>1298</v>
      </c>
      <c r="AP8" s="3055">
        <v>0</v>
      </c>
      <c r="AQ8" s="3055" t="s">
        <v>3127</v>
      </c>
      <c r="AR8" s="3055" t="s">
        <v>1298</v>
      </c>
      <c r="AS8" s="3055" t="s">
        <v>1298</v>
      </c>
      <c r="AT8" s="3055" t="s">
        <v>1298</v>
      </c>
      <c r="AU8" s="3055" t="s">
        <v>3128</v>
      </c>
      <c r="AV8" s="3055">
        <f t="shared" si="0"/>
        <v>222</v>
      </c>
    </row>
    <row r="9" spans="1:48">
      <c r="A9" s="3055" t="s">
        <v>3146</v>
      </c>
      <c r="B9" s="3055" t="s">
        <v>3113</v>
      </c>
      <c r="C9" s="3055" t="s">
        <v>3114</v>
      </c>
      <c r="D9" s="3055" t="s">
        <v>3115</v>
      </c>
      <c r="E9" s="3055" t="s">
        <v>1298</v>
      </c>
      <c r="F9" s="3055" t="s">
        <v>3146</v>
      </c>
      <c r="G9" s="3055" t="s">
        <v>3147</v>
      </c>
      <c r="H9" s="3055">
        <v>33337</v>
      </c>
      <c r="I9" s="3055">
        <v>26669.599999999999</v>
      </c>
      <c r="J9" s="3055" t="s">
        <v>3117</v>
      </c>
      <c r="K9" s="3055" t="s">
        <v>3118</v>
      </c>
      <c r="L9" s="3055" t="s">
        <v>3114</v>
      </c>
      <c r="M9" s="3055">
        <v>0</v>
      </c>
      <c r="N9" s="3055" t="s">
        <v>1298</v>
      </c>
      <c r="O9" s="3055" t="s">
        <v>3119</v>
      </c>
      <c r="P9" s="3055" t="s">
        <v>1298</v>
      </c>
      <c r="Q9" s="3055" t="s">
        <v>1298</v>
      </c>
      <c r="R9" s="3055" t="s">
        <v>1298</v>
      </c>
      <c r="S9" s="3055" t="s">
        <v>1298</v>
      </c>
      <c r="T9" s="3055" t="s">
        <v>1298</v>
      </c>
      <c r="U9" s="3055" t="s">
        <v>1298</v>
      </c>
      <c r="V9" s="3055" t="s">
        <v>1298</v>
      </c>
      <c r="W9" s="3055" t="s">
        <v>1298</v>
      </c>
      <c r="X9" s="3055" t="s">
        <v>3120</v>
      </c>
      <c r="Y9" s="3055" t="s">
        <v>3121</v>
      </c>
      <c r="Z9" s="3055" t="s">
        <v>3122</v>
      </c>
      <c r="AA9" s="3055" t="s">
        <v>3123</v>
      </c>
      <c r="AB9" s="3055" t="s">
        <v>3123</v>
      </c>
      <c r="AC9" s="3055" t="s">
        <v>3124</v>
      </c>
      <c r="AD9" s="3055" t="s">
        <v>3125</v>
      </c>
      <c r="AE9" s="3055" t="s">
        <v>3148</v>
      </c>
      <c r="AF9" s="3055" t="s">
        <v>1298</v>
      </c>
      <c r="AG9" s="3055">
        <v>732</v>
      </c>
      <c r="AH9" s="3055">
        <v>732</v>
      </c>
      <c r="AI9" s="3055">
        <v>732</v>
      </c>
      <c r="AJ9" s="3055">
        <v>14.64</v>
      </c>
      <c r="AK9" s="3055">
        <v>14.64</v>
      </c>
      <c r="AL9" s="3055">
        <v>274.45999999999998</v>
      </c>
      <c r="AM9" s="3055">
        <v>274.47000000000003</v>
      </c>
      <c r="AN9" s="3055" t="s">
        <v>1298</v>
      </c>
      <c r="AO9" s="3055" t="s">
        <v>1298</v>
      </c>
      <c r="AP9" s="3055">
        <v>0</v>
      </c>
      <c r="AQ9" s="3055" t="s">
        <v>3127</v>
      </c>
      <c r="AR9" s="3055" t="s">
        <v>1298</v>
      </c>
      <c r="AS9" s="3055" t="s">
        <v>1298</v>
      </c>
      <c r="AT9" s="3055" t="s">
        <v>1298</v>
      </c>
      <c r="AU9" s="3055" t="s">
        <v>3128</v>
      </c>
      <c r="AV9" s="3055">
        <f t="shared" si="0"/>
        <v>220</v>
      </c>
    </row>
    <row r="10" spans="1:48">
      <c r="A10" s="3055" t="s">
        <v>3149</v>
      </c>
      <c r="B10" s="3055" t="s">
        <v>3113</v>
      </c>
      <c r="C10" s="3055" t="s">
        <v>3114</v>
      </c>
      <c r="D10" s="3055" t="s">
        <v>3115</v>
      </c>
      <c r="E10" s="3055" t="s">
        <v>1298</v>
      </c>
      <c r="F10" s="3055" t="s">
        <v>3149</v>
      </c>
      <c r="G10" s="3055" t="s">
        <v>3150</v>
      </c>
      <c r="H10" s="3055">
        <v>4821.7</v>
      </c>
      <c r="I10" s="3055">
        <v>4821.7</v>
      </c>
      <c r="J10" s="3055" t="s">
        <v>3151</v>
      </c>
      <c r="K10" s="3055" t="s">
        <v>3118</v>
      </c>
      <c r="L10" s="3055" t="s">
        <v>3114</v>
      </c>
      <c r="M10" s="3055">
        <v>0</v>
      </c>
      <c r="N10" s="3055" t="s">
        <v>1298</v>
      </c>
      <c r="O10" s="3055" t="s">
        <v>3152</v>
      </c>
      <c r="P10" s="3055" t="s">
        <v>1298</v>
      </c>
      <c r="Q10" s="3055" t="s">
        <v>1298</v>
      </c>
      <c r="R10" s="3055" t="s">
        <v>1298</v>
      </c>
      <c r="S10" s="3055" t="s">
        <v>1298</v>
      </c>
      <c r="T10" s="3055" t="s">
        <v>1298</v>
      </c>
      <c r="U10" s="3055" t="s">
        <v>1298</v>
      </c>
      <c r="V10" s="3055" t="s">
        <v>1298</v>
      </c>
      <c r="W10" s="3055" t="s">
        <v>1298</v>
      </c>
      <c r="X10" s="3055" t="s">
        <v>3120</v>
      </c>
      <c r="Y10" s="3055" t="s">
        <v>3121</v>
      </c>
      <c r="Z10" s="3055" t="s">
        <v>3122</v>
      </c>
      <c r="AA10" s="3055" t="s">
        <v>3123</v>
      </c>
      <c r="AB10" s="3055" t="s">
        <v>3123</v>
      </c>
      <c r="AC10" s="3055" t="s">
        <v>3124</v>
      </c>
      <c r="AD10" s="3055" t="s">
        <v>3125</v>
      </c>
      <c r="AE10" s="3055" t="s">
        <v>3153</v>
      </c>
      <c r="AF10" s="3055" t="s">
        <v>1298</v>
      </c>
      <c r="AG10" s="3055">
        <v>105</v>
      </c>
      <c r="AH10" s="3055">
        <v>105</v>
      </c>
      <c r="AI10" s="3055">
        <v>105</v>
      </c>
      <c r="AJ10" s="3055">
        <v>14.52</v>
      </c>
      <c r="AK10" s="3055">
        <v>14.52</v>
      </c>
      <c r="AL10" s="3055">
        <v>217.76</v>
      </c>
      <c r="AM10" s="3055">
        <v>217.77</v>
      </c>
      <c r="AN10" s="3055" t="s">
        <v>1298</v>
      </c>
      <c r="AO10" s="3055" t="s">
        <v>1298</v>
      </c>
      <c r="AP10" s="3055">
        <v>0</v>
      </c>
      <c r="AQ10" s="3055" t="s">
        <v>3127</v>
      </c>
      <c r="AR10" s="3055" t="s">
        <v>1298</v>
      </c>
      <c r="AS10" s="3055" t="s">
        <v>1298</v>
      </c>
      <c r="AT10" s="3055" t="s">
        <v>1298</v>
      </c>
      <c r="AU10" s="3055" t="s">
        <v>3128</v>
      </c>
      <c r="AV10" s="3055">
        <f t="shared" si="0"/>
        <v>218</v>
      </c>
    </row>
    <row r="11" spans="1:48">
      <c r="A11" s="3055" t="s">
        <v>3154</v>
      </c>
      <c r="B11" s="3055" t="s">
        <v>3113</v>
      </c>
      <c r="C11" s="3055" t="s">
        <v>3114</v>
      </c>
      <c r="D11" s="3055" t="s">
        <v>3115</v>
      </c>
      <c r="E11" s="3055" t="s">
        <v>1298</v>
      </c>
      <c r="F11" s="3055" t="s">
        <v>3154</v>
      </c>
      <c r="G11" s="3055" t="s">
        <v>3155</v>
      </c>
      <c r="H11" s="3055">
        <v>65848</v>
      </c>
      <c r="I11" s="3055">
        <v>52678.400000000001</v>
      </c>
      <c r="J11" s="3055" t="s">
        <v>3117</v>
      </c>
      <c r="K11" s="3055" t="s">
        <v>3118</v>
      </c>
      <c r="L11" s="3055" t="s">
        <v>3114</v>
      </c>
      <c r="M11" s="3055">
        <v>0</v>
      </c>
      <c r="N11" s="3055" t="s">
        <v>1298</v>
      </c>
      <c r="O11" s="3055" t="s">
        <v>3119</v>
      </c>
      <c r="P11" s="3055" t="s">
        <v>1298</v>
      </c>
      <c r="Q11" s="3055" t="s">
        <v>1298</v>
      </c>
      <c r="R11" s="3055" t="s">
        <v>1298</v>
      </c>
      <c r="S11" s="3055" t="s">
        <v>1298</v>
      </c>
      <c r="T11" s="3055" t="s">
        <v>1298</v>
      </c>
      <c r="U11" s="3055" t="s">
        <v>1298</v>
      </c>
      <c r="V11" s="3055" t="s">
        <v>1298</v>
      </c>
      <c r="W11" s="3055" t="s">
        <v>1298</v>
      </c>
      <c r="X11" s="3055" t="s">
        <v>3120</v>
      </c>
      <c r="Y11" s="3055" t="s">
        <v>3121</v>
      </c>
      <c r="Z11" s="3055" t="s">
        <v>3122</v>
      </c>
      <c r="AA11" s="3055" t="s">
        <v>3123</v>
      </c>
      <c r="AB11" s="3055" t="s">
        <v>3123</v>
      </c>
      <c r="AC11" s="3055" t="s">
        <v>3124</v>
      </c>
      <c r="AD11" s="3055" t="s">
        <v>3125</v>
      </c>
      <c r="AE11" s="3055" t="s">
        <v>3156</v>
      </c>
      <c r="AF11" s="3055" t="s">
        <v>1298</v>
      </c>
      <c r="AG11" s="3055">
        <v>1445</v>
      </c>
      <c r="AH11" s="3055">
        <v>1445</v>
      </c>
      <c r="AI11" s="3055">
        <v>1445</v>
      </c>
      <c r="AJ11" s="3055">
        <v>14.63</v>
      </c>
      <c r="AK11" s="3055">
        <v>14.63</v>
      </c>
      <c r="AL11" s="3055">
        <v>274.3</v>
      </c>
      <c r="AM11" s="3055">
        <v>274.31</v>
      </c>
      <c r="AN11" s="3055" t="s">
        <v>1298</v>
      </c>
      <c r="AO11" s="3055" t="s">
        <v>1298</v>
      </c>
      <c r="AP11" s="3055">
        <v>0</v>
      </c>
      <c r="AQ11" s="3055" t="s">
        <v>3127</v>
      </c>
      <c r="AR11" s="3055" t="s">
        <v>1298</v>
      </c>
      <c r="AS11" s="3055" t="s">
        <v>1298</v>
      </c>
      <c r="AT11" s="3055" t="s">
        <v>1298</v>
      </c>
      <c r="AU11" s="3055" t="s">
        <v>3128</v>
      </c>
      <c r="AV11" s="3055">
        <f t="shared" si="0"/>
        <v>219</v>
      </c>
    </row>
    <row r="12" spans="1:48">
      <c r="A12" s="3055" t="s">
        <v>3112</v>
      </c>
      <c r="B12" s="3055" t="s">
        <v>3113</v>
      </c>
      <c r="C12" s="3055" t="s">
        <v>3114</v>
      </c>
      <c r="D12" s="3055" t="s">
        <v>3115</v>
      </c>
      <c r="E12" s="3055" t="s">
        <v>1298</v>
      </c>
      <c r="F12" s="3055" t="s">
        <v>3112</v>
      </c>
      <c r="G12" s="3055" t="s">
        <v>3157</v>
      </c>
      <c r="H12" s="3055">
        <v>62169</v>
      </c>
      <c r="I12" s="3055">
        <v>49735.199999999997</v>
      </c>
      <c r="J12" s="3055" t="s">
        <v>3117</v>
      </c>
      <c r="K12" s="3055" t="s">
        <v>3118</v>
      </c>
      <c r="L12" s="3055" t="s">
        <v>3114</v>
      </c>
      <c r="M12" s="3055">
        <v>0</v>
      </c>
      <c r="N12" s="3055" t="s">
        <v>1298</v>
      </c>
      <c r="O12" s="3055" t="s">
        <v>3119</v>
      </c>
      <c r="P12" s="3055" t="s">
        <v>1298</v>
      </c>
      <c r="Q12" s="3055" t="s">
        <v>1298</v>
      </c>
      <c r="R12" s="3055" t="s">
        <v>1298</v>
      </c>
      <c r="S12" s="3055" t="s">
        <v>1298</v>
      </c>
      <c r="T12" s="3055" t="s">
        <v>1298</v>
      </c>
      <c r="U12" s="3055" t="s">
        <v>1298</v>
      </c>
      <c r="V12" s="3055" t="s">
        <v>1298</v>
      </c>
      <c r="W12" s="3055" t="s">
        <v>1298</v>
      </c>
      <c r="X12" s="3055" t="s">
        <v>3120</v>
      </c>
      <c r="Y12" s="3055" t="s">
        <v>3121</v>
      </c>
      <c r="Z12" s="3055" t="s">
        <v>3122</v>
      </c>
      <c r="AA12" s="3055" t="s">
        <v>3123</v>
      </c>
      <c r="AB12" s="3055" t="s">
        <v>3123</v>
      </c>
      <c r="AC12" s="3055" t="s">
        <v>3124</v>
      </c>
      <c r="AD12" s="3055" t="s">
        <v>3125</v>
      </c>
      <c r="AE12" s="3055" t="s">
        <v>3158</v>
      </c>
      <c r="AF12" s="3055" t="s">
        <v>1298</v>
      </c>
      <c r="AG12" s="3055">
        <v>1364</v>
      </c>
      <c r="AH12" s="3055">
        <v>1364</v>
      </c>
      <c r="AI12" s="3055">
        <v>1364</v>
      </c>
      <c r="AJ12" s="3055">
        <v>14.63</v>
      </c>
      <c r="AK12" s="3055">
        <v>14.63</v>
      </c>
      <c r="AL12" s="3055">
        <v>274.25</v>
      </c>
      <c r="AM12" s="3055">
        <v>274.25</v>
      </c>
      <c r="AN12" s="3055" t="s">
        <v>1298</v>
      </c>
      <c r="AO12" s="3055" t="s">
        <v>1298</v>
      </c>
      <c r="AP12" s="3055">
        <v>0</v>
      </c>
      <c r="AQ12" s="3055" t="s">
        <v>3127</v>
      </c>
      <c r="AR12" s="3055" t="s">
        <v>1298</v>
      </c>
      <c r="AS12" s="3055" t="s">
        <v>1298</v>
      </c>
      <c r="AT12" s="3055" t="s">
        <v>1298</v>
      </c>
      <c r="AU12" s="3055" t="s">
        <v>3128</v>
      </c>
      <c r="AV12" s="3055">
        <f t="shared" si="0"/>
        <v>219</v>
      </c>
    </row>
    <row r="13" spans="1:48">
      <c r="A13" s="3055" t="s">
        <v>3159</v>
      </c>
      <c r="B13" s="3055" t="s">
        <v>3113</v>
      </c>
      <c r="C13" s="3055" t="s">
        <v>3114</v>
      </c>
      <c r="D13" s="3055" t="s">
        <v>3115</v>
      </c>
      <c r="E13" s="3055" t="s">
        <v>1298</v>
      </c>
      <c r="F13" s="3055" t="s">
        <v>3159</v>
      </c>
      <c r="G13" s="3055" t="s">
        <v>3160</v>
      </c>
      <c r="H13" s="3055">
        <v>9546</v>
      </c>
      <c r="I13" s="3055">
        <v>7636.8</v>
      </c>
      <c r="J13" s="3055" t="s">
        <v>3134</v>
      </c>
      <c r="K13" s="3055" t="s">
        <v>3118</v>
      </c>
      <c r="L13" s="3055" t="s">
        <v>3114</v>
      </c>
      <c r="M13" s="3055">
        <v>0</v>
      </c>
      <c r="N13" s="3055" t="s">
        <v>1298</v>
      </c>
      <c r="O13" s="3055" t="s">
        <v>3161</v>
      </c>
      <c r="P13" s="3055" t="s">
        <v>1298</v>
      </c>
      <c r="Q13" s="3055" t="s">
        <v>1298</v>
      </c>
      <c r="R13" s="3055" t="s">
        <v>1298</v>
      </c>
      <c r="S13" s="3055" t="s">
        <v>1298</v>
      </c>
      <c r="T13" s="3055" t="s">
        <v>1298</v>
      </c>
      <c r="U13" s="3055" t="s">
        <v>1298</v>
      </c>
      <c r="V13" s="3055" t="s">
        <v>1298</v>
      </c>
      <c r="W13" s="3055" t="s">
        <v>1298</v>
      </c>
      <c r="X13" s="3055" t="s">
        <v>3120</v>
      </c>
      <c r="Y13" s="3055" t="s">
        <v>3121</v>
      </c>
      <c r="Z13" s="3055" t="s">
        <v>3122</v>
      </c>
      <c r="AA13" s="3055" t="s">
        <v>3123</v>
      </c>
      <c r="AB13" s="3055" t="s">
        <v>3123</v>
      </c>
      <c r="AC13" s="3055" t="s">
        <v>3124</v>
      </c>
      <c r="AD13" s="3055" t="s">
        <v>3125</v>
      </c>
      <c r="AE13" s="3055" t="s">
        <v>3162</v>
      </c>
      <c r="AF13" s="3055" t="s">
        <v>1298</v>
      </c>
      <c r="AG13" s="3055">
        <v>107</v>
      </c>
      <c r="AH13" s="3055">
        <v>213</v>
      </c>
      <c r="AI13" s="3055">
        <v>213</v>
      </c>
      <c r="AJ13" s="3055">
        <v>14.88</v>
      </c>
      <c r="AK13" s="3055">
        <v>14.88</v>
      </c>
      <c r="AL13" s="3055">
        <v>278.91000000000003</v>
      </c>
      <c r="AM13" s="3055">
        <v>278.91000000000003</v>
      </c>
      <c r="AN13" s="3055" t="s">
        <v>1298</v>
      </c>
      <c r="AO13" s="3055" t="s">
        <v>1298</v>
      </c>
      <c r="AP13" s="3055">
        <v>0</v>
      </c>
      <c r="AQ13" s="3055" t="s">
        <v>3127</v>
      </c>
      <c r="AR13" s="3055" t="s">
        <v>1298</v>
      </c>
      <c r="AS13" s="3055" t="s">
        <v>1298</v>
      </c>
      <c r="AT13" s="3055" t="s">
        <v>1298</v>
      </c>
      <c r="AU13" s="3055" t="s">
        <v>3128</v>
      </c>
      <c r="AV13" s="3055">
        <f t="shared" si="0"/>
        <v>223</v>
      </c>
    </row>
    <row r="14" spans="1:48">
      <c r="A14" s="3055" t="s">
        <v>3112</v>
      </c>
      <c r="B14" s="3055" t="s">
        <v>3113</v>
      </c>
      <c r="C14" s="3055" t="s">
        <v>3114</v>
      </c>
      <c r="D14" s="3055" t="s">
        <v>3115</v>
      </c>
      <c r="E14" s="3055" t="s">
        <v>1298</v>
      </c>
      <c r="F14" s="3055" t="s">
        <v>3112</v>
      </c>
      <c r="G14" s="3055" t="s">
        <v>3163</v>
      </c>
      <c r="H14" s="3055">
        <v>33343</v>
      </c>
      <c r="I14" s="3055">
        <v>26674.400000000001</v>
      </c>
      <c r="J14" s="3055" t="s">
        <v>3117</v>
      </c>
      <c r="K14" s="3055" t="s">
        <v>3118</v>
      </c>
      <c r="L14" s="3055" t="s">
        <v>3114</v>
      </c>
      <c r="M14" s="3055">
        <v>0</v>
      </c>
      <c r="N14" s="3055" t="s">
        <v>1298</v>
      </c>
      <c r="O14" s="3055" t="s">
        <v>3119</v>
      </c>
      <c r="P14" s="3055" t="s">
        <v>1298</v>
      </c>
      <c r="Q14" s="3055" t="s">
        <v>1298</v>
      </c>
      <c r="R14" s="3055" t="s">
        <v>1298</v>
      </c>
      <c r="S14" s="3055" t="s">
        <v>1298</v>
      </c>
      <c r="T14" s="3055" t="s">
        <v>1298</v>
      </c>
      <c r="U14" s="3055" t="s">
        <v>1298</v>
      </c>
      <c r="V14" s="3055" t="s">
        <v>1298</v>
      </c>
      <c r="W14" s="3055" t="s">
        <v>1298</v>
      </c>
      <c r="X14" s="3055" t="s">
        <v>3120</v>
      </c>
      <c r="Y14" s="3055" t="s">
        <v>3121</v>
      </c>
      <c r="Z14" s="3055" t="s">
        <v>3122</v>
      </c>
      <c r="AA14" s="3055" t="s">
        <v>3123</v>
      </c>
      <c r="AB14" s="3055" t="s">
        <v>3123</v>
      </c>
      <c r="AC14" s="3055" t="s">
        <v>3124</v>
      </c>
      <c r="AD14" s="3055" t="s">
        <v>3125</v>
      </c>
      <c r="AE14" s="3055" t="s">
        <v>3164</v>
      </c>
      <c r="AF14" s="3055" t="s">
        <v>1298</v>
      </c>
      <c r="AG14" s="3055">
        <v>732</v>
      </c>
      <c r="AH14" s="3055">
        <v>732</v>
      </c>
      <c r="AI14" s="3055">
        <v>732</v>
      </c>
      <c r="AJ14" s="3055">
        <v>14.64</v>
      </c>
      <c r="AK14" s="3055">
        <v>14.64</v>
      </c>
      <c r="AL14" s="3055">
        <v>274.42</v>
      </c>
      <c r="AM14" s="3055">
        <v>274.42</v>
      </c>
      <c r="AN14" s="3055" t="s">
        <v>1298</v>
      </c>
      <c r="AO14" s="3055" t="s">
        <v>1298</v>
      </c>
      <c r="AP14" s="3055">
        <v>0</v>
      </c>
      <c r="AQ14" s="3055" t="s">
        <v>3127</v>
      </c>
      <c r="AR14" s="3055" t="s">
        <v>1298</v>
      </c>
      <c r="AS14" s="3055" t="s">
        <v>1298</v>
      </c>
      <c r="AT14" s="3055" t="s">
        <v>1298</v>
      </c>
      <c r="AU14" s="3055" t="s">
        <v>3128</v>
      </c>
      <c r="AV14" s="3055">
        <f t="shared" si="0"/>
        <v>220</v>
      </c>
    </row>
    <row r="15" spans="1:48">
      <c r="A15" s="3055" t="s">
        <v>3165</v>
      </c>
      <c r="B15" s="3055" t="s">
        <v>3113</v>
      </c>
      <c r="C15" s="3055" t="s">
        <v>3114</v>
      </c>
      <c r="D15" s="3055" t="s">
        <v>3115</v>
      </c>
      <c r="E15" s="3055" t="s">
        <v>1298</v>
      </c>
      <c r="F15" s="3055" t="s">
        <v>3165</v>
      </c>
      <c r="G15" s="3055" t="s">
        <v>3166</v>
      </c>
      <c r="H15" s="3055">
        <v>3463.7</v>
      </c>
      <c r="I15" s="3055">
        <v>2805.6</v>
      </c>
      <c r="J15" s="3055" t="s">
        <v>3167</v>
      </c>
      <c r="K15" s="3055" t="s">
        <v>3118</v>
      </c>
      <c r="L15" s="3055" t="s">
        <v>3114</v>
      </c>
      <c r="M15" s="3055">
        <v>0</v>
      </c>
      <c r="N15" s="3055" t="s">
        <v>1298</v>
      </c>
      <c r="O15" s="3055" t="s">
        <v>3168</v>
      </c>
      <c r="P15" s="3055" t="s">
        <v>1298</v>
      </c>
      <c r="Q15" s="3055" t="s">
        <v>1298</v>
      </c>
      <c r="R15" s="3055" t="s">
        <v>1298</v>
      </c>
      <c r="S15" s="3055" t="s">
        <v>1298</v>
      </c>
      <c r="T15" s="3055" t="s">
        <v>1298</v>
      </c>
      <c r="U15" s="3055" t="s">
        <v>1298</v>
      </c>
      <c r="V15" s="3055" t="s">
        <v>1298</v>
      </c>
      <c r="W15" s="3055" t="s">
        <v>1298</v>
      </c>
      <c r="X15" s="3055" t="s">
        <v>3120</v>
      </c>
      <c r="Y15" s="3055" t="s">
        <v>3121</v>
      </c>
      <c r="Z15" s="3055" t="s">
        <v>3122</v>
      </c>
      <c r="AA15" s="3055" t="s">
        <v>3123</v>
      </c>
      <c r="AB15" s="3055" t="s">
        <v>3123</v>
      </c>
      <c r="AC15" s="3055" t="s">
        <v>3124</v>
      </c>
      <c r="AD15" s="3055" t="s">
        <v>3125</v>
      </c>
      <c r="AE15" s="3055" t="s">
        <v>3169</v>
      </c>
      <c r="AF15" s="3055" t="s">
        <v>1298</v>
      </c>
      <c r="AG15" s="3055">
        <v>66</v>
      </c>
      <c r="AH15" s="3055">
        <v>66</v>
      </c>
      <c r="AI15" s="3055">
        <v>66</v>
      </c>
      <c r="AJ15" s="3055">
        <v>12.7</v>
      </c>
      <c r="AK15" s="3055">
        <v>12.7</v>
      </c>
      <c r="AL15" s="3055">
        <v>235.24</v>
      </c>
      <c r="AM15" s="3055">
        <v>235.24</v>
      </c>
      <c r="AN15" s="3055" t="s">
        <v>1298</v>
      </c>
      <c r="AO15" s="3055" t="s">
        <v>1298</v>
      </c>
      <c r="AP15" s="3055">
        <v>0</v>
      </c>
      <c r="AQ15" s="3055" t="s">
        <v>3127</v>
      </c>
      <c r="AR15" s="3055" t="s">
        <v>1298</v>
      </c>
      <c r="AS15" s="3055" t="s">
        <v>1298</v>
      </c>
      <c r="AT15" s="3055" t="s">
        <v>1298</v>
      </c>
      <c r="AU15" s="3055" t="s">
        <v>3128</v>
      </c>
      <c r="AV15" s="3055">
        <f t="shared" si="0"/>
        <v>191</v>
      </c>
    </row>
    <row r="16" spans="1:48">
      <c r="A16" s="3055" t="s">
        <v>3141</v>
      </c>
      <c r="B16" s="3055" t="s">
        <v>3113</v>
      </c>
      <c r="C16" s="3055" t="s">
        <v>3114</v>
      </c>
      <c r="D16" s="3055" t="s">
        <v>3115</v>
      </c>
      <c r="E16" s="3055" t="s">
        <v>1298</v>
      </c>
      <c r="F16" s="3055" t="s">
        <v>3141</v>
      </c>
      <c r="G16" s="3055" t="s">
        <v>3170</v>
      </c>
      <c r="H16" s="3055">
        <v>74371.05</v>
      </c>
      <c r="I16" s="3055">
        <v>59496.84</v>
      </c>
      <c r="J16" s="3055" t="s">
        <v>3134</v>
      </c>
      <c r="K16" s="3055" t="s">
        <v>3118</v>
      </c>
      <c r="L16" s="3055" t="s">
        <v>3114</v>
      </c>
      <c r="M16" s="3055">
        <v>0</v>
      </c>
      <c r="N16" s="3055" t="s">
        <v>1298</v>
      </c>
      <c r="O16" s="3055" t="s">
        <v>3161</v>
      </c>
      <c r="P16" s="3055" t="s">
        <v>1298</v>
      </c>
      <c r="Q16" s="3055" t="s">
        <v>1298</v>
      </c>
      <c r="R16" s="3055" t="s">
        <v>1298</v>
      </c>
      <c r="S16" s="3055" t="s">
        <v>1298</v>
      </c>
      <c r="T16" s="3055" t="s">
        <v>1298</v>
      </c>
      <c r="U16" s="3055" t="s">
        <v>1298</v>
      </c>
      <c r="V16" s="3055" t="s">
        <v>1298</v>
      </c>
      <c r="W16" s="3055" t="s">
        <v>1298</v>
      </c>
      <c r="X16" s="3055" t="s">
        <v>3120</v>
      </c>
      <c r="Y16" s="3055" t="s">
        <v>3121</v>
      </c>
      <c r="Z16" s="3055" t="s">
        <v>3122</v>
      </c>
      <c r="AA16" s="3055" t="s">
        <v>3123</v>
      </c>
      <c r="AB16" s="3055" t="s">
        <v>3123</v>
      </c>
      <c r="AC16" s="3055" t="s">
        <v>3124</v>
      </c>
      <c r="AD16" s="3055" t="s">
        <v>3125</v>
      </c>
      <c r="AE16" s="3055" t="s">
        <v>3171</v>
      </c>
      <c r="AF16" s="3055" t="s">
        <v>1298</v>
      </c>
      <c r="AG16" s="3055">
        <v>826</v>
      </c>
      <c r="AH16" s="3055">
        <v>1651</v>
      </c>
      <c r="AI16" s="3055">
        <v>1651</v>
      </c>
      <c r="AJ16" s="3055">
        <v>14.8</v>
      </c>
      <c r="AK16" s="3055">
        <v>14.8</v>
      </c>
      <c r="AL16" s="3055">
        <v>277.49</v>
      </c>
      <c r="AM16" s="3055">
        <v>277.49</v>
      </c>
      <c r="AN16" s="3055" t="s">
        <v>1298</v>
      </c>
      <c r="AO16" s="3055" t="s">
        <v>1298</v>
      </c>
      <c r="AP16" s="3055">
        <v>0</v>
      </c>
      <c r="AQ16" s="3055" t="s">
        <v>3127</v>
      </c>
      <c r="AR16" s="3055" t="s">
        <v>1298</v>
      </c>
      <c r="AS16" s="3055" t="s">
        <v>1298</v>
      </c>
      <c r="AT16" s="3055" t="s">
        <v>1298</v>
      </c>
      <c r="AU16" s="3055" t="s">
        <v>3128</v>
      </c>
      <c r="AV16" s="3055">
        <f t="shared" si="0"/>
        <v>222</v>
      </c>
    </row>
    <row r="17" spans="1:48">
      <c r="A17" s="3055" t="s">
        <v>3112</v>
      </c>
      <c r="B17" s="3055" t="s">
        <v>3113</v>
      </c>
      <c r="C17" s="3055" t="s">
        <v>3114</v>
      </c>
      <c r="D17" s="3055" t="s">
        <v>3115</v>
      </c>
      <c r="E17" s="3055" t="s">
        <v>1298</v>
      </c>
      <c r="F17" s="3055" t="s">
        <v>3112</v>
      </c>
      <c r="G17" s="3055" t="s">
        <v>3172</v>
      </c>
      <c r="H17" s="3055">
        <v>33566</v>
      </c>
      <c r="I17" s="3055">
        <v>26852.799999999999</v>
      </c>
      <c r="J17" s="3055" t="s">
        <v>3117</v>
      </c>
      <c r="K17" s="3055" t="s">
        <v>3118</v>
      </c>
      <c r="L17" s="3055" t="s">
        <v>3114</v>
      </c>
      <c r="M17" s="3055">
        <v>0</v>
      </c>
      <c r="N17" s="3055" t="s">
        <v>1298</v>
      </c>
      <c r="O17" s="3055" t="s">
        <v>3119</v>
      </c>
      <c r="P17" s="3055" t="s">
        <v>1298</v>
      </c>
      <c r="Q17" s="3055" t="s">
        <v>1298</v>
      </c>
      <c r="R17" s="3055" t="s">
        <v>1298</v>
      </c>
      <c r="S17" s="3055" t="s">
        <v>1298</v>
      </c>
      <c r="T17" s="3055" t="s">
        <v>1298</v>
      </c>
      <c r="U17" s="3055" t="s">
        <v>1298</v>
      </c>
      <c r="V17" s="3055" t="s">
        <v>1298</v>
      </c>
      <c r="W17" s="3055" t="s">
        <v>1298</v>
      </c>
      <c r="X17" s="3055" t="s">
        <v>3120</v>
      </c>
      <c r="Y17" s="3055" t="s">
        <v>3121</v>
      </c>
      <c r="Z17" s="3055" t="s">
        <v>3122</v>
      </c>
      <c r="AA17" s="3055" t="s">
        <v>3123</v>
      </c>
      <c r="AB17" s="3055" t="s">
        <v>3123</v>
      </c>
      <c r="AC17" s="3055" t="s">
        <v>3124</v>
      </c>
      <c r="AD17" s="3055" t="s">
        <v>3125</v>
      </c>
      <c r="AE17" s="3055" t="s">
        <v>3173</v>
      </c>
      <c r="AF17" s="3055" t="s">
        <v>1298</v>
      </c>
      <c r="AG17" s="3055">
        <v>737</v>
      </c>
      <c r="AH17" s="3055">
        <v>737</v>
      </c>
      <c r="AI17" s="3055">
        <v>737</v>
      </c>
      <c r="AJ17" s="3055">
        <v>14.64</v>
      </c>
      <c r="AK17" s="3055">
        <v>14.64</v>
      </c>
      <c r="AL17" s="3055">
        <v>274.45</v>
      </c>
      <c r="AM17" s="3055">
        <v>274.45</v>
      </c>
      <c r="AN17" s="3055" t="s">
        <v>1298</v>
      </c>
      <c r="AO17" s="3055" t="s">
        <v>1298</v>
      </c>
      <c r="AP17" s="3055">
        <v>0</v>
      </c>
      <c r="AQ17" s="3055" t="s">
        <v>3127</v>
      </c>
      <c r="AR17" s="3055" t="s">
        <v>1298</v>
      </c>
      <c r="AS17" s="3055" t="s">
        <v>1298</v>
      </c>
      <c r="AT17" s="3055" t="s">
        <v>1298</v>
      </c>
      <c r="AU17" s="3055" t="s">
        <v>3128</v>
      </c>
      <c r="AV17" s="3055">
        <f t="shared" si="0"/>
        <v>220</v>
      </c>
    </row>
    <row r="18" spans="1:48">
      <c r="A18" s="3055" t="s">
        <v>3112</v>
      </c>
      <c r="B18" s="3055" t="s">
        <v>3113</v>
      </c>
      <c r="C18" s="3055" t="s">
        <v>3114</v>
      </c>
      <c r="D18" s="3055" t="s">
        <v>3115</v>
      </c>
      <c r="E18" s="3055" t="s">
        <v>1298</v>
      </c>
      <c r="F18" s="3055" t="s">
        <v>3112</v>
      </c>
      <c r="G18" s="3055" t="s">
        <v>3174</v>
      </c>
      <c r="H18" s="3055">
        <v>18130</v>
      </c>
      <c r="I18" s="3055">
        <v>14504</v>
      </c>
      <c r="J18" s="3055" t="s">
        <v>3117</v>
      </c>
      <c r="K18" s="3055" t="s">
        <v>3118</v>
      </c>
      <c r="L18" s="3055" t="s">
        <v>3114</v>
      </c>
      <c r="M18" s="3055">
        <v>0</v>
      </c>
      <c r="N18" s="3055" t="s">
        <v>1298</v>
      </c>
      <c r="O18" s="3055" t="s">
        <v>3119</v>
      </c>
      <c r="P18" s="3055" t="s">
        <v>1298</v>
      </c>
      <c r="Q18" s="3055" t="s">
        <v>1298</v>
      </c>
      <c r="R18" s="3055" t="s">
        <v>1298</v>
      </c>
      <c r="S18" s="3055" t="s">
        <v>1298</v>
      </c>
      <c r="T18" s="3055" t="s">
        <v>1298</v>
      </c>
      <c r="U18" s="3055" t="s">
        <v>1298</v>
      </c>
      <c r="V18" s="3055" t="s">
        <v>1298</v>
      </c>
      <c r="W18" s="3055" t="s">
        <v>1298</v>
      </c>
      <c r="X18" s="3055" t="s">
        <v>3120</v>
      </c>
      <c r="Y18" s="3055" t="s">
        <v>3175</v>
      </c>
      <c r="Z18" s="3055" t="s">
        <v>3176</v>
      </c>
      <c r="AA18" s="3055" t="s">
        <v>3177</v>
      </c>
      <c r="AB18" s="3055" t="s">
        <v>3177</v>
      </c>
      <c r="AC18" s="3055" t="s">
        <v>3178</v>
      </c>
      <c r="AD18" s="3055" t="s">
        <v>3125</v>
      </c>
      <c r="AE18" s="3055" t="s">
        <v>3179</v>
      </c>
      <c r="AF18" s="3055" t="s">
        <v>1298</v>
      </c>
      <c r="AG18" s="3055">
        <v>400</v>
      </c>
      <c r="AH18" s="3055">
        <v>400</v>
      </c>
      <c r="AI18" s="3055">
        <v>400</v>
      </c>
      <c r="AJ18" s="3055">
        <v>14.71</v>
      </c>
      <c r="AK18" s="3055">
        <v>14.71</v>
      </c>
      <c r="AL18" s="3055">
        <v>275.77999999999997</v>
      </c>
      <c r="AM18" s="3055">
        <v>275.79000000000002</v>
      </c>
      <c r="AN18" s="3055" t="s">
        <v>1298</v>
      </c>
      <c r="AO18" s="3055" t="s">
        <v>1298</v>
      </c>
      <c r="AP18" s="3055">
        <v>0</v>
      </c>
      <c r="AQ18" s="3055" t="s">
        <v>3127</v>
      </c>
      <c r="AR18" s="3055" t="s">
        <v>1298</v>
      </c>
      <c r="AS18" s="3055" t="s">
        <v>1298</v>
      </c>
      <c r="AT18" s="3055" t="s">
        <v>1298</v>
      </c>
      <c r="AU18" s="3055" t="s">
        <v>3128</v>
      </c>
      <c r="AV18" s="3055">
        <f t="shared" si="0"/>
        <v>221</v>
      </c>
    </row>
    <row r="19" spans="1:48">
      <c r="A19" s="3055" t="s">
        <v>3112</v>
      </c>
      <c r="B19" s="3055" t="s">
        <v>3113</v>
      </c>
      <c r="C19" s="3055" t="s">
        <v>3114</v>
      </c>
      <c r="D19" s="3055" t="s">
        <v>3115</v>
      </c>
      <c r="E19" s="3055" t="s">
        <v>1298</v>
      </c>
      <c r="F19" s="3055" t="s">
        <v>3112</v>
      </c>
      <c r="G19" s="3055" t="s">
        <v>3180</v>
      </c>
      <c r="H19" s="3055">
        <v>100001</v>
      </c>
      <c r="I19" s="3055">
        <v>80000.800000000003</v>
      </c>
      <c r="J19" s="3055" t="s">
        <v>3117</v>
      </c>
      <c r="K19" s="3055" t="s">
        <v>3118</v>
      </c>
      <c r="L19" s="3055" t="s">
        <v>3114</v>
      </c>
      <c r="M19" s="3055">
        <v>0</v>
      </c>
      <c r="N19" s="3055" t="s">
        <v>1298</v>
      </c>
      <c r="O19" s="3055" t="s">
        <v>3119</v>
      </c>
      <c r="P19" s="3055" t="s">
        <v>1298</v>
      </c>
      <c r="Q19" s="3055" t="s">
        <v>1298</v>
      </c>
      <c r="R19" s="3055" t="s">
        <v>1298</v>
      </c>
      <c r="S19" s="3055" t="s">
        <v>1298</v>
      </c>
      <c r="T19" s="3055" t="s">
        <v>1298</v>
      </c>
      <c r="U19" s="3055" t="s">
        <v>1298</v>
      </c>
      <c r="V19" s="3055" t="s">
        <v>1298</v>
      </c>
      <c r="W19" s="3055" t="s">
        <v>1298</v>
      </c>
      <c r="X19" s="3055" t="s">
        <v>3120</v>
      </c>
      <c r="Y19" s="3055" t="s">
        <v>3175</v>
      </c>
      <c r="Z19" s="3055" t="s">
        <v>3176</v>
      </c>
      <c r="AA19" s="3055" t="s">
        <v>3177</v>
      </c>
      <c r="AB19" s="3055" t="s">
        <v>3177</v>
      </c>
      <c r="AC19" s="3055" t="s">
        <v>3178</v>
      </c>
      <c r="AD19" s="3055" t="s">
        <v>3125</v>
      </c>
      <c r="AE19" s="3055" t="s">
        <v>3181</v>
      </c>
      <c r="AF19" s="3055" t="s">
        <v>1298</v>
      </c>
      <c r="AG19" s="3055">
        <v>1100</v>
      </c>
      <c r="AH19" s="3055">
        <v>2196</v>
      </c>
      <c r="AI19" s="3055">
        <v>2196</v>
      </c>
      <c r="AJ19" s="3055">
        <v>14.64</v>
      </c>
      <c r="AK19" s="3055">
        <v>14.64</v>
      </c>
      <c r="AL19" s="3055">
        <v>274.49</v>
      </c>
      <c r="AM19" s="3055">
        <v>274.5</v>
      </c>
      <c r="AN19" s="3055" t="s">
        <v>1298</v>
      </c>
      <c r="AO19" s="3055" t="s">
        <v>1298</v>
      </c>
      <c r="AP19" s="3055">
        <v>0</v>
      </c>
      <c r="AQ19" s="3055" t="s">
        <v>3127</v>
      </c>
      <c r="AR19" s="3055" t="s">
        <v>1298</v>
      </c>
      <c r="AS19" s="3055" t="s">
        <v>1298</v>
      </c>
      <c r="AT19" s="3055" t="s">
        <v>1298</v>
      </c>
      <c r="AU19" s="3055" t="s">
        <v>3128</v>
      </c>
      <c r="AV19" s="3055">
        <f t="shared" si="0"/>
        <v>220</v>
      </c>
    </row>
    <row r="20" spans="1:48">
      <c r="A20" s="3055" t="s">
        <v>3182</v>
      </c>
      <c r="B20" s="3055" t="s">
        <v>3113</v>
      </c>
      <c r="C20" s="3055" t="s">
        <v>3114</v>
      </c>
      <c r="D20" s="3055" t="s">
        <v>3115</v>
      </c>
      <c r="E20" s="3055" t="s">
        <v>1298</v>
      </c>
      <c r="F20" s="3055" t="s">
        <v>3182</v>
      </c>
      <c r="G20" s="3055" t="s">
        <v>3183</v>
      </c>
      <c r="H20" s="3055">
        <v>37549.01</v>
      </c>
      <c r="I20" s="3055">
        <v>37549.01</v>
      </c>
      <c r="J20" s="3055">
        <v>1</v>
      </c>
      <c r="K20" s="3055" t="s">
        <v>3118</v>
      </c>
      <c r="L20" s="3055" t="s">
        <v>3114</v>
      </c>
      <c r="M20" s="3055">
        <v>0</v>
      </c>
      <c r="N20" s="3055" t="s">
        <v>1298</v>
      </c>
      <c r="O20" s="3055">
        <v>45</v>
      </c>
      <c r="P20" s="3055" t="s">
        <v>1298</v>
      </c>
      <c r="Q20" s="3055" t="s">
        <v>1298</v>
      </c>
      <c r="R20" s="3055" t="s">
        <v>1298</v>
      </c>
      <c r="S20" s="3055" t="s">
        <v>1298</v>
      </c>
      <c r="T20" s="3055" t="s">
        <v>1298</v>
      </c>
      <c r="U20" s="3055" t="s">
        <v>1298</v>
      </c>
      <c r="V20" s="3055" t="s">
        <v>1298</v>
      </c>
      <c r="W20" s="3055" t="s">
        <v>1298</v>
      </c>
      <c r="X20" s="3055" t="s">
        <v>3184</v>
      </c>
      <c r="Y20" s="3055" t="s">
        <v>3185</v>
      </c>
      <c r="Z20" s="3055" t="s">
        <v>3186</v>
      </c>
      <c r="AA20" s="3055" t="s">
        <v>3187</v>
      </c>
      <c r="AB20" s="3055" t="s">
        <v>3187</v>
      </c>
      <c r="AC20" s="3055" t="s">
        <v>3188</v>
      </c>
      <c r="AD20" s="3055" t="s">
        <v>3125</v>
      </c>
      <c r="AE20" s="3055" t="s">
        <v>3189</v>
      </c>
      <c r="AF20" s="3055" t="s">
        <v>1298</v>
      </c>
      <c r="AG20" s="3055">
        <v>840</v>
      </c>
      <c r="AH20" s="3055">
        <v>840</v>
      </c>
      <c r="AI20" s="3055">
        <v>840</v>
      </c>
      <c r="AJ20" s="3055">
        <v>14.91</v>
      </c>
      <c r="AK20" s="3055">
        <v>14.91</v>
      </c>
      <c r="AL20" s="3055">
        <v>223.7</v>
      </c>
      <c r="AM20" s="3055">
        <v>223.71</v>
      </c>
      <c r="AN20" s="3055" t="s">
        <v>1298</v>
      </c>
      <c r="AO20" s="3055" t="s">
        <v>1298</v>
      </c>
      <c r="AP20" s="3055">
        <v>0</v>
      </c>
      <c r="AQ20" s="3055" t="s">
        <v>3127</v>
      </c>
      <c r="AR20" s="3055" t="s">
        <v>1298</v>
      </c>
      <c r="AS20" s="3055" t="s">
        <v>1298</v>
      </c>
      <c r="AT20" s="3055" t="s">
        <v>1298</v>
      </c>
      <c r="AU20" s="3055" t="s">
        <v>3128</v>
      </c>
      <c r="AV20" s="3055">
        <f t="shared" si="0"/>
        <v>224</v>
      </c>
    </row>
    <row r="21" spans="1:48">
      <c r="A21" s="3055" t="s">
        <v>3190</v>
      </c>
      <c r="B21" s="3055" t="s">
        <v>3113</v>
      </c>
      <c r="C21" s="3055" t="s">
        <v>3114</v>
      </c>
      <c r="D21" s="3055" t="s">
        <v>3115</v>
      </c>
      <c r="E21" s="3055" t="s">
        <v>1298</v>
      </c>
      <c r="F21" s="3055" t="s">
        <v>3190</v>
      </c>
      <c r="G21" s="3055" t="s">
        <v>3191</v>
      </c>
      <c r="H21" s="3055">
        <v>35628</v>
      </c>
      <c r="I21" s="3055">
        <v>28502.400000000001</v>
      </c>
      <c r="J21" s="3055" t="s">
        <v>3192</v>
      </c>
      <c r="K21" s="3055" t="s">
        <v>3118</v>
      </c>
      <c r="L21" s="3055" t="s">
        <v>3114</v>
      </c>
      <c r="M21" s="3055">
        <v>0</v>
      </c>
      <c r="N21" s="3055" t="s">
        <v>1298</v>
      </c>
      <c r="O21" s="3055" t="s">
        <v>3193</v>
      </c>
      <c r="P21" s="3055" t="s">
        <v>1298</v>
      </c>
      <c r="Q21" s="3055" t="s">
        <v>1298</v>
      </c>
      <c r="R21" s="3055" t="s">
        <v>1298</v>
      </c>
      <c r="S21" s="3055" t="s">
        <v>1298</v>
      </c>
      <c r="T21" s="3055" t="s">
        <v>1298</v>
      </c>
      <c r="U21" s="3055" t="s">
        <v>1298</v>
      </c>
      <c r="V21" s="3055" t="s">
        <v>1298</v>
      </c>
      <c r="W21" s="3055" t="s">
        <v>1298</v>
      </c>
      <c r="X21" s="3055" t="s">
        <v>3184</v>
      </c>
      <c r="Y21" s="3055" t="s">
        <v>3185</v>
      </c>
      <c r="Z21" s="3055" t="s">
        <v>3186</v>
      </c>
      <c r="AA21" s="3055" t="s">
        <v>3187</v>
      </c>
      <c r="AB21" s="3055" t="s">
        <v>3187</v>
      </c>
      <c r="AC21" s="3055" t="s">
        <v>3188</v>
      </c>
      <c r="AD21" s="3055" t="s">
        <v>3125</v>
      </c>
      <c r="AE21" s="3055" t="s">
        <v>3194</v>
      </c>
      <c r="AF21" s="3055" t="s">
        <v>1298</v>
      </c>
      <c r="AG21" s="3055">
        <v>784</v>
      </c>
      <c r="AH21" s="3055">
        <v>784</v>
      </c>
      <c r="AI21" s="3055">
        <v>784</v>
      </c>
      <c r="AJ21" s="3055">
        <v>14.67</v>
      </c>
      <c r="AK21" s="3055">
        <v>14.67</v>
      </c>
      <c r="AL21" s="3055">
        <v>275.06</v>
      </c>
      <c r="AM21" s="3055">
        <v>275.06</v>
      </c>
      <c r="AN21" s="3055" t="s">
        <v>1298</v>
      </c>
      <c r="AO21" s="3055" t="s">
        <v>1298</v>
      </c>
      <c r="AP21" s="3055">
        <v>0</v>
      </c>
      <c r="AQ21" s="3055" t="s">
        <v>3127</v>
      </c>
      <c r="AR21" s="3055" t="s">
        <v>1298</v>
      </c>
      <c r="AS21" s="3055" t="s">
        <v>1298</v>
      </c>
      <c r="AT21" s="3055" t="s">
        <v>1298</v>
      </c>
      <c r="AU21" s="3055" t="s">
        <v>3128</v>
      </c>
      <c r="AV21" s="3055">
        <f t="shared" si="0"/>
        <v>220</v>
      </c>
    </row>
    <row r="22" spans="1:48">
      <c r="A22" s="3055" t="s">
        <v>3195</v>
      </c>
      <c r="B22" s="3055" t="s">
        <v>3113</v>
      </c>
      <c r="C22" s="3055" t="s">
        <v>3114</v>
      </c>
      <c r="D22" s="3055" t="s">
        <v>3115</v>
      </c>
      <c r="E22" s="3055" t="s">
        <v>1298</v>
      </c>
      <c r="F22" s="3055" t="s">
        <v>3195</v>
      </c>
      <c r="G22" s="3055" t="s">
        <v>3196</v>
      </c>
      <c r="H22" s="3055">
        <v>33535</v>
      </c>
      <c r="I22" s="3055">
        <v>26828</v>
      </c>
      <c r="J22" s="3055" t="s">
        <v>3192</v>
      </c>
      <c r="K22" s="3055" t="s">
        <v>3118</v>
      </c>
      <c r="L22" s="3055" t="s">
        <v>3114</v>
      </c>
      <c r="M22" s="3055">
        <v>0</v>
      </c>
      <c r="N22" s="3055" t="s">
        <v>1298</v>
      </c>
      <c r="O22" s="3055" t="s">
        <v>3193</v>
      </c>
      <c r="P22" s="3055" t="s">
        <v>1298</v>
      </c>
      <c r="Q22" s="3055" t="s">
        <v>1298</v>
      </c>
      <c r="R22" s="3055" t="s">
        <v>1298</v>
      </c>
      <c r="S22" s="3055" t="s">
        <v>1298</v>
      </c>
      <c r="T22" s="3055" t="s">
        <v>1298</v>
      </c>
      <c r="U22" s="3055" t="s">
        <v>1298</v>
      </c>
      <c r="V22" s="3055" t="s">
        <v>1298</v>
      </c>
      <c r="W22" s="3055" t="s">
        <v>1298</v>
      </c>
      <c r="X22" s="3055" t="s">
        <v>3184</v>
      </c>
      <c r="Y22" s="3055" t="s">
        <v>3185</v>
      </c>
      <c r="Z22" s="3055" t="s">
        <v>3186</v>
      </c>
      <c r="AA22" s="3055" t="s">
        <v>3187</v>
      </c>
      <c r="AB22" s="3055" t="s">
        <v>3187</v>
      </c>
      <c r="AC22" s="3055" t="s">
        <v>3188</v>
      </c>
      <c r="AD22" s="3055" t="s">
        <v>3125</v>
      </c>
      <c r="AE22" s="3055" t="s">
        <v>3197</v>
      </c>
      <c r="AF22" s="3055" t="s">
        <v>1298</v>
      </c>
      <c r="AG22" s="3055">
        <v>738</v>
      </c>
      <c r="AH22" s="3055">
        <v>738</v>
      </c>
      <c r="AI22" s="3055">
        <v>738</v>
      </c>
      <c r="AJ22" s="3055">
        <v>14.67</v>
      </c>
      <c r="AK22" s="3055">
        <v>14.67</v>
      </c>
      <c r="AL22" s="3055">
        <v>275.08</v>
      </c>
      <c r="AM22" s="3055">
        <v>275.08</v>
      </c>
      <c r="AN22" s="3055" t="s">
        <v>1298</v>
      </c>
      <c r="AO22" s="3055" t="s">
        <v>1298</v>
      </c>
      <c r="AP22" s="3055">
        <v>0</v>
      </c>
      <c r="AQ22" s="3055" t="s">
        <v>3127</v>
      </c>
      <c r="AR22" s="3055" t="s">
        <v>1298</v>
      </c>
      <c r="AS22" s="3055" t="s">
        <v>1298</v>
      </c>
      <c r="AT22" s="3055" t="s">
        <v>1298</v>
      </c>
      <c r="AU22" s="3055" t="s">
        <v>3128</v>
      </c>
      <c r="AV22" s="3055">
        <f t="shared" si="0"/>
        <v>220</v>
      </c>
    </row>
    <row r="23" spans="1:48">
      <c r="A23" s="3055" t="s">
        <v>3198</v>
      </c>
      <c r="B23" s="3055" t="s">
        <v>3113</v>
      </c>
      <c r="C23" s="3055" t="s">
        <v>3114</v>
      </c>
      <c r="D23" s="3055" t="s">
        <v>3115</v>
      </c>
      <c r="E23" s="3055" t="s">
        <v>1298</v>
      </c>
      <c r="F23" s="3055" t="s">
        <v>3198</v>
      </c>
      <c r="G23" s="3055" t="s">
        <v>3199</v>
      </c>
      <c r="H23" s="3055">
        <v>27913</v>
      </c>
      <c r="I23" s="3055">
        <v>22330.400000000001</v>
      </c>
      <c r="J23" s="3055" t="s">
        <v>3192</v>
      </c>
      <c r="K23" s="3055" t="s">
        <v>3118</v>
      </c>
      <c r="L23" s="3055" t="s">
        <v>3114</v>
      </c>
      <c r="M23" s="3055">
        <v>0</v>
      </c>
      <c r="N23" s="3055" t="s">
        <v>1298</v>
      </c>
      <c r="O23" s="3055" t="s">
        <v>3193</v>
      </c>
      <c r="P23" s="3055" t="s">
        <v>1298</v>
      </c>
      <c r="Q23" s="3055" t="s">
        <v>1298</v>
      </c>
      <c r="R23" s="3055" t="s">
        <v>1298</v>
      </c>
      <c r="S23" s="3055" t="s">
        <v>1298</v>
      </c>
      <c r="T23" s="3055" t="s">
        <v>1298</v>
      </c>
      <c r="U23" s="3055" t="s">
        <v>1298</v>
      </c>
      <c r="V23" s="3055" t="s">
        <v>1298</v>
      </c>
      <c r="W23" s="3055" t="s">
        <v>1298</v>
      </c>
      <c r="X23" s="3055" t="s">
        <v>3184</v>
      </c>
      <c r="Y23" s="3055" t="s">
        <v>3185</v>
      </c>
      <c r="Z23" s="3055" t="s">
        <v>3186</v>
      </c>
      <c r="AA23" s="3055" t="s">
        <v>3187</v>
      </c>
      <c r="AB23" s="3055" t="s">
        <v>3187</v>
      </c>
      <c r="AC23" s="3055" t="s">
        <v>3188</v>
      </c>
      <c r="AD23" s="3055" t="s">
        <v>3125</v>
      </c>
      <c r="AE23" s="3055" t="s">
        <v>3200</v>
      </c>
      <c r="AF23" s="3055" t="s">
        <v>1298</v>
      </c>
      <c r="AG23" s="3055">
        <v>615</v>
      </c>
      <c r="AH23" s="3055">
        <v>615</v>
      </c>
      <c r="AI23" s="3055">
        <v>615</v>
      </c>
      <c r="AJ23" s="3055">
        <v>14.69</v>
      </c>
      <c r="AK23" s="3055">
        <v>14.69</v>
      </c>
      <c r="AL23" s="3055">
        <v>275.39999999999998</v>
      </c>
      <c r="AM23" s="3055">
        <v>275.41000000000003</v>
      </c>
      <c r="AN23" s="3055" t="s">
        <v>1298</v>
      </c>
      <c r="AO23" s="3055" t="s">
        <v>1298</v>
      </c>
      <c r="AP23" s="3055">
        <v>0</v>
      </c>
      <c r="AQ23" s="3055" t="s">
        <v>3127</v>
      </c>
      <c r="AR23" s="3055" t="s">
        <v>1298</v>
      </c>
      <c r="AS23" s="3055" t="s">
        <v>1298</v>
      </c>
      <c r="AT23" s="3055" t="s">
        <v>1298</v>
      </c>
      <c r="AU23" s="3055" t="s">
        <v>3128</v>
      </c>
      <c r="AV23" s="3055">
        <f t="shared" si="0"/>
        <v>220</v>
      </c>
    </row>
    <row r="24" spans="1:48">
      <c r="A24" s="3055" t="s">
        <v>3201</v>
      </c>
      <c r="B24" s="3055" t="s">
        <v>3113</v>
      </c>
      <c r="C24" s="3055" t="s">
        <v>3114</v>
      </c>
      <c r="D24" s="3055" t="s">
        <v>3115</v>
      </c>
      <c r="E24" s="3055" t="s">
        <v>1298</v>
      </c>
      <c r="F24" s="3055" t="s">
        <v>3201</v>
      </c>
      <c r="G24" s="3055" t="s">
        <v>3202</v>
      </c>
      <c r="H24" s="3055">
        <v>400</v>
      </c>
      <c r="I24" s="3055">
        <v>312</v>
      </c>
      <c r="J24" s="3055">
        <v>0.78</v>
      </c>
      <c r="K24" s="3055" t="s">
        <v>3118</v>
      </c>
      <c r="L24" s="3055" t="s">
        <v>3114</v>
      </c>
      <c r="M24" s="3055">
        <v>0</v>
      </c>
      <c r="N24" s="3055" t="s">
        <v>1298</v>
      </c>
      <c r="O24" s="3055">
        <v>50</v>
      </c>
      <c r="P24" s="3055" t="s">
        <v>1298</v>
      </c>
      <c r="Q24" s="3055" t="s">
        <v>1298</v>
      </c>
      <c r="R24" s="3055" t="s">
        <v>1298</v>
      </c>
      <c r="S24" s="3055" t="s">
        <v>1298</v>
      </c>
      <c r="T24" s="3055" t="s">
        <v>1298</v>
      </c>
      <c r="U24" s="3055" t="s">
        <v>1298</v>
      </c>
      <c r="V24" s="3055" t="s">
        <v>1298</v>
      </c>
      <c r="W24" s="3055" t="s">
        <v>1298</v>
      </c>
      <c r="X24" s="3055" t="s">
        <v>3184</v>
      </c>
      <c r="Y24" s="3055" t="s">
        <v>3185</v>
      </c>
      <c r="Z24" s="3055" t="s">
        <v>3186</v>
      </c>
      <c r="AA24" s="3055" t="s">
        <v>3187</v>
      </c>
      <c r="AB24" s="3055" t="s">
        <v>3187</v>
      </c>
      <c r="AC24" s="3055" t="s">
        <v>3188</v>
      </c>
      <c r="AD24" s="3055" t="s">
        <v>3125</v>
      </c>
      <c r="AE24" s="3055" t="s">
        <v>3203</v>
      </c>
      <c r="AF24" s="3055" t="s">
        <v>1298</v>
      </c>
      <c r="AG24" s="3055">
        <v>7</v>
      </c>
      <c r="AH24" s="3055">
        <v>7</v>
      </c>
      <c r="AI24" s="3055">
        <v>7</v>
      </c>
      <c r="AJ24" s="3055">
        <v>11.67</v>
      </c>
      <c r="AK24" s="3055">
        <v>11.67</v>
      </c>
      <c r="AL24" s="3055">
        <v>224.35</v>
      </c>
      <c r="AM24" s="3055">
        <v>224.36</v>
      </c>
      <c r="AN24" s="3055" t="s">
        <v>1298</v>
      </c>
      <c r="AO24" s="3055" t="s">
        <v>1298</v>
      </c>
      <c r="AP24" s="3055">
        <v>0</v>
      </c>
      <c r="AQ24" s="3055" t="s">
        <v>3127</v>
      </c>
      <c r="AR24" s="3055" t="s">
        <v>1298</v>
      </c>
      <c r="AS24" s="3055" t="s">
        <v>1298</v>
      </c>
      <c r="AT24" s="3055" t="s">
        <v>1298</v>
      </c>
      <c r="AU24" s="3055" t="s">
        <v>3128</v>
      </c>
      <c r="AV24" s="3055">
        <f t="shared" si="0"/>
        <v>175</v>
      </c>
    </row>
    <row r="25" spans="1:48">
      <c r="A25" s="3055" t="s">
        <v>3112</v>
      </c>
      <c r="B25" s="3055" t="s">
        <v>3113</v>
      </c>
      <c r="C25" s="3055" t="s">
        <v>3114</v>
      </c>
      <c r="D25" s="3055" t="s">
        <v>3115</v>
      </c>
      <c r="E25" s="3055" t="s">
        <v>1298</v>
      </c>
      <c r="F25" s="3055" t="s">
        <v>3112</v>
      </c>
      <c r="G25" s="3055" t="s">
        <v>3204</v>
      </c>
      <c r="H25" s="3055">
        <v>6849</v>
      </c>
      <c r="I25" s="3055">
        <v>5479.2</v>
      </c>
      <c r="J25" s="3055" t="s">
        <v>3117</v>
      </c>
      <c r="K25" s="3055" t="s">
        <v>3118</v>
      </c>
      <c r="L25" s="3055" t="s">
        <v>3114</v>
      </c>
      <c r="M25" s="3055">
        <v>0</v>
      </c>
      <c r="N25" s="3055" t="s">
        <v>1298</v>
      </c>
      <c r="O25" s="3055" t="s">
        <v>3119</v>
      </c>
      <c r="P25" s="3055" t="s">
        <v>1298</v>
      </c>
      <c r="Q25" s="3055" t="s">
        <v>1298</v>
      </c>
      <c r="R25" s="3055" t="s">
        <v>1298</v>
      </c>
      <c r="S25" s="3055" t="s">
        <v>1298</v>
      </c>
      <c r="T25" s="3055" t="s">
        <v>1298</v>
      </c>
      <c r="U25" s="3055" t="s">
        <v>1298</v>
      </c>
      <c r="V25" s="3055" t="s">
        <v>1298</v>
      </c>
      <c r="W25" s="3055" t="s">
        <v>1298</v>
      </c>
      <c r="X25" s="3055" t="s">
        <v>3184</v>
      </c>
      <c r="Y25" s="3055" t="s">
        <v>3205</v>
      </c>
      <c r="Z25" s="3055" t="s">
        <v>3206</v>
      </c>
      <c r="AA25" s="3055" t="s">
        <v>3207</v>
      </c>
      <c r="AB25" s="3055" t="s">
        <v>3207</v>
      </c>
      <c r="AC25" s="3055" t="s">
        <v>3208</v>
      </c>
      <c r="AD25" s="3055" t="s">
        <v>3125</v>
      </c>
      <c r="AE25" s="3055" t="s">
        <v>3209</v>
      </c>
      <c r="AF25" s="3055" t="s">
        <v>1298</v>
      </c>
      <c r="AG25" s="3055">
        <v>150</v>
      </c>
      <c r="AH25" s="3055">
        <v>150</v>
      </c>
      <c r="AI25" s="3055">
        <v>150</v>
      </c>
      <c r="AJ25" s="3055">
        <v>14.6</v>
      </c>
      <c r="AK25" s="3055">
        <v>14.6</v>
      </c>
      <c r="AL25" s="3055">
        <v>273.76</v>
      </c>
      <c r="AM25" s="3055">
        <v>273.75</v>
      </c>
      <c r="AN25" s="3055" t="s">
        <v>1298</v>
      </c>
      <c r="AO25" s="3055" t="s">
        <v>1298</v>
      </c>
      <c r="AP25" s="3055">
        <v>0</v>
      </c>
      <c r="AQ25" s="3055" t="s">
        <v>3127</v>
      </c>
      <c r="AR25" s="3055" t="s">
        <v>1298</v>
      </c>
      <c r="AS25" s="3055" t="s">
        <v>1298</v>
      </c>
      <c r="AT25" s="3055" t="s">
        <v>1298</v>
      </c>
      <c r="AU25" s="3055" t="s">
        <v>3128</v>
      </c>
      <c r="AV25" s="3055">
        <f t="shared" si="0"/>
        <v>219</v>
      </c>
    </row>
    <row r="26" spans="1:48">
      <c r="A26" s="3055" t="s">
        <v>3112</v>
      </c>
      <c r="B26" s="3055" t="s">
        <v>3113</v>
      </c>
      <c r="C26" s="3055" t="s">
        <v>3114</v>
      </c>
      <c r="D26" s="3055" t="s">
        <v>3115</v>
      </c>
      <c r="E26" s="3055" t="s">
        <v>1298</v>
      </c>
      <c r="F26" s="3055" t="s">
        <v>3112</v>
      </c>
      <c r="G26" s="3055" t="s">
        <v>3210</v>
      </c>
      <c r="H26" s="3055">
        <v>15805</v>
      </c>
      <c r="I26" s="3055">
        <v>12644</v>
      </c>
      <c r="J26" s="3055" t="s">
        <v>3117</v>
      </c>
      <c r="K26" s="3055" t="s">
        <v>3118</v>
      </c>
      <c r="L26" s="3055" t="s">
        <v>3114</v>
      </c>
      <c r="M26" s="3055">
        <v>0</v>
      </c>
      <c r="N26" s="3055" t="s">
        <v>1298</v>
      </c>
      <c r="O26" s="3055" t="s">
        <v>3119</v>
      </c>
      <c r="P26" s="3055" t="s">
        <v>1298</v>
      </c>
      <c r="Q26" s="3055" t="s">
        <v>1298</v>
      </c>
      <c r="R26" s="3055" t="s">
        <v>1298</v>
      </c>
      <c r="S26" s="3055" t="s">
        <v>1298</v>
      </c>
      <c r="T26" s="3055" t="s">
        <v>1298</v>
      </c>
      <c r="U26" s="3055" t="s">
        <v>1298</v>
      </c>
      <c r="V26" s="3055" t="s">
        <v>1298</v>
      </c>
      <c r="W26" s="3055" t="s">
        <v>1298</v>
      </c>
      <c r="X26" s="3055" t="s">
        <v>3184</v>
      </c>
      <c r="Y26" s="3055" t="s">
        <v>3205</v>
      </c>
      <c r="Z26" s="3055" t="s">
        <v>3206</v>
      </c>
      <c r="AA26" s="3055" t="s">
        <v>3207</v>
      </c>
      <c r="AB26" s="3055" t="s">
        <v>3207</v>
      </c>
      <c r="AC26" s="3055" t="s">
        <v>3208</v>
      </c>
      <c r="AD26" s="3055" t="s">
        <v>3125</v>
      </c>
      <c r="AE26" s="3055" t="s">
        <v>3211</v>
      </c>
      <c r="AF26" s="3055" t="s">
        <v>1298</v>
      </c>
      <c r="AG26" s="3055">
        <v>349</v>
      </c>
      <c r="AH26" s="3055">
        <v>349</v>
      </c>
      <c r="AI26" s="3055">
        <v>349</v>
      </c>
      <c r="AJ26" s="3055">
        <v>14.72</v>
      </c>
      <c r="AK26" s="3055">
        <v>14.72</v>
      </c>
      <c r="AL26" s="3055">
        <v>276.02</v>
      </c>
      <c r="AM26" s="3055">
        <v>276.01</v>
      </c>
      <c r="AN26" s="3055" t="s">
        <v>1298</v>
      </c>
      <c r="AO26" s="3055" t="s">
        <v>1298</v>
      </c>
      <c r="AP26" s="3055">
        <v>0</v>
      </c>
      <c r="AQ26" s="3055" t="s">
        <v>3127</v>
      </c>
      <c r="AR26" s="3055" t="s">
        <v>1298</v>
      </c>
      <c r="AS26" s="3055" t="s">
        <v>1298</v>
      </c>
      <c r="AT26" s="3055" t="s">
        <v>1298</v>
      </c>
      <c r="AU26" s="3055" t="s">
        <v>3128</v>
      </c>
      <c r="AV26" s="3055">
        <f t="shared" si="0"/>
        <v>221</v>
      </c>
    </row>
    <row r="27" spans="1:48">
      <c r="A27" s="3055" t="s">
        <v>3112</v>
      </c>
      <c r="B27" s="3055" t="s">
        <v>3113</v>
      </c>
      <c r="C27" s="3055" t="s">
        <v>3114</v>
      </c>
      <c r="D27" s="3055" t="s">
        <v>3115</v>
      </c>
      <c r="E27" s="3055" t="s">
        <v>1298</v>
      </c>
      <c r="F27" s="3055" t="s">
        <v>3112</v>
      </c>
      <c r="G27" s="3055" t="s">
        <v>3212</v>
      </c>
      <c r="H27" s="3055">
        <v>12001</v>
      </c>
      <c r="I27" s="3055">
        <v>9600.7999999999993</v>
      </c>
      <c r="J27" s="3055" t="s">
        <v>3213</v>
      </c>
      <c r="K27" s="3055" t="s">
        <v>3118</v>
      </c>
      <c r="L27" s="3055" t="s">
        <v>3114</v>
      </c>
      <c r="M27" s="3055">
        <v>0</v>
      </c>
      <c r="N27" s="3055" t="s">
        <v>1298</v>
      </c>
      <c r="O27" s="3055" t="s">
        <v>3214</v>
      </c>
      <c r="P27" s="3055" t="s">
        <v>1298</v>
      </c>
      <c r="Q27" s="3055" t="s">
        <v>1298</v>
      </c>
      <c r="R27" s="3055" t="s">
        <v>1298</v>
      </c>
      <c r="S27" s="3055" t="s">
        <v>1298</v>
      </c>
      <c r="T27" s="3055" t="s">
        <v>1298</v>
      </c>
      <c r="U27" s="3055" t="s">
        <v>1298</v>
      </c>
      <c r="V27" s="3055" t="s">
        <v>1298</v>
      </c>
      <c r="W27" s="3055" t="s">
        <v>1298</v>
      </c>
      <c r="X27" s="3055" t="s">
        <v>3184</v>
      </c>
      <c r="Y27" s="3055" t="s">
        <v>3205</v>
      </c>
      <c r="Z27" s="3055" t="s">
        <v>3206</v>
      </c>
      <c r="AA27" s="3055" t="s">
        <v>3207</v>
      </c>
      <c r="AB27" s="3055" t="s">
        <v>3207</v>
      </c>
      <c r="AC27" s="3055" t="s">
        <v>3208</v>
      </c>
      <c r="AD27" s="3055" t="s">
        <v>3125</v>
      </c>
      <c r="AE27" s="3055" t="s">
        <v>3215</v>
      </c>
      <c r="AF27" s="3055" t="s">
        <v>1298</v>
      </c>
      <c r="AG27" s="3055">
        <v>257</v>
      </c>
      <c r="AH27" s="3055">
        <v>257</v>
      </c>
      <c r="AI27" s="3055">
        <v>257</v>
      </c>
      <c r="AJ27" s="3055">
        <v>14.28</v>
      </c>
      <c r="AK27" s="3055">
        <v>14.28</v>
      </c>
      <c r="AL27" s="3055">
        <v>267.68</v>
      </c>
      <c r="AM27" s="3055">
        <v>267.68</v>
      </c>
      <c r="AN27" s="3055" t="s">
        <v>1298</v>
      </c>
      <c r="AO27" s="3055" t="s">
        <v>1298</v>
      </c>
      <c r="AP27" s="3055">
        <v>0</v>
      </c>
      <c r="AQ27" s="3055" t="s">
        <v>3127</v>
      </c>
      <c r="AR27" s="3055" t="s">
        <v>1298</v>
      </c>
      <c r="AS27" s="3055" t="s">
        <v>1298</v>
      </c>
      <c r="AT27" s="3055" t="s">
        <v>1298</v>
      </c>
      <c r="AU27" s="3055" t="s">
        <v>3128</v>
      </c>
      <c r="AV27" s="3055">
        <f t="shared" si="0"/>
        <v>214</v>
      </c>
    </row>
    <row r="28" spans="1:48">
      <c r="A28" s="3055" t="s">
        <v>3216</v>
      </c>
      <c r="B28" s="3055" t="s">
        <v>3113</v>
      </c>
      <c r="C28" s="3055" t="s">
        <v>3114</v>
      </c>
      <c r="D28" s="3055" t="s">
        <v>3115</v>
      </c>
      <c r="E28" s="3055" t="s">
        <v>1298</v>
      </c>
      <c r="F28" s="3055" t="s">
        <v>3216</v>
      </c>
      <c r="G28" s="3055" t="s">
        <v>3217</v>
      </c>
      <c r="H28" s="3055">
        <v>3727</v>
      </c>
      <c r="I28" s="3055">
        <v>2981.6</v>
      </c>
      <c r="J28" s="3055" t="s">
        <v>3213</v>
      </c>
      <c r="K28" s="3055" t="s">
        <v>3118</v>
      </c>
      <c r="L28" s="3055" t="s">
        <v>3114</v>
      </c>
      <c r="M28" s="3055">
        <v>0</v>
      </c>
      <c r="N28" s="3055" t="s">
        <v>1298</v>
      </c>
      <c r="O28" s="3055" t="s">
        <v>3218</v>
      </c>
      <c r="P28" s="3055" t="s">
        <v>1298</v>
      </c>
      <c r="Q28" s="3055" t="s">
        <v>1298</v>
      </c>
      <c r="R28" s="3055" t="s">
        <v>1298</v>
      </c>
      <c r="S28" s="3055" t="s">
        <v>1298</v>
      </c>
      <c r="T28" s="3055" t="s">
        <v>1298</v>
      </c>
      <c r="U28" s="3055" t="s">
        <v>1298</v>
      </c>
      <c r="V28" s="3055" t="s">
        <v>1298</v>
      </c>
      <c r="W28" s="3055" t="s">
        <v>1298</v>
      </c>
      <c r="X28" s="3055" t="s">
        <v>3184</v>
      </c>
      <c r="Y28" s="3055" t="s">
        <v>3205</v>
      </c>
      <c r="Z28" s="3055" t="s">
        <v>3206</v>
      </c>
      <c r="AA28" s="3055" t="s">
        <v>3207</v>
      </c>
      <c r="AB28" s="3055" t="s">
        <v>3207</v>
      </c>
      <c r="AC28" s="3055" t="s">
        <v>3208</v>
      </c>
      <c r="AD28" s="3055" t="s">
        <v>3125</v>
      </c>
      <c r="AE28" s="3055" t="s">
        <v>3219</v>
      </c>
      <c r="AF28" s="3055" t="s">
        <v>1298</v>
      </c>
      <c r="AG28" s="3055">
        <v>85</v>
      </c>
      <c r="AH28" s="3055">
        <v>85</v>
      </c>
      <c r="AI28" s="3055">
        <v>85</v>
      </c>
      <c r="AJ28" s="3055">
        <v>15.2</v>
      </c>
      <c r="AK28" s="3055">
        <v>15.2</v>
      </c>
      <c r="AL28" s="3055">
        <v>285.08</v>
      </c>
      <c r="AM28" s="3055">
        <v>285.07</v>
      </c>
      <c r="AN28" s="3055" t="s">
        <v>1298</v>
      </c>
      <c r="AO28" s="3055" t="s">
        <v>1298</v>
      </c>
      <c r="AP28" s="3055">
        <v>0</v>
      </c>
      <c r="AQ28" s="3055" t="s">
        <v>3127</v>
      </c>
      <c r="AR28" s="3055" t="s">
        <v>1298</v>
      </c>
      <c r="AS28" s="3055" t="s">
        <v>1298</v>
      </c>
      <c r="AT28" s="3055" t="s">
        <v>1298</v>
      </c>
      <c r="AU28" s="3055" t="s">
        <v>3128</v>
      </c>
      <c r="AV28" s="3055">
        <f t="shared" si="0"/>
        <v>228</v>
      </c>
    </row>
    <row r="29" spans="1:48">
      <c r="A29" s="3055" t="s">
        <v>3220</v>
      </c>
      <c r="B29" s="3055" t="s">
        <v>3113</v>
      </c>
      <c r="C29" s="3055" t="s">
        <v>3114</v>
      </c>
      <c r="D29" s="3055" t="s">
        <v>3115</v>
      </c>
      <c r="E29" s="3055" t="s">
        <v>1298</v>
      </c>
      <c r="F29" s="3055" t="s">
        <v>3220</v>
      </c>
      <c r="G29" s="3055" t="s">
        <v>3221</v>
      </c>
      <c r="H29" s="3055">
        <v>203656.82</v>
      </c>
      <c r="I29" s="3055">
        <v>215876.23</v>
      </c>
      <c r="J29" s="3055" t="s">
        <v>3222</v>
      </c>
      <c r="K29" s="3055" t="s">
        <v>3118</v>
      </c>
      <c r="L29" s="3055" t="s">
        <v>3114</v>
      </c>
      <c r="M29" s="3055">
        <v>0</v>
      </c>
      <c r="N29" s="3055" t="s">
        <v>1298</v>
      </c>
      <c r="O29" s="3055" t="s">
        <v>3223</v>
      </c>
      <c r="P29" s="3055" t="s">
        <v>1298</v>
      </c>
      <c r="Q29" s="3055" t="s">
        <v>1298</v>
      </c>
      <c r="R29" s="3055" t="s">
        <v>1298</v>
      </c>
      <c r="S29" s="3055" t="s">
        <v>1298</v>
      </c>
      <c r="T29" s="3055" t="s">
        <v>1298</v>
      </c>
      <c r="U29" s="3055" t="s">
        <v>1298</v>
      </c>
      <c r="V29" s="3055" t="s">
        <v>1298</v>
      </c>
      <c r="W29" s="3055" t="s">
        <v>1298</v>
      </c>
      <c r="X29" s="3055" t="s">
        <v>3184</v>
      </c>
      <c r="Y29" s="3055" t="s">
        <v>3224</v>
      </c>
      <c r="Z29" s="3055" t="s">
        <v>3225</v>
      </c>
      <c r="AA29" s="3055" t="s">
        <v>3226</v>
      </c>
      <c r="AB29" s="3055" t="s">
        <v>3226</v>
      </c>
      <c r="AC29" s="3055" t="s">
        <v>3227</v>
      </c>
      <c r="AD29" s="3055" t="s">
        <v>3125</v>
      </c>
      <c r="AE29" s="3055" t="s">
        <v>3228</v>
      </c>
      <c r="AF29" s="3055" t="s">
        <v>1298</v>
      </c>
      <c r="AG29" s="3055">
        <v>1900</v>
      </c>
      <c r="AH29" s="3055">
        <v>3613</v>
      </c>
      <c r="AI29" s="3055">
        <v>3613</v>
      </c>
      <c r="AJ29" s="3055">
        <v>11.83</v>
      </c>
      <c r="AK29" s="3055">
        <v>11.83</v>
      </c>
      <c r="AL29" s="3055">
        <v>167.36</v>
      </c>
      <c r="AM29" s="3055">
        <v>167.36</v>
      </c>
      <c r="AN29" s="3055" t="s">
        <v>1298</v>
      </c>
      <c r="AO29" s="3055" t="s">
        <v>1298</v>
      </c>
      <c r="AP29" s="3055">
        <v>0</v>
      </c>
      <c r="AQ29" s="3055" t="s">
        <v>3127</v>
      </c>
      <c r="AR29" s="3055" t="s">
        <v>1298</v>
      </c>
      <c r="AS29" s="3055" t="s">
        <v>1298</v>
      </c>
      <c r="AT29" s="3055" t="s">
        <v>1298</v>
      </c>
      <c r="AU29" s="3055" t="s">
        <v>3128</v>
      </c>
      <c r="AV29" s="3055">
        <f t="shared" si="0"/>
        <v>177</v>
      </c>
    </row>
    <row r="30" spans="1:48">
      <c r="A30" s="3055" t="s">
        <v>3229</v>
      </c>
      <c r="B30" s="3055" t="s">
        <v>3113</v>
      </c>
      <c r="C30" s="3055" t="s">
        <v>3114</v>
      </c>
      <c r="D30" s="3055" t="s">
        <v>3115</v>
      </c>
      <c r="E30" s="3055" t="s">
        <v>1298</v>
      </c>
      <c r="F30" s="3055" t="s">
        <v>3229</v>
      </c>
      <c r="G30" s="3055" t="s">
        <v>3230</v>
      </c>
      <c r="H30" s="3055">
        <v>5120</v>
      </c>
      <c r="I30" s="3055">
        <v>3584</v>
      </c>
      <c r="J30" s="3055" t="s">
        <v>3231</v>
      </c>
      <c r="K30" s="3055" t="s">
        <v>3118</v>
      </c>
      <c r="L30" s="3055" t="s">
        <v>3114</v>
      </c>
      <c r="M30" s="3055">
        <v>0</v>
      </c>
      <c r="N30" s="3055" t="s">
        <v>1298</v>
      </c>
      <c r="O30" s="3055" t="s">
        <v>3161</v>
      </c>
      <c r="P30" s="3055" t="s">
        <v>1298</v>
      </c>
      <c r="Q30" s="3055" t="s">
        <v>1298</v>
      </c>
      <c r="R30" s="3055" t="s">
        <v>1298</v>
      </c>
      <c r="S30" s="3055" t="s">
        <v>1298</v>
      </c>
      <c r="T30" s="3055" t="s">
        <v>1298</v>
      </c>
      <c r="U30" s="3055" t="s">
        <v>1298</v>
      </c>
      <c r="V30" s="3055" t="s">
        <v>1298</v>
      </c>
      <c r="W30" s="3055" t="s">
        <v>1298</v>
      </c>
      <c r="X30" s="3055" t="s">
        <v>3184</v>
      </c>
      <c r="Y30" s="3055" t="s">
        <v>3232</v>
      </c>
      <c r="Z30" s="3055" t="s">
        <v>3233</v>
      </c>
      <c r="AA30" s="3055" t="s">
        <v>3234</v>
      </c>
      <c r="AB30" s="3055" t="s">
        <v>3234</v>
      </c>
      <c r="AC30" s="3055" t="s">
        <v>3235</v>
      </c>
      <c r="AD30" s="3055" t="s">
        <v>3125</v>
      </c>
      <c r="AE30" s="3055" t="s">
        <v>3236</v>
      </c>
      <c r="AF30" s="3055" t="s">
        <v>1298</v>
      </c>
      <c r="AG30" s="3055">
        <v>101</v>
      </c>
      <c r="AH30" s="3055">
        <v>101</v>
      </c>
      <c r="AI30" s="3055">
        <v>101</v>
      </c>
      <c r="AJ30" s="3055">
        <v>13.15</v>
      </c>
      <c r="AK30" s="3055">
        <v>13.15</v>
      </c>
      <c r="AL30" s="3055">
        <v>281.8</v>
      </c>
      <c r="AM30" s="3055">
        <v>281.81</v>
      </c>
      <c r="AN30" s="3055" t="s">
        <v>1298</v>
      </c>
      <c r="AO30" s="3055" t="s">
        <v>1298</v>
      </c>
      <c r="AP30" s="3055">
        <v>0</v>
      </c>
      <c r="AQ30" s="3055" t="s">
        <v>3127</v>
      </c>
      <c r="AR30" s="3055" t="s">
        <v>1298</v>
      </c>
      <c r="AS30" s="3055" t="s">
        <v>1298</v>
      </c>
      <c r="AT30" s="3055" t="s">
        <v>1298</v>
      </c>
      <c r="AU30" s="3055" t="s">
        <v>3128</v>
      </c>
      <c r="AV30" s="3055">
        <f t="shared" si="0"/>
        <v>197</v>
      </c>
    </row>
    <row r="31" spans="1:48">
      <c r="A31" s="3055" t="s">
        <v>3237</v>
      </c>
      <c r="B31" s="3055" t="s">
        <v>3113</v>
      </c>
      <c r="C31" s="3055" t="s">
        <v>3114</v>
      </c>
      <c r="D31" s="3055" t="s">
        <v>3115</v>
      </c>
      <c r="E31" s="3055" t="s">
        <v>1298</v>
      </c>
      <c r="F31" s="3055" t="s">
        <v>3237</v>
      </c>
      <c r="G31" s="3055" t="s">
        <v>3238</v>
      </c>
      <c r="H31" s="3055">
        <v>115091.86</v>
      </c>
      <c r="I31" s="3055">
        <v>115091.86</v>
      </c>
      <c r="J31" s="3055" t="s">
        <v>3239</v>
      </c>
      <c r="K31" s="3055" t="s">
        <v>3118</v>
      </c>
      <c r="L31" s="3055" t="s">
        <v>3114</v>
      </c>
      <c r="M31" s="3055">
        <v>0</v>
      </c>
      <c r="N31" s="3055" t="s">
        <v>1298</v>
      </c>
      <c r="O31" s="3055" t="s">
        <v>3161</v>
      </c>
      <c r="P31" s="3055" t="s">
        <v>1298</v>
      </c>
      <c r="Q31" s="3055" t="s">
        <v>1298</v>
      </c>
      <c r="R31" s="3055" t="s">
        <v>1298</v>
      </c>
      <c r="S31" s="3055" t="s">
        <v>1298</v>
      </c>
      <c r="T31" s="3055" t="s">
        <v>1298</v>
      </c>
      <c r="U31" s="3055" t="s">
        <v>1298</v>
      </c>
      <c r="V31" s="3055" t="s">
        <v>1298</v>
      </c>
      <c r="W31" s="3055" t="s">
        <v>1298</v>
      </c>
      <c r="X31" s="3055" t="s">
        <v>3184</v>
      </c>
      <c r="Y31" s="3055" t="s">
        <v>3232</v>
      </c>
      <c r="Z31" s="3055" t="s">
        <v>3233</v>
      </c>
      <c r="AA31" s="3055" t="s">
        <v>3234</v>
      </c>
      <c r="AB31" s="3055" t="s">
        <v>3234</v>
      </c>
      <c r="AC31" s="3055" t="s">
        <v>3235</v>
      </c>
      <c r="AD31" s="3055" t="s">
        <v>3125</v>
      </c>
      <c r="AE31" s="3055" t="s">
        <v>3240</v>
      </c>
      <c r="AF31" s="3055" t="s">
        <v>1298</v>
      </c>
      <c r="AG31" s="3055">
        <v>2177</v>
      </c>
      <c r="AH31" s="3055">
        <v>2177</v>
      </c>
      <c r="AI31" s="3055">
        <v>2177</v>
      </c>
      <c r="AJ31" s="3055">
        <v>12.61</v>
      </c>
      <c r="AK31" s="3055">
        <v>12.61</v>
      </c>
      <c r="AL31" s="3055">
        <v>189.15</v>
      </c>
      <c r="AM31" s="3055">
        <v>189.15</v>
      </c>
      <c r="AN31" s="3055" t="s">
        <v>1298</v>
      </c>
      <c r="AO31" s="3055" t="s">
        <v>1298</v>
      </c>
      <c r="AP31" s="3055">
        <v>0</v>
      </c>
      <c r="AQ31" s="3055" t="s">
        <v>3127</v>
      </c>
      <c r="AR31" s="3055" t="s">
        <v>1298</v>
      </c>
      <c r="AS31" s="3055" t="s">
        <v>1298</v>
      </c>
      <c r="AT31" s="3055" t="s">
        <v>1298</v>
      </c>
      <c r="AU31" s="3055" t="s">
        <v>3128</v>
      </c>
      <c r="AV31" s="3055">
        <f t="shared" si="0"/>
        <v>189</v>
      </c>
    </row>
    <row r="32" spans="1:48">
      <c r="A32" s="3055" t="s">
        <v>3241</v>
      </c>
      <c r="B32" s="3055" t="s">
        <v>3113</v>
      </c>
      <c r="C32" s="3055" t="s">
        <v>3114</v>
      </c>
      <c r="D32" s="3055" t="s">
        <v>3115</v>
      </c>
      <c r="E32" s="3055" t="s">
        <v>1298</v>
      </c>
      <c r="F32" s="3055" t="s">
        <v>3241</v>
      </c>
      <c r="G32" s="3055" t="s">
        <v>3242</v>
      </c>
      <c r="H32" s="3055">
        <v>19330</v>
      </c>
      <c r="I32" s="3055">
        <v>15464</v>
      </c>
      <c r="J32" s="3055" t="s">
        <v>3117</v>
      </c>
      <c r="K32" s="3055" t="s">
        <v>3118</v>
      </c>
      <c r="L32" s="3055" t="s">
        <v>3114</v>
      </c>
      <c r="M32" s="3055">
        <v>0</v>
      </c>
      <c r="N32" s="3055" t="s">
        <v>1298</v>
      </c>
      <c r="O32" s="3055" t="s">
        <v>3119</v>
      </c>
      <c r="P32" s="3055" t="s">
        <v>1298</v>
      </c>
      <c r="Q32" s="3055" t="s">
        <v>1298</v>
      </c>
      <c r="R32" s="3055" t="s">
        <v>1298</v>
      </c>
      <c r="S32" s="3055" t="s">
        <v>1298</v>
      </c>
      <c r="T32" s="3055" t="s">
        <v>1298</v>
      </c>
      <c r="U32" s="3055" t="s">
        <v>1298</v>
      </c>
      <c r="V32" s="3055" t="s">
        <v>1298</v>
      </c>
      <c r="W32" s="3055" t="s">
        <v>1298</v>
      </c>
      <c r="X32" s="3055" t="s">
        <v>3184</v>
      </c>
      <c r="Y32" s="3055" t="s">
        <v>3243</v>
      </c>
      <c r="Z32" s="3055" t="s">
        <v>3244</v>
      </c>
      <c r="AA32" s="3055" t="s">
        <v>3245</v>
      </c>
      <c r="AB32" s="3055" t="s">
        <v>3245</v>
      </c>
      <c r="AC32" s="3055" t="s">
        <v>3246</v>
      </c>
      <c r="AD32" s="3055" t="s">
        <v>3125</v>
      </c>
      <c r="AE32" s="3055" t="s">
        <v>3247</v>
      </c>
      <c r="AF32" s="3055" t="s">
        <v>1298</v>
      </c>
      <c r="AG32" s="3055">
        <v>357</v>
      </c>
      <c r="AH32" s="3055">
        <v>357</v>
      </c>
      <c r="AI32" s="3055">
        <v>357</v>
      </c>
      <c r="AJ32" s="3055">
        <v>12.31</v>
      </c>
      <c r="AK32" s="3055">
        <v>12.31</v>
      </c>
      <c r="AL32" s="3055">
        <v>230.85</v>
      </c>
      <c r="AM32" s="3055">
        <v>230.86</v>
      </c>
      <c r="AN32" s="3055" t="s">
        <v>1298</v>
      </c>
      <c r="AO32" s="3055" t="s">
        <v>1298</v>
      </c>
      <c r="AP32" s="3055">
        <v>0</v>
      </c>
      <c r="AQ32" s="3055" t="s">
        <v>3127</v>
      </c>
      <c r="AR32" s="3055" t="s">
        <v>1298</v>
      </c>
      <c r="AS32" s="3055" t="s">
        <v>1298</v>
      </c>
      <c r="AT32" s="3055" t="s">
        <v>1298</v>
      </c>
      <c r="AU32" s="3055" t="s">
        <v>3128</v>
      </c>
      <c r="AV32" s="3055">
        <f t="shared" si="0"/>
        <v>185</v>
      </c>
    </row>
    <row r="33" spans="1:48">
      <c r="A33" s="3055" t="s">
        <v>3216</v>
      </c>
      <c r="B33" s="3055" t="s">
        <v>3113</v>
      </c>
      <c r="C33" s="3055" t="s">
        <v>3114</v>
      </c>
      <c r="D33" s="3055" t="s">
        <v>3115</v>
      </c>
      <c r="E33" s="3055" t="s">
        <v>1298</v>
      </c>
      <c r="F33" s="3055" t="s">
        <v>3216</v>
      </c>
      <c r="G33" s="3055" t="s">
        <v>3248</v>
      </c>
      <c r="H33" s="3055">
        <v>4326</v>
      </c>
      <c r="I33" s="3055">
        <v>3460.8</v>
      </c>
      <c r="J33" s="3055" t="s">
        <v>3213</v>
      </c>
      <c r="K33" s="3055" t="s">
        <v>3118</v>
      </c>
      <c r="L33" s="3055" t="s">
        <v>3114</v>
      </c>
      <c r="M33" s="3055">
        <v>0</v>
      </c>
      <c r="N33" s="3055" t="s">
        <v>1298</v>
      </c>
      <c r="O33" s="3055" t="s">
        <v>3218</v>
      </c>
      <c r="P33" s="3055" t="s">
        <v>1298</v>
      </c>
      <c r="Q33" s="3055" t="s">
        <v>1298</v>
      </c>
      <c r="R33" s="3055" t="s">
        <v>1298</v>
      </c>
      <c r="S33" s="3055" t="s">
        <v>1298</v>
      </c>
      <c r="T33" s="3055" t="s">
        <v>1298</v>
      </c>
      <c r="U33" s="3055" t="s">
        <v>1298</v>
      </c>
      <c r="V33" s="3055" t="s">
        <v>1298</v>
      </c>
      <c r="W33" s="3055" t="s">
        <v>1298</v>
      </c>
      <c r="X33" s="3055" t="s">
        <v>3184</v>
      </c>
      <c r="Y33" s="3055" t="s">
        <v>3249</v>
      </c>
      <c r="Z33" s="3055" t="s">
        <v>3250</v>
      </c>
      <c r="AA33" s="3055" t="s">
        <v>3251</v>
      </c>
      <c r="AB33" s="3055" t="s">
        <v>3251</v>
      </c>
      <c r="AC33" s="3055" t="s">
        <v>3252</v>
      </c>
      <c r="AD33" s="3055" t="s">
        <v>3125</v>
      </c>
      <c r="AE33" s="3055" t="s">
        <v>3253</v>
      </c>
      <c r="AF33" s="3055" t="s">
        <v>1298</v>
      </c>
      <c r="AG33" s="3055">
        <v>97</v>
      </c>
      <c r="AH33" s="3055">
        <v>97</v>
      </c>
      <c r="AI33" s="3055">
        <v>97</v>
      </c>
      <c r="AJ33" s="3055">
        <v>14.95</v>
      </c>
      <c r="AK33" s="3055">
        <v>14.95</v>
      </c>
      <c r="AL33" s="3055">
        <v>280.27999999999997</v>
      </c>
      <c r="AM33" s="3055">
        <v>280.27</v>
      </c>
      <c r="AN33" s="3055" t="s">
        <v>1298</v>
      </c>
      <c r="AO33" s="3055" t="s">
        <v>1298</v>
      </c>
      <c r="AP33" s="3055">
        <v>0</v>
      </c>
      <c r="AQ33" s="3055" t="s">
        <v>3127</v>
      </c>
      <c r="AR33" s="3055" t="s">
        <v>1298</v>
      </c>
      <c r="AS33" s="3055" t="s">
        <v>1298</v>
      </c>
      <c r="AT33" s="3055" t="s">
        <v>1298</v>
      </c>
      <c r="AU33" s="3055" t="s">
        <v>3128</v>
      </c>
      <c r="AV33" s="3055">
        <f t="shared" si="0"/>
        <v>224</v>
      </c>
    </row>
    <row r="34" spans="1:48">
      <c r="A34" s="3055" t="s">
        <v>3254</v>
      </c>
      <c r="B34" s="3055" t="s">
        <v>3113</v>
      </c>
      <c r="C34" s="3055" t="s">
        <v>3114</v>
      </c>
      <c r="D34" s="3055" t="s">
        <v>3115</v>
      </c>
      <c r="E34" s="3055" t="s">
        <v>1298</v>
      </c>
      <c r="F34" s="3055" t="s">
        <v>3254</v>
      </c>
      <c r="G34" s="3055" t="s">
        <v>3255</v>
      </c>
      <c r="H34" s="3055">
        <v>4022</v>
      </c>
      <c r="I34" s="3055">
        <v>3217.6</v>
      </c>
      <c r="J34" s="3055" t="s">
        <v>3213</v>
      </c>
      <c r="K34" s="3055" t="s">
        <v>3118</v>
      </c>
      <c r="L34" s="3055" t="s">
        <v>3114</v>
      </c>
      <c r="M34" s="3055">
        <v>0</v>
      </c>
      <c r="N34" s="3055" t="s">
        <v>1298</v>
      </c>
      <c r="O34" s="3055" t="s">
        <v>3218</v>
      </c>
      <c r="P34" s="3055" t="s">
        <v>1298</v>
      </c>
      <c r="Q34" s="3055" t="s">
        <v>1298</v>
      </c>
      <c r="R34" s="3055" t="s">
        <v>1298</v>
      </c>
      <c r="S34" s="3055" t="s">
        <v>1298</v>
      </c>
      <c r="T34" s="3055" t="s">
        <v>1298</v>
      </c>
      <c r="U34" s="3055" t="s">
        <v>1298</v>
      </c>
      <c r="V34" s="3055" t="s">
        <v>1298</v>
      </c>
      <c r="W34" s="3055" t="s">
        <v>1298</v>
      </c>
      <c r="X34" s="3055" t="s">
        <v>3184</v>
      </c>
      <c r="Y34" s="3055" t="s">
        <v>3249</v>
      </c>
      <c r="Z34" s="3055" t="s">
        <v>3250</v>
      </c>
      <c r="AA34" s="3055" t="s">
        <v>3251</v>
      </c>
      <c r="AB34" s="3055" t="s">
        <v>3251</v>
      </c>
      <c r="AC34" s="3055" t="s">
        <v>3252</v>
      </c>
      <c r="AD34" s="3055" t="s">
        <v>3125</v>
      </c>
      <c r="AE34" s="3055" t="s">
        <v>3256</v>
      </c>
      <c r="AF34" s="3055" t="s">
        <v>1298</v>
      </c>
      <c r="AG34" s="3055">
        <v>85</v>
      </c>
      <c r="AH34" s="3055">
        <v>85</v>
      </c>
      <c r="AI34" s="3055">
        <v>85</v>
      </c>
      <c r="AJ34" s="3055">
        <v>14.09</v>
      </c>
      <c r="AK34" s="3055">
        <v>14.09</v>
      </c>
      <c r="AL34" s="3055">
        <v>264.17</v>
      </c>
      <c r="AM34" s="3055">
        <v>264.17</v>
      </c>
      <c r="AN34" s="3055" t="s">
        <v>1298</v>
      </c>
      <c r="AO34" s="3055" t="s">
        <v>1298</v>
      </c>
      <c r="AP34" s="3055">
        <v>0</v>
      </c>
      <c r="AQ34" s="3055" t="s">
        <v>3127</v>
      </c>
      <c r="AR34" s="3055" t="s">
        <v>1298</v>
      </c>
      <c r="AS34" s="3055" t="s">
        <v>1298</v>
      </c>
      <c r="AT34" s="3055" t="s">
        <v>1298</v>
      </c>
      <c r="AU34" s="3055" t="s">
        <v>3128</v>
      </c>
      <c r="AV34" s="3055">
        <f t="shared" si="0"/>
        <v>211</v>
      </c>
    </row>
    <row r="35" spans="1:48">
      <c r="A35" s="3055" t="s">
        <v>3254</v>
      </c>
      <c r="B35" s="3055" t="s">
        <v>3113</v>
      </c>
      <c r="C35" s="3055" t="s">
        <v>3114</v>
      </c>
      <c r="D35" s="3055" t="s">
        <v>3115</v>
      </c>
      <c r="E35" s="3055" t="s">
        <v>1298</v>
      </c>
      <c r="F35" s="3055" t="s">
        <v>3254</v>
      </c>
      <c r="G35" s="3055" t="s">
        <v>3255</v>
      </c>
      <c r="H35" s="3055">
        <v>4022</v>
      </c>
      <c r="I35" s="3055">
        <v>3217.6</v>
      </c>
      <c r="J35" s="3055" t="s">
        <v>3213</v>
      </c>
      <c r="K35" s="3055" t="s">
        <v>3118</v>
      </c>
      <c r="L35" s="3055" t="s">
        <v>3114</v>
      </c>
      <c r="M35" s="3055">
        <v>0</v>
      </c>
      <c r="N35" s="3055" t="s">
        <v>1298</v>
      </c>
      <c r="O35" s="3055" t="s">
        <v>3218</v>
      </c>
      <c r="P35" s="3055" t="s">
        <v>1298</v>
      </c>
      <c r="Q35" s="3055" t="s">
        <v>1298</v>
      </c>
      <c r="R35" s="3055" t="s">
        <v>1298</v>
      </c>
      <c r="S35" s="3055" t="s">
        <v>1298</v>
      </c>
      <c r="T35" s="3055" t="s">
        <v>1298</v>
      </c>
      <c r="U35" s="3055" t="s">
        <v>1298</v>
      </c>
      <c r="V35" s="3055" t="s">
        <v>1298</v>
      </c>
      <c r="W35" s="3055" t="s">
        <v>1298</v>
      </c>
      <c r="X35" s="3055" t="s">
        <v>3184</v>
      </c>
      <c r="Y35" s="3055" t="s">
        <v>3257</v>
      </c>
      <c r="Z35" s="3055" t="s">
        <v>3258</v>
      </c>
      <c r="AA35" s="3055" t="s">
        <v>3259</v>
      </c>
      <c r="AB35" s="3055" t="s">
        <v>3251</v>
      </c>
      <c r="AC35" s="3055" t="s">
        <v>3260</v>
      </c>
      <c r="AD35" s="3055" t="s">
        <v>3125</v>
      </c>
      <c r="AE35" s="3055" t="s">
        <v>3256</v>
      </c>
      <c r="AF35" s="3055" t="s">
        <v>1298</v>
      </c>
      <c r="AG35" s="3055">
        <v>43</v>
      </c>
      <c r="AH35" s="3055">
        <v>85</v>
      </c>
      <c r="AI35" s="3055">
        <v>85</v>
      </c>
      <c r="AJ35" s="3055">
        <v>14.09</v>
      </c>
      <c r="AK35" s="3055">
        <v>14.09</v>
      </c>
      <c r="AL35" s="3055">
        <v>264.17</v>
      </c>
      <c r="AM35" s="3055">
        <v>264.17</v>
      </c>
      <c r="AN35" s="3055" t="s">
        <v>1298</v>
      </c>
      <c r="AO35" s="3055" t="s">
        <v>1298</v>
      </c>
      <c r="AP35" s="3055">
        <v>0</v>
      </c>
      <c r="AQ35" s="3055" t="s">
        <v>3127</v>
      </c>
      <c r="AR35" s="3055" t="s">
        <v>1298</v>
      </c>
      <c r="AS35" s="3055" t="s">
        <v>1298</v>
      </c>
      <c r="AT35" s="3055" t="s">
        <v>1298</v>
      </c>
      <c r="AU35" s="3055" t="s">
        <v>3128</v>
      </c>
      <c r="AV35" s="3055">
        <f t="shared" si="0"/>
        <v>211</v>
      </c>
    </row>
    <row r="36" spans="1:48">
      <c r="A36" s="3055" t="s">
        <v>3261</v>
      </c>
      <c r="B36" s="3055" t="s">
        <v>3113</v>
      </c>
      <c r="C36" s="3055" t="s">
        <v>3114</v>
      </c>
      <c r="D36" s="3055" t="s">
        <v>3115</v>
      </c>
      <c r="E36" s="3055" t="s">
        <v>1298</v>
      </c>
      <c r="F36" s="3055" t="s">
        <v>3261</v>
      </c>
      <c r="G36" s="3055" t="s">
        <v>3262</v>
      </c>
      <c r="H36" s="3055">
        <v>6480</v>
      </c>
      <c r="I36" s="3055">
        <v>5184</v>
      </c>
      <c r="J36" s="3055" t="s">
        <v>3213</v>
      </c>
      <c r="K36" s="3055" t="s">
        <v>3118</v>
      </c>
      <c r="L36" s="3055" t="s">
        <v>3114</v>
      </c>
      <c r="M36" s="3055">
        <v>0</v>
      </c>
      <c r="N36" s="3055" t="s">
        <v>1298</v>
      </c>
      <c r="O36" s="3055" t="s">
        <v>3214</v>
      </c>
      <c r="P36" s="3055" t="s">
        <v>1298</v>
      </c>
      <c r="Q36" s="3055" t="s">
        <v>1298</v>
      </c>
      <c r="R36" s="3055" t="s">
        <v>1298</v>
      </c>
      <c r="S36" s="3055" t="s">
        <v>1298</v>
      </c>
      <c r="T36" s="3055" t="s">
        <v>1298</v>
      </c>
      <c r="U36" s="3055" t="s">
        <v>1298</v>
      </c>
      <c r="V36" s="3055" t="s">
        <v>1298</v>
      </c>
      <c r="W36" s="3055" t="s">
        <v>1298</v>
      </c>
      <c r="X36" s="3055" t="s">
        <v>3184</v>
      </c>
      <c r="Y36" s="3055" t="s">
        <v>3249</v>
      </c>
      <c r="Z36" s="3055" t="s">
        <v>3250</v>
      </c>
      <c r="AA36" s="3055" t="s">
        <v>3251</v>
      </c>
      <c r="AB36" s="3055" t="s">
        <v>3251</v>
      </c>
      <c r="AC36" s="3055" t="s">
        <v>3252</v>
      </c>
      <c r="AD36" s="3055" t="s">
        <v>3125</v>
      </c>
      <c r="AE36" s="3055" t="s">
        <v>3263</v>
      </c>
      <c r="AF36" s="3055" t="s">
        <v>1298</v>
      </c>
      <c r="AG36" s="3055">
        <v>140</v>
      </c>
      <c r="AH36" s="3055">
        <v>140</v>
      </c>
      <c r="AI36" s="3055">
        <v>140</v>
      </c>
      <c r="AJ36" s="3055">
        <v>14.4</v>
      </c>
      <c r="AK36" s="3055">
        <v>14.4</v>
      </c>
      <c r="AL36" s="3055">
        <v>270.06</v>
      </c>
      <c r="AM36" s="3055">
        <v>270.06</v>
      </c>
      <c r="AN36" s="3055" t="s">
        <v>1298</v>
      </c>
      <c r="AO36" s="3055" t="s">
        <v>1298</v>
      </c>
      <c r="AP36" s="3055">
        <v>0</v>
      </c>
      <c r="AQ36" s="3055" t="s">
        <v>3127</v>
      </c>
      <c r="AR36" s="3055" t="s">
        <v>1298</v>
      </c>
      <c r="AS36" s="3055" t="s">
        <v>1298</v>
      </c>
      <c r="AT36" s="3055" t="s">
        <v>1298</v>
      </c>
      <c r="AU36" s="3055" t="s">
        <v>3128</v>
      </c>
      <c r="AV36" s="3055">
        <f t="shared" si="0"/>
        <v>216</v>
      </c>
    </row>
    <row r="37" spans="1:48">
      <c r="A37" s="3055" t="s">
        <v>3112</v>
      </c>
      <c r="B37" s="3055" t="s">
        <v>3113</v>
      </c>
      <c r="C37" s="3055" t="s">
        <v>3114</v>
      </c>
      <c r="D37" s="3055" t="s">
        <v>3115</v>
      </c>
      <c r="E37" s="3055" t="s">
        <v>1298</v>
      </c>
      <c r="F37" s="3055" t="s">
        <v>3112</v>
      </c>
      <c r="G37" s="3055" t="s">
        <v>3264</v>
      </c>
      <c r="H37" s="3055">
        <v>15973</v>
      </c>
      <c r="I37" s="3055">
        <v>12778.4</v>
      </c>
      <c r="J37" s="3055" t="s">
        <v>3117</v>
      </c>
      <c r="K37" s="3055" t="s">
        <v>3118</v>
      </c>
      <c r="L37" s="3055" t="s">
        <v>3114</v>
      </c>
      <c r="M37" s="3055">
        <v>0</v>
      </c>
      <c r="N37" s="3055" t="s">
        <v>1298</v>
      </c>
      <c r="O37" s="3055" t="s">
        <v>3119</v>
      </c>
      <c r="P37" s="3055" t="s">
        <v>1298</v>
      </c>
      <c r="Q37" s="3055" t="s">
        <v>1298</v>
      </c>
      <c r="R37" s="3055" t="s">
        <v>1298</v>
      </c>
      <c r="S37" s="3055" t="s">
        <v>1298</v>
      </c>
      <c r="T37" s="3055" t="s">
        <v>1298</v>
      </c>
      <c r="U37" s="3055" t="s">
        <v>1298</v>
      </c>
      <c r="V37" s="3055" t="s">
        <v>1298</v>
      </c>
      <c r="W37" s="3055" t="s">
        <v>1298</v>
      </c>
      <c r="X37" s="3055" t="s">
        <v>3184</v>
      </c>
      <c r="Y37" s="3055" t="s">
        <v>3249</v>
      </c>
      <c r="Z37" s="3055" t="s">
        <v>3250</v>
      </c>
      <c r="AA37" s="3055" t="s">
        <v>3251</v>
      </c>
      <c r="AB37" s="3055" t="s">
        <v>3251</v>
      </c>
      <c r="AC37" s="3055" t="s">
        <v>3252</v>
      </c>
      <c r="AD37" s="3055" t="s">
        <v>3125</v>
      </c>
      <c r="AE37" s="3055" t="s">
        <v>3265</v>
      </c>
      <c r="AF37" s="3055" t="s">
        <v>1298</v>
      </c>
      <c r="AG37" s="3055">
        <v>352</v>
      </c>
      <c r="AH37" s="3055">
        <v>352</v>
      </c>
      <c r="AI37" s="3055">
        <v>352</v>
      </c>
      <c r="AJ37" s="3055">
        <v>14.69</v>
      </c>
      <c r="AK37" s="3055">
        <v>14.69</v>
      </c>
      <c r="AL37" s="3055">
        <v>275.45999999999998</v>
      </c>
      <c r="AM37" s="3055">
        <v>275.45</v>
      </c>
      <c r="AN37" s="3055" t="s">
        <v>1298</v>
      </c>
      <c r="AO37" s="3055" t="s">
        <v>1298</v>
      </c>
      <c r="AP37" s="3055">
        <v>0</v>
      </c>
      <c r="AQ37" s="3055" t="s">
        <v>3127</v>
      </c>
      <c r="AR37" s="3055" t="s">
        <v>1298</v>
      </c>
      <c r="AS37" s="3055" t="s">
        <v>1298</v>
      </c>
      <c r="AT37" s="3055" t="s">
        <v>1298</v>
      </c>
      <c r="AU37" s="3055" t="s">
        <v>3128</v>
      </c>
      <c r="AV37" s="3055">
        <f t="shared" si="0"/>
        <v>220</v>
      </c>
    </row>
    <row r="38" spans="1:48">
      <c r="A38" s="3055" t="s">
        <v>3266</v>
      </c>
      <c r="B38" s="3055" t="s">
        <v>3113</v>
      </c>
      <c r="C38" s="3055" t="s">
        <v>3114</v>
      </c>
      <c r="D38" s="3055" t="s">
        <v>3115</v>
      </c>
      <c r="E38" s="3055" t="s">
        <v>1298</v>
      </c>
      <c r="F38" s="3055" t="s">
        <v>3266</v>
      </c>
      <c r="G38" s="3055" t="s">
        <v>3262</v>
      </c>
      <c r="H38" s="3055">
        <v>6480</v>
      </c>
      <c r="I38" s="3055">
        <v>5184</v>
      </c>
      <c r="J38" s="3055" t="s">
        <v>3213</v>
      </c>
      <c r="K38" s="3055" t="s">
        <v>3118</v>
      </c>
      <c r="L38" s="3055" t="s">
        <v>3114</v>
      </c>
      <c r="M38" s="3055">
        <v>0</v>
      </c>
      <c r="N38" s="3055" t="s">
        <v>1298</v>
      </c>
      <c r="O38" s="3055" t="s">
        <v>3214</v>
      </c>
      <c r="P38" s="3055" t="s">
        <v>1298</v>
      </c>
      <c r="Q38" s="3055" t="s">
        <v>1298</v>
      </c>
      <c r="R38" s="3055" t="s">
        <v>1298</v>
      </c>
      <c r="S38" s="3055" t="s">
        <v>1298</v>
      </c>
      <c r="T38" s="3055" t="s">
        <v>1298</v>
      </c>
      <c r="U38" s="3055" t="s">
        <v>1298</v>
      </c>
      <c r="V38" s="3055" t="s">
        <v>1298</v>
      </c>
      <c r="W38" s="3055" t="s">
        <v>1298</v>
      </c>
      <c r="X38" s="3055" t="s">
        <v>3184</v>
      </c>
      <c r="Y38" s="3055" t="s">
        <v>3267</v>
      </c>
      <c r="Z38" s="3055" t="s">
        <v>3268</v>
      </c>
      <c r="AA38" s="3055" t="s">
        <v>3269</v>
      </c>
      <c r="AB38" s="3055" t="s">
        <v>3251</v>
      </c>
      <c r="AC38" s="3055" t="s">
        <v>3270</v>
      </c>
      <c r="AD38" s="3055" t="s">
        <v>3125</v>
      </c>
      <c r="AE38" s="3055" t="s">
        <v>3263</v>
      </c>
      <c r="AF38" s="3055" t="s">
        <v>1298</v>
      </c>
      <c r="AG38" s="3055">
        <v>70</v>
      </c>
      <c r="AH38" s="3055">
        <v>140</v>
      </c>
      <c r="AI38" s="3055">
        <v>140</v>
      </c>
      <c r="AJ38" s="3055">
        <v>14.4</v>
      </c>
      <c r="AK38" s="3055">
        <v>14.4</v>
      </c>
      <c r="AL38" s="3055">
        <v>270.06</v>
      </c>
      <c r="AM38" s="3055">
        <v>270.06</v>
      </c>
      <c r="AN38" s="3055" t="s">
        <v>1298</v>
      </c>
      <c r="AO38" s="3055" t="s">
        <v>1298</v>
      </c>
      <c r="AP38" s="3055">
        <v>0</v>
      </c>
      <c r="AQ38" s="3055" t="s">
        <v>3127</v>
      </c>
      <c r="AR38" s="3055" t="s">
        <v>1298</v>
      </c>
      <c r="AS38" s="3055" t="s">
        <v>1298</v>
      </c>
      <c r="AT38" s="3055" t="s">
        <v>1298</v>
      </c>
      <c r="AU38" s="3055" t="s">
        <v>3128</v>
      </c>
      <c r="AV38" s="3055">
        <f t="shared" si="0"/>
        <v>216</v>
      </c>
    </row>
    <row r="39" spans="1:48">
      <c r="A39" s="3055" t="s">
        <v>3216</v>
      </c>
      <c r="B39" s="3055" t="s">
        <v>3113</v>
      </c>
      <c r="C39" s="3055" t="s">
        <v>3114</v>
      </c>
      <c r="D39" s="3055" t="s">
        <v>3115</v>
      </c>
      <c r="E39" s="3055" t="s">
        <v>1298</v>
      </c>
      <c r="F39" s="3055" t="s">
        <v>3216</v>
      </c>
      <c r="G39" s="3055" t="s">
        <v>3271</v>
      </c>
      <c r="H39" s="3055">
        <v>3952</v>
      </c>
      <c r="I39" s="3055">
        <v>3161.6</v>
      </c>
      <c r="J39" s="3055" t="s">
        <v>3213</v>
      </c>
      <c r="K39" s="3055" t="s">
        <v>3118</v>
      </c>
      <c r="L39" s="3055" t="s">
        <v>3114</v>
      </c>
      <c r="M39" s="3055">
        <v>0</v>
      </c>
      <c r="N39" s="3055" t="s">
        <v>1298</v>
      </c>
      <c r="O39" s="3055" t="s">
        <v>3218</v>
      </c>
      <c r="P39" s="3055" t="s">
        <v>1298</v>
      </c>
      <c r="Q39" s="3055" t="s">
        <v>1298</v>
      </c>
      <c r="R39" s="3055" t="s">
        <v>1298</v>
      </c>
      <c r="S39" s="3055" t="s">
        <v>1298</v>
      </c>
      <c r="T39" s="3055" t="s">
        <v>1298</v>
      </c>
      <c r="U39" s="3055" t="s">
        <v>1298</v>
      </c>
      <c r="V39" s="3055" t="s">
        <v>1298</v>
      </c>
      <c r="W39" s="3055" t="s">
        <v>1298</v>
      </c>
      <c r="X39" s="3055" t="s">
        <v>3184</v>
      </c>
      <c r="Y39" s="3055" t="s">
        <v>3272</v>
      </c>
      <c r="Z39" s="3055" t="s">
        <v>3273</v>
      </c>
      <c r="AA39" s="3055" t="s">
        <v>3250</v>
      </c>
      <c r="AB39" s="3055" t="s">
        <v>3250</v>
      </c>
      <c r="AC39" s="3055" t="s">
        <v>3274</v>
      </c>
      <c r="AD39" s="3055" t="s">
        <v>3125</v>
      </c>
      <c r="AE39" s="3055" t="s">
        <v>3275</v>
      </c>
      <c r="AF39" s="3055" t="s">
        <v>1298</v>
      </c>
      <c r="AG39" s="3055">
        <v>90</v>
      </c>
      <c r="AH39" s="3055">
        <v>90</v>
      </c>
      <c r="AI39" s="3055">
        <v>90</v>
      </c>
      <c r="AJ39" s="3055">
        <v>15.18</v>
      </c>
      <c r="AK39" s="3055">
        <v>15.18</v>
      </c>
      <c r="AL39" s="3055">
        <v>284.66000000000003</v>
      </c>
      <c r="AM39" s="3055">
        <v>284.67</v>
      </c>
      <c r="AN39" s="3055" t="s">
        <v>1298</v>
      </c>
      <c r="AO39" s="3055" t="s">
        <v>1298</v>
      </c>
      <c r="AP39" s="3055">
        <v>0</v>
      </c>
      <c r="AQ39" s="3055" t="s">
        <v>3127</v>
      </c>
      <c r="AR39" s="3055" t="s">
        <v>1298</v>
      </c>
      <c r="AS39" s="3055" t="s">
        <v>1298</v>
      </c>
      <c r="AT39" s="3055" t="s">
        <v>1298</v>
      </c>
      <c r="AU39" s="3055" t="s">
        <v>3128</v>
      </c>
      <c r="AV39" s="3055">
        <f t="shared" si="0"/>
        <v>228</v>
      </c>
    </row>
    <row r="40" spans="1:48">
      <c r="A40" s="3055" t="s">
        <v>3112</v>
      </c>
      <c r="B40" s="3055" t="s">
        <v>3113</v>
      </c>
      <c r="C40" s="3055" t="s">
        <v>3114</v>
      </c>
      <c r="D40" s="3055" t="s">
        <v>3115</v>
      </c>
      <c r="E40" s="3055" t="s">
        <v>1298</v>
      </c>
      <c r="F40" s="3055" t="s">
        <v>3112</v>
      </c>
      <c r="G40" s="3055" t="s">
        <v>3276</v>
      </c>
      <c r="H40" s="3055">
        <v>26648</v>
      </c>
      <c r="I40" s="3055">
        <v>21318.400000000001</v>
      </c>
      <c r="J40" s="3055" t="s">
        <v>3117</v>
      </c>
      <c r="K40" s="3055" t="s">
        <v>3118</v>
      </c>
      <c r="L40" s="3055" t="s">
        <v>3114</v>
      </c>
      <c r="M40" s="3055">
        <v>0</v>
      </c>
      <c r="N40" s="3055" t="s">
        <v>1298</v>
      </c>
      <c r="O40" s="3055" t="s">
        <v>3119</v>
      </c>
      <c r="P40" s="3055" t="s">
        <v>1298</v>
      </c>
      <c r="Q40" s="3055" t="s">
        <v>1298</v>
      </c>
      <c r="R40" s="3055" t="s">
        <v>1298</v>
      </c>
      <c r="S40" s="3055" t="s">
        <v>1298</v>
      </c>
      <c r="T40" s="3055" t="s">
        <v>1298</v>
      </c>
      <c r="U40" s="3055" t="s">
        <v>1298</v>
      </c>
      <c r="V40" s="3055" t="s">
        <v>1298</v>
      </c>
      <c r="W40" s="3055" t="s">
        <v>1298</v>
      </c>
      <c r="X40" s="3055" t="s">
        <v>3184</v>
      </c>
      <c r="Y40" s="3055" t="s">
        <v>3277</v>
      </c>
      <c r="Z40" s="3055" t="s">
        <v>3278</v>
      </c>
      <c r="AA40" s="3055" t="s">
        <v>3279</v>
      </c>
      <c r="AB40" s="3055" t="s">
        <v>3279</v>
      </c>
      <c r="AC40" s="3055" t="s">
        <v>3280</v>
      </c>
      <c r="AD40" s="3055" t="s">
        <v>3125</v>
      </c>
      <c r="AE40" s="3055" t="s">
        <v>3281</v>
      </c>
      <c r="AF40" s="3055" t="s">
        <v>1298</v>
      </c>
      <c r="AG40" s="3055">
        <v>584</v>
      </c>
      <c r="AH40" s="3055">
        <v>584</v>
      </c>
      <c r="AI40" s="3055">
        <v>584</v>
      </c>
      <c r="AJ40" s="3055">
        <v>14.61</v>
      </c>
      <c r="AK40" s="3055">
        <v>14.61</v>
      </c>
      <c r="AL40" s="3055">
        <v>273.94</v>
      </c>
      <c r="AM40" s="3055">
        <v>273.93</v>
      </c>
      <c r="AN40" s="3055" t="s">
        <v>1298</v>
      </c>
      <c r="AO40" s="3055" t="s">
        <v>1298</v>
      </c>
      <c r="AP40" s="3055">
        <v>0</v>
      </c>
      <c r="AQ40" s="3055" t="s">
        <v>3127</v>
      </c>
      <c r="AR40" s="3055" t="s">
        <v>1298</v>
      </c>
      <c r="AS40" s="3055" t="s">
        <v>1298</v>
      </c>
      <c r="AT40" s="3055" t="s">
        <v>1298</v>
      </c>
      <c r="AU40" s="3055" t="s">
        <v>3128</v>
      </c>
      <c r="AV40" s="3055">
        <f t="shared" si="0"/>
        <v>219</v>
      </c>
    </row>
    <row r="41" spans="1:48">
      <c r="A41" s="3055" t="s">
        <v>3112</v>
      </c>
      <c r="B41" s="3055" t="s">
        <v>3113</v>
      </c>
      <c r="C41" s="3055" t="s">
        <v>3114</v>
      </c>
      <c r="D41" s="3055" t="s">
        <v>3115</v>
      </c>
      <c r="E41" s="3055" t="s">
        <v>1298</v>
      </c>
      <c r="F41" s="3055" t="s">
        <v>3112</v>
      </c>
      <c r="G41" s="3055" t="s">
        <v>3282</v>
      </c>
      <c r="H41" s="3055">
        <v>16000</v>
      </c>
      <c r="I41" s="3055">
        <v>12800</v>
      </c>
      <c r="J41" s="3055" t="s">
        <v>3117</v>
      </c>
      <c r="K41" s="3055" t="s">
        <v>3118</v>
      </c>
      <c r="L41" s="3055" t="s">
        <v>3114</v>
      </c>
      <c r="M41" s="3055">
        <v>0</v>
      </c>
      <c r="N41" s="3055" t="s">
        <v>1298</v>
      </c>
      <c r="O41" s="3055" t="s">
        <v>3119</v>
      </c>
      <c r="P41" s="3055" t="s">
        <v>1298</v>
      </c>
      <c r="Q41" s="3055" t="s">
        <v>1298</v>
      </c>
      <c r="R41" s="3055" t="s">
        <v>1298</v>
      </c>
      <c r="S41" s="3055" t="s">
        <v>1298</v>
      </c>
      <c r="T41" s="3055" t="s">
        <v>1298</v>
      </c>
      <c r="U41" s="3055" t="s">
        <v>1298</v>
      </c>
      <c r="V41" s="3055" t="s">
        <v>1298</v>
      </c>
      <c r="W41" s="3055" t="s">
        <v>1298</v>
      </c>
      <c r="X41" s="3055" t="s">
        <v>3184</v>
      </c>
      <c r="Y41" s="3055" t="s">
        <v>3277</v>
      </c>
      <c r="Z41" s="3055" t="s">
        <v>3278</v>
      </c>
      <c r="AA41" s="3055" t="s">
        <v>3279</v>
      </c>
      <c r="AB41" s="3055" t="s">
        <v>3279</v>
      </c>
      <c r="AC41" s="3055" t="s">
        <v>3280</v>
      </c>
      <c r="AD41" s="3055" t="s">
        <v>3125</v>
      </c>
      <c r="AE41" s="3055" t="s">
        <v>3283</v>
      </c>
      <c r="AF41" s="3055" t="s">
        <v>1298</v>
      </c>
      <c r="AG41" s="3055">
        <v>353</v>
      </c>
      <c r="AH41" s="3055">
        <v>353</v>
      </c>
      <c r="AI41" s="3055">
        <v>353</v>
      </c>
      <c r="AJ41" s="3055">
        <v>14.71</v>
      </c>
      <c r="AK41" s="3055">
        <v>14.71</v>
      </c>
      <c r="AL41" s="3055">
        <v>275.77999999999997</v>
      </c>
      <c r="AM41" s="3055">
        <v>275.77</v>
      </c>
      <c r="AN41" s="3055" t="s">
        <v>1298</v>
      </c>
      <c r="AO41" s="3055" t="s">
        <v>1298</v>
      </c>
      <c r="AP41" s="3055">
        <v>0</v>
      </c>
      <c r="AQ41" s="3055" t="s">
        <v>3127</v>
      </c>
      <c r="AR41" s="3055" t="s">
        <v>1298</v>
      </c>
      <c r="AS41" s="3055" t="s">
        <v>1298</v>
      </c>
      <c r="AT41" s="3055" t="s">
        <v>1298</v>
      </c>
      <c r="AU41" s="3055" t="s">
        <v>3128</v>
      </c>
      <c r="AV41" s="3055">
        <f t="shared" si="0"/>
        <v>221</v>
      </c>
    </row>
    <row r="42" spans="1:48">
      <c r="A42" s="3055" t="s">
        <v>3112</v>
      </c>
      <c r="B42" s="3055" t="s">
        <v>3113</v>
      </c>
      <c r="C42" s="3055" t="s">
        <v>3114</v>
      </c>
      <c r="D42" s="3055" t="s">
        <v>3115</v>
      </c>
      <c r="E42" s="3055" t="s">
        <v>1298</v>
      </c>
      <c r="F42" s="3055" t="s">
        <v>3112</v>
      </c>
      <c r="G42" s="3055" t="s">
        <v>3284</v>
      </c>
      <c r="H42" s="3055">
        <v>43720</v>
      </c>
      <c r="I42" s="3055">
        <v>34976</v>
      </c>
      <c r="J42" s="3055" t="s">
        <v>3117</v>
      </c>
      <c r="K42" s="3055" t="s">
        <v>3118</v>
      </c>
      <c r="L42" s="3055" t="s">
        <v>3114</v>
      </c>
      <c r="M42" s="3055">
        <v>0</v>
      </c>
      <c r="N42" s="3055" t="s">
        <v>1298</v>
      </c>
      <c r="O42" s="3055" t="s">
        <v>3119</v>
      </c>
      <c r="P42" s="3055" t="s">
        <v>1298</v>
      </c>
      <c r="Q42" s="3055" t="s">
        <v>1298</v>
      </c>
      <c r="R42" s="3055" t="s">
        <v>1298</v>
      </c>
      <c r="S42" s="3055" t="s">
        <v>1298</v>
      </c>
      <c r="T42" s="3055" t="s">
        <v>1298</v>
      </c>
      <c r="U42" s="3055" t="s">
        <v>1298</v>
      </c>
      <c r="V42" s="3055" t="s">
        <v>1298</v>
      </c>
      <c r="W42" s="3055" t="s">
        <v>1298</v>
      </c>
      <c r="X42" s="3055" t="s">
        <v>3184</v>
      </c>
      <c r="Y42" s="3055" t="s">
        <v>3277</v>
      </c>
      <c r="Z42" s="3055" t="s">
        <v>3278</v>
      </c>
      <c r="AA42" s="3055" t="s">
        <v>3279</v>
      </c>
      <c r="AB42" s="3055" t="s">
        <v>3279</v>
      </c>
      <c r="AC42" s="3055" t="s">
        <v>3280</v>
      </c>
      <c r="AD42" s="3055" t="s">
        <v>3125</v>
      </c>
      <c r="AE42" s="3055" t="s">
        <v>3285</v>
      </c>
      <c r="AF42" s="3055" t="s">
        <v>1298</v>
      </c>
      <c r="AG42" s="3055">
        <v>947</v>
      </c>
      <c r="AH42" s="3055">
        <v>947</v>
      </c>
      <c r="AI42" s="3055">
        <v>947</v>
      </c>
      <c r="AJ42" s="3055">
        <v>14.44</v>
      </c>
      <c r="AK42" s="3055">
        <v>14.44</v>
      </c>
      <c r="AL42" s="3055">
        <v>270.75</v>
      </c>
      <c r="AM42" s="3055">
        <v>270.75</v>
      </c>
      <c r="AN42" s="3055" t="s">
        <v>1298</v>
      </c>
      <c r="AO42" s="3055" t="s">
        <v>1298</v>
      </c>
      <c r="AP42" s="3055">
        <v>0</v>
      </c>
      <c r="AQ42" s="3055" t="s">
        <v>3127</v>
      </c>
      <c r="AR42" s="3055" t="s">
        <v>1298</v>
      </c>
      <c r="AS42" s="3055" t="s">
        <v>1298</v>
      </c>
      <c r="AT42" s="3055" t="s">
        <v>1298</v>
      </c>
      <c r="AU42" s="3055" t="s">
        <v>3128</v>
      </c>
      <c r="AV42" s="3055">
        <f t="shared" si="0"/>
        <v>217</v>
      </c>
    </row>
    <row r="43" spans="1:48">
      <c r="A43" s="3055" t="s">
        <v>3112</v>
      </c>
      <c r="B43" s="3055" t="s">
        <v>3113</v>
      </c>
      <c r="C43" s="3055" t="s">
        <v>3114</v>
      </c>
      <c r="D43" s="3055" t="s">
        <v>3115</v>
      </c>
      <c r="E43" s="3055" t="s">
        <v>1298</v>
      </c>
      <c r="F43" s="3055" t="s">
        <v>3112</v>
      </c>
      <c r="G43" s="3055" t="s">
        <v>3286</v>
      </c>
      <c r="H43" s="3055">
        <v>20159</v>
      </c>
      <c r="I43" s="3055">
        <v>16127.2</v>
      </c>
      <c r="J43" s="3055" t="s">
        <v>3117</v>
      </c>
      <c r="K43" s="3055" t="s">
        <v>3118</v>
      </c>
      <c r="L43" s="3055" t="s">
        <v>3114</v>
      </c>
      <c r="M43" s="3055">
        <v>0</v>
      </c>
      <c r="N43" s="3055" t="s">
        <v>1298</v>
      </c>
      <c r="O43" s="3055" t="s">
        <v>3119</v>
      </c>
      <c r="P43" s="3055" t="s">
        <v>1298</v>
      </c>
      <c r="Q43" s="3055" t="s">
        <v>1298</v>
      </c>
      <c r="R43" s="3055" t="s">
        <v>1298</v>
      </c>
      <c r="S43" s="3055" t="s">
        <v>1298</v>
      </c>
      <c r="T43" s="3055" t="s">
        <v>1298</v>
      </c>
      <c r="U43" s="3055" t="s">
        <v>1298</v>
      </c>
      <c r="V43" s="3055" t="s">
        <v>1298</v>
      </c>
      <c r="W43" s="3055" t="s">
        <v>1298</v>
      </c>
      <c r="X43" s="3055" t="s">
        <v>3184</v>
      </c>
      <c r="Y43" s="3055" t="s">
        <v>3277</v>
      </c>
      <c r="Z43" s="3055" t="s">
        <v>3278</v>
      </c>
      <c r="AA43" s="3055" t="s">
        <v>3279</v>
      </c>
      <c r="AB43" s="3055" t="s">
        <v>3279</v>
      </c>
      <c r="AC43" s="3055" t="s">
        <v>3280</v>
      </c>
      <c r="AD43" s="3055" t="s">
        <v>3125</v>
      </c>
      <c r="AE43" s="3055" t="s">
        <v>3287</v>
      </c>
      <c r="AF43" s="3055" t="s">
        <v>1298</v>
      </c>
      <c r="AG43" s="3055">
        <v>430</v>
      </c>
      <c r="AH43" s="3055">
        <v>430</v>
      </c>
      <c r="AI43" s="3055">
        <v>430</v>
      </c>
      <c r="AJ43" s="3055">
        <v>14.22</v>
      </c>
      <c r="AK43" s="3055">
        <v>14.22</v>
      </c>
      <c r="AL43" s="3055">
        <v>266.63</v>
      </c>
      <c r="AM43" s="3055">
        <v>266.62</v>
      </c>
      <c r="AN43" s="3055" t="s">
        <v>1298</v>
      </c>
      <c r="AO43" s="3055" t="s">
        <v>1298</v>
      </c>
      <c r="AP43" s="3055">
        <v>0</v>
      </c>
      <c r="AQ43" s="3055" t="s">
        <v>3127</v>
      </c>
      <c r="AR43" s="3055" t="s">
        <v>1298</v>
      </c>
      <c r="AS43" s="3055" t="s">
        <v>1298</v>
      </c>
      <c r="AT43" s="3055" t="s">
        <v>1298</v>
      </c>
      <c r="AU43" s="3055" t="s">
        <v>3128</v>
      </c>
      <c r="AV43" s="3055">
        <f t="shared" si="0"/>
        <v>213</v>
      </c>
    </row>
    <row r="44" spans="1:48">
      <c r="A44" s="3055" t="s">
        <v>3288</v>
      </c>
      <c r="B44" s="3055" t="s">
        <v>3113</v>
      </c>
      <c r="C44" s="3055" t="s">
        <v>3114</v>
      </c>
      <c r="D44" s="3055" t="s">
        <v>3115</v>
      </c>
      <c r="E44" s="3055" t="s">
        <v>1298</v>
      </c>
      <c r="F44" s="3055" t="s">
        <v>3288</v>
      </c>
      <c r="G44" s="3055" t="s">
        <v>3289</v>
      </c>
      <c r="H44" s="3055">
        <v>27536</v>
      </c>
      <c r="I44" s="3055">
        <v>22028.799999999999</v>
      </c>
      <c r="J44" s="3055" t="s">
        <v>3117</v>
      </c>
      <c r="K44" s="3055" t="s">
        <v>3118</v>
      </c>
      <c r="L44" s="3055" t="s">
        <v>3114</v>
      </c>
      <c r="M44" s="3055">
        <v>0</v>
      </c>
      <c r="N44" s="3055" t="s">
        <v>1298</v>
      </c>
      <c r="O44" s="3055" t="s">
        <v>3119</v>
      </c>
      <c r="P44" s="3055" t="s">
        <v>1298</v>
      </c>
      <c r="Q44" s="3055" t="s">
        <v>1298</v>
      </c>
      <c r="R44" s="3055" t="s">
        <v>1298</v>
      </c>
      <c r="S44" s="3055" t="s">
        <v>1298</v>
      </c>
      <c r="T44" s="3055" t="s">
        <v>1298</v>
      </c>
      <c r="U44" s="3055" t="s">
        <v>1298</v>
      </c>
      <c r="V44" s="3055" t="s">
        <v>1298</v>
      </c>
      <c r="W44" s="3055" t="s">
        <v>1298</v>
      </c>
      <c r="X44" s="3055" t="s">
        <v>3184</v>
      </c>
      <c r="Y44" s="3055" t="s">
        <v>3277</v>
      </c>
      <c r="Z44" s="3055" t="s">
        <v>3278</v>
      </c>
      <c r="AA44" s="3055" t="s">
        <v>3279</v>
      </c>
      <c r="AB44" s="3055" t="s">
        <v>3279</v>
      </c>
      <c r="AC44" s="3055" t="s">
        <v>3280</v>
      </c>
      <c r="AD44" s="3055" t="s">
        <v>3125</v>
      </c>
      <c r="AE44" s="3055" t="s">
        <v>3290</v>
      </c>
      <c r="AF44" s="3055" t="s">
        <v>1298</v>
      </c>
      <c r="AG44" s="3055">
        <v>597</v>
      </c>
      <c r="AH44" s="3055">
        <v>597</v>
      </c>
      <c r="AI44" s="3055">
        <v>597</v>
      </c>
      <c r="AJ44" s="3055">
        <v>14.45</v>
      </c>
      <c r="AK44" s="3055">
        <v>14.45</v>
      </c>
      <c r="AL44" s="3055">
        <v>271</v>
      </c>
      <c r="AM44" s="3055">
        <v>271</v>
      </c>
      <c r="AN44" s="3055" t="s">
        <v>1298</v>
      </c>
      <c r="AO44" s="3055" t="s">
        <v>1298</v>
      </c>
      <c r="AP44" s="3055">
        <v>0</v>
      </c>
      <c r="AQ44" s="3055" t="s">
        <v>3127</v>
      </c>
      <c r="AR44" s="3055" t="s">
        <v>1298</v>
      </c>
      <c r="AS44" s="3055" t="s">
        <v>1298</v>
      </c>
      <c r="AT44" s="3055" t="s">
        <v>1298</v>
      </c>
      <c r="AU44" s="3055" t="s">
        <v>3128</v>
      </c>
      <c r="AV44" s="3055">
        <f t="shared" si="0"/>
        <v>217</v>
      </c>
    </row>
    <row r="45" spans="1:48">
      <c r="A45" s="3055" t="s">
        <v>3266</v>
      </c>
      <c r="B45" s="3055" t="s">
        <v>3113</v>
      </c>
      <c r="C45" s="3055" t="s">
        <v>3114</v>
      </c>
      <c r="D45" s="3055" t="s">
        <v>3115</v>
      </c>
      <c r="E45" s="3055" t="s">
        <v>1298</v>
      </c>
      <c r="F45" s="3055" t="s">
        <v>3266</v>
      </c>
      <c r="G45" s="3055" t="s">
        <v>3291</v>
      </c>
      <c r="H45" s="3055">
        <v>6841</v>
      </c>
      <c r="I45" s="3055">
        <v>5472.8</v>
      </c>
      <c r="J45" s="3055" t="s">
        <v>3117</v>
      </c>
      <c r="K45" s="3055" t="s">
        <v>3118</v>
      </c>
      <c r="L45" s="3055" t="s">
        <v>3114</v>
      </c>
      <c r="M45" s="3055">
        <v>0</v>
      </c>
      <c r="N45" s="3055" t="s">
        <v>1298</v>
      </c>
      <c r="O45" s="3055" t="s">
        <v>3119</v>
      </c>
      <c r="P45" s="3055" t="s">
        <v>1298</v>
      </c>
      <c r="Q45" s="3055" t="s">
        <v>1298</v>
      </c>
      <c r="R45" s="3055" t="s">
        <v>1298</v>
      </c>
      <c r="S45" s="3055" t="s">
        <v>1298</v>
      </c>
      <c r="T45" s="3055" t="s">
        <v>1298</v>
      </c>
      <c r="U45" s="3055" t="s">
        <v>1298</v>
      </c>
      <c r="V45" s="3055" t="s">
        <v>1298</v>
      </c>
      <c r="W45" s="3055" t="s">
        <v>1298</v>
      </c>
      <c r="X45" s="3055" t="s">
        <v>3184</v>
      </c>
      <c r="Y45" s="3055" t="s">
        <v>3277</v>
      </c>
      <c r="Z45" s="3055" t="s">
        <v>3278</v>
      </c>
      <c r="AA45" s="3055" t="s">
        <v>3279</v>
      </c>
      <c r="AB45" s="3055" t="s">
        <v>3279</v>
      </c>
      <c r="AC45" s="3055" t="s">
        <v>3280</v>
      </c>
      <c r="AD45" s="3055" t="s">
        <v>3125</v>
      </c>
      <c r="AE45" s="3055" t="s">
        <v>3292</v>
      </c>
      <c r="AF45" s="3055" t="s">
        <v>1298</v>
      </c>
      <c r="AG45" s="3055">
        <v>149</v>
      </c>
      <c r="AH45" s="3055">
        <v>149</v>
      </c>
      <c r="AI45" s="3055">
        <v>149</v>
      </c>
      <c r="AJ45" s="3055">
        <v>14.52</v>
      </c>
      <c r="AK45" s="3055">
        <v>14.52</v>
      </c>
      <c r="AL45" s="3055">
        <v>272.25</v>
      </c>
      <c r="AM45" s="3055">
        <v>272.25</v>
      </c>
      <c r="AN45" s="3055" t="s">
        <v>1298</v>
      </c>
      <c r="AO45" s="3055" t="s">
        <v>1298</v>
      </c>
      <c r="AP45" s="3055">
        <v>0</v>
      </c>
      <c r="AQ45" s="3055" t="s">
        <v>3127</v>
      </c>
      <c r="AR45" s="3055" t="s">
        <v>1298</v>
      </c>
      <c r="AS45" s="3055" t="s">
        <v>1298</v>
      </c>
      <c r="AT45" s="3055" t="s">
        <v>1298</v>
      </c>
      <c r="AU45" s="3055" t="s">
        <v>3128</v>
      </c>
      <c r="AV45" s="3055">
        <f t="shared" si="0"/>
        <v>218</v>
      </c>
    </row>
    <row r="46" spans="1:48">
      <c r="A46" s="3055" t="s">
        <v>3112</v>
      </c>
      <c r="B46" s="3055" t="s">
        <v>3113</v>
      </c>
      <c r="C46" s="3055" t="s">
        <v>3114</v>
      </c>
      <c r="D46" s="3055" t="s">
        <v>3115</v>
      </c>
      <c r="E46" s="3055" t="s">
        <v>1298</v>
      </c>
      <c r="F46" s="3055" t="s">
        <v>3112</v>
      </c>
      <c r="G46" s="3055" t="s">
        <v>3293</v>
      </c>
      <c r="H46" s="3055">
        <v>26858</v>
      </c>
      <c r="I46" s="3055">
        <v>21486.400000000001</v>
      </c>
      <c r="J46" s="3055" t="s">
        <v>3117</v>
      </c>
      <c r="K46" s="3055" t="s">
        <v>3118</v>
      </c>
      <c r="L46" s="3055" t="s">
        <v>3114</v>
      </c>
      <c r="M46" s="3055">
        <v>0</v>
      </c>
      <c r="N46" s="3055" t="s">
        <v>1298</v>
      </c>
      <c r="O46" s="3055" t="s">
        <v>3119</v>
      </c>
      <c r="P46" s="3055" t="s">
        <v>1298</v>
      </c>
      <c r="Q46" s="3055" t="s">
        <v>1298</v>
      </c>
      <c r="R46" s="3055" t="s">
        <v>1298</v>
      </c>
      <c r="S46" s="3055" t="s">
        <v>1298</v>
      </c>
      <c r="T46" s="3055" t="s">
        <v>1298</v>
      </c>
      <c r="U46" s="3055" t="s">
        <v>1298</v>
      </c>
      <c r="V46" s="3055" t="s">
        <v>1298</v>
      </c>
      <c r="W46" s="3055" t="s">
        <v>1298</v>
      </c>
      <c r="X46" s="3055" t="s">
        <v>3184</v>
      </c>
      <c r="Y46" s="3055" t="s">
        <v>3277</v>
      </c>
      <c r="Z46" s="3055" t="s">
        <v>3278</v>
      </c>
      <c r="AA46" s="3055" t="s">
        <v>3279</v>
      </c>
      <c r="AB46" s="3055" t="s">
        <v>3279</v>
      </c>
      <c r="AC46" s="3055" t="s">
        <v>3280</v>
      </c>
      <c r="AD46" s="3055" t="s">
        <v>3125</v>
      </c>
      <c r="AE46" s="3055" t="s">
        <v>3294</v>
      </c>
      <c r="AF46" s="3055" t="s">
        <v>1298</v>
      </c>
      <c r="AG46" s="3055">
        <v>583</v>
      </c>
      <c r="AH46" s="3055">
        <v>583</v>
      </c>
      <c r="AI46" s="3055">
        <v>583</v>
      </c>
      <c r="AJ46" s="3055">
        <v>14.47</v>
      </c>
      <c r="AK46" s="3055">
        <v>14.47</v>
      </c>
      <c r="AL46" s="3055">
        <v>271.33</v>
      </c>
      <c r="AM46" s="3055">
        <v>271.32</v>
      </c>
      <c r="AN46" s="3055" t="s">
        <v>1298</v>
      </c>
      <c r="AO46" s="3055" t="s">
        <v>1298</v>
      </c>
      <c r="AP46" s="3055">
        <v>0</v>
      </c>
      <c r="AQ46" s="3055" t="s">
        <v>3127</v>
      </c>
      <c r="AR46" s="3055" t="s">
        <v>1298</v>
      </c>
      <c r="AS46" s="3055" t="s">
        <v>1298</v>
      </c>
      <c r="AT46" s="3055" t="s">
        <v>1298</v>
      </c>
      <c r="AU46" s="3055" t="s">
        <v>3128</v>
      </c>
      <c r="AV46" s="3055">
        <f t="shared" si="0"/>
        <v>217</v>
      </c>
    </row>
    <row r="47" spans="1:48">
      <c r="A47" s="3055" t="s">
        <v>3295</v>
      </c>
      <c r="B47" s="3055" t="s">
        <v>3113</v>
      </c>
      <c r="C47" s="3055" t="s">
        <v>3114</v>
      </c>
      <c r="D47" s="3055" t="s">
        <v>3115</v>
      </c>
      <c r="E47" s="3055" t="s">
        <v>1298</v>
      </c>
      <c r="F47" s="3055" t="s">
        <v>3295</v>
      </c>
      <c r="G47" s="3055" t="s">
        <v>3296</v>
      </c>
      <c r="H47" s="3055">
        <v>68637</v>
      </c>
      <c r="I47" s="3055">
        <v>54909.599999999999</v>
      </c>
      <c r="J47" s="3055" t="s">
        <v>3117</v>
      </c>
      <c r="K47" s="3055" t="s">
        <v>3118</v>
      </c>
      <c r="L47" s="3055" t="s">
        <v>3114</v>
      </c>
      <c r="M47" s="3055">
        <v>0</v>
      </c>
      <c r="N47" s="3055" t="s">
        <v>1298</v>
      </c>
      <c r="O47" s="3055" t="s">
        <v>3119</v>
      </c>
      <c r="P47" s="3055" t="s">
        <v>1298</v>
      </c>
      <c r="Q47" s="3055" t="s">
        <v>1298</v>
      </c>
      <c r="R47" s="3055" t="s">
        <v>1298</v>
      </c>
      <c r="S47" s="3055" t="s">
        <v>1298</v>
      </c>
      <c r="T47" s="3055" t="s">
        <v>1298</v>
      </c>
      <c r="U47" s="3055" t="s">
        <v>1298</v>
      </c>
      <c r="V47" s="3055" t="s">
        <v>1298</v>
      </c>
      <c r="W47" s="3055" t="s">
        <v>1298</v>
      </c>
      <c r="X47" s="3055" t="s">
        <v>3184</v>
      </c>
      <c r="Y47" s="3055" t="s">
        <v>3277</v>
      </c>
      <c r="Z47" s="3055" t="s">
        <v>3278</v>
      </c>
      <c r="AA47" s="3055" t="s">
        <v>3279</v>
      </c>
      <c r="AB47" s="3055" t="s">
        <v>3279</v>
      </c>
      <c r="AC47" s="3055" t="s">
        <v>3280</v>
      </c>
      <c r="AD47" s="3055" t="s">
        <v>3125</v>
      </c>
      <c r="AE47" s="3055" t="s">
        <v>3297</v>
      </c>
      <c r="AF47" s="3055" t="s">
        <v>1298</v>
      </c>
      <c r="AG47" s="3055">
        <v>1495</v>
      </c>
      <c r="AH47" s="3055">
        <v>1495</v>
      </c>
      <c r="AI47" s="3055">
        <v>1495</v>
      </c>
      <c r="AJ47" s="3055">
        <v>14.52</v>
      </c>
      <c r="AK47" s="3055">
        <v>14.52</v>
      </c>
      <c r="AL47" s="3055">
        <v>272.26</v>
      </c>
      <c r="AM47" s="3055">
        <v>272.26</v>
      </c>
      <c r="AN47" s="3055" t="s">
        <v>1298</v>
      </c>
      <c r="AO47" s="3055" t="s">
        <v>1298</v>
      </c>
      <c r="AP47" s="3055">
        <v>0</v>
      </c>
      <c r="AQ47" s="3055" t="s">
        <v>3127</v>
      </c>
      <c r="AR47" s="3055" t="s">
        <v>1298</v>
      </c>
      <c r="AS47" s="3055" t="s">
        <v>1298</v>
      </c>
      <c r="AT47" s="3055" t="s">
        <v>1298</v>
      </c>
      <c r="AU47" s="3055" t="s">
        <v>3128</v>
      </c>
      <c r="AV47" s="3055">
        <f t="shared" si="0"/>
        <v>218</v>
      </c>
    </row>
    <row r="48" spans="1:48">
      <c r="A48" s="3055" t="s">
        <v>3112</v>
      </c>
      <c r="B48" s="3055" t="s">
        <v>3113</v>
      </c>
      <c r="C48" s="3055" t="s">
        <v>3114</v>
      </c>
      <c r="D48" s="3055" t="s">
        <v>3115</v>
      </c>
      <c r="E48" s="3055" t="s">
        <v>1298</v>
      </c>
      <c r="F48" s="3055" t="s">
        <v>3112</v>
      </c>
      <c r="G48" s="3055" t="s">
        <v>3298</v>
      </c>
      <c r="H48" s="3055">
        <v>19610</v>
      </c>
      <c r="I48" s="3055">
        <v>15688</v>
      </c>
      <c r="J48" s="3055" t="s">
        <v>3117</v>
      </c>
      <c r="K48" s="3055" t="s">
        <v>3118</v>
      </c>
      <c r="L48" s="3055" t="s">
        <v>3114</v>
      </c>
      <c r="M48" s="3055">
        <v>0</v>
      </c>
      <c r="N48" s="3055" t="s">
        <v>1298</v>
      </c>
      <c r="O48" s="3055" t="s">
        <v>3119</v>
      </c>
      <c r="P48" s="3055" t="s">
        <v>1298</v>
      </c>
      <c r="Q48" s="3055" t="s">
        <v>1298</v>
      </c>
      <c r="R48" s="3055" t="s">
        <v>1298</v>
      </c>
      <c r="S48" s="3055" t="s">
        <v>1298</v>
      </c>
      <c r="T48" s="3055" t="s">
        <v>1298</v>
      </c>
      <c r="U48" s="3055" t="s">
        <v>1298</v>
      </c>
      <c r="V48" s="3055" t="s">
        <v>1298</v>
      </c>
      <c r="W48" s="3055" t="s">
        <v>1298</v>
      </c>
      <c r="X48" s="3055" t="s">
        <v>3184</v>
      </c>
      <c r="Y48" s="3055" t="s">
        <v>3277</v>
      </c>
      <c r="Z48" s="3055" t="s">
        <v>3278</v>
      </c>
      <c r="AA48" s="3055" t="s">
        <v>3279</v>
      </c>
      <c r="AB48" s="3055" t="s">
        <v>3279</v>
      </c>
      <c r="AC48" s="3055" t="s">
        <v>3280</v>
      </c>
      <c r="AD48" s="3055" t="s">
        <v>3125</v>
      </c>
      <c r="AE48" s="3055" t="s">
        <v>3299</v>
      </c>
      <c r="AF48" s="3055" t="s">
        <v>1298</v>
      </c>
      <c r="AG48" s="3055">
        <v>426</v>
      </c>
      <c r="AH48" s="3055">
        <v>426</v>
      </c>
      <c r="AI48" s="3055">
        <v>426</v>
      </c>
      <c r="AJ48" s="3055">
        <v>14.48</v>
      </c>
      <c r="AK48" s="3055">
        <v>14.48</v>
      </c>
      <c r="AL48" s="3055">
        <v>271.54000000000002</v>
      </c>
      <c r="AM48" s="3055">
        <v>271.55</v>
      </c>
      <c r="AN48" s="3055" t="s">
        <v>1298</v>
      </c>
      <c r="AO48" s="3055" t="s">
        <v>1298</v>
      </c>
      <c r="AP48" s="3055">
        <v>0</v>
      </c>
      <c r="AQ48" s="3055" t="s">
        <v>3127</v>
      </c>
      <c r="AR48" s="3055" t="s">
        <v>1298</v>
      </c>
      <c r="AS48" s="3055" t="s">
        <v>1298</v>
      </c>
      <c r="AT48" s="3055" t="s">
        <v>1298</v>
      </c>
      <c r="AU48" s="3055" t="s">
        <v>3128</v>
      </c>
      <c r="AV48" s="3055">
        <f t="shared" si="0"/>
        <v>217</v>
      </c>
    </row>
    <row r="49" spans="1:48">
      <c r="A49" s="3055" t="s">
        <v>3112</v>
      </c>
      <c r="B49" s="3055" t="s">
        <v>3113</v>
      </c>
      <c r="C49" s="3055" t="s">
        <v>3114</v>
      </c>
      <c r="D49" s="3055" t="s">
        <v>3115</v>
      </c>
      <c r="E49" s="3055" t="s">
        <v>1298</v>
      </c>
      <c r="F49" s="3055" t="s">
        <v>3112</v>
      </c>
      <c r="G49" s="3055" t="s">
        <v>3300</v>
      </c>
      <c r="H49" s="3055">
        <v>16002</v>
      </c>
      <c r="I49" s="3055">
        <v>12801.6</v>
      </c>
      <c r="J49" s="3055" t="s">
        <v>3117</v>
      </c>
      <c r="K49" s="3055" t="s">
        <v>3118</v>
      </c>
      <c r="L49" s="3055" t="s">
        <v>3114</v>
      </c>
      <c r="M49" s="3055">
        <v>0</v>
      </c>
      <c r="N49" s="3055" t="s">
        <v>1298</v>
      </c>
      <c r="O49" s="3055" t="s">
        <v>3119</v>
      </c>
      <c r="P49" s="3055" t="s">
        <v>1298</v>
      </c>
      <c r="Q49" s="3055" t="s">
        <v>1298</v>
      </c>
      <c r="R49" s="3055" t="s">
        <v>1298</v>
      </c>
      <c r="S49" s="3055" t="s">
        <v>1298</v>
      </c>
      <c r="T49" s="3055" t="s">
        <v>1298</v>
      </c>
      <c r="U49" s="3055" t="s">
        <v>1298</v>
      </c>
      <c r="V49" s="3055" t="s">
        <v>1298</v>
      </c>
      <c r="W49" s="3055" t="s">
        <v>1298</v>
      </c>
      <c r="X49" s="3055" t="s">
        <v>3184</v>
      </c>
      <c r="Y49" s="3055" t="s">
        <v>3277</v>
      </c>
      <c r="Z49" s="3055" t="s">
        <v>3278</v>
      </c>
      <c r="AA49" s="3055" t="s">
        <v>3279</v>
      </c>
      <c r="AB49" s="3055" t="s">
        <v>3279</v>
      </c>
      <c r="AC49" s="3055" t="s">
        <v>3280</v>
      </c>
      <c r="AD49" s="3055" t="s">
        <v>3125</v>
      </c>
      <c r="AE49" s="3055" t="s">
        <v>3301</v>
      </c>
      <c r="AF49" s="3055" t="s">
        <v>1298</v>
      </c>
      <c r="AG49" s="3055">
        <v>352</v>
      </c>
      <c r="AH49" s="3055">
        <v>352</v>
      </c>
      <c r="AI49" s="3055">
        <v>352</v>
      </c>
      <c r="AJ49" s="3055">
        <v>14.66</v>
      </c>
      <c r="AK49" s="3055">
        <v>14.66</v>
      </c>
      <c r="AL49" s="3055">
        <v>274.95999999999998</v>
      </c>
      <c r="AM49" s="3055">
        <v>274.97000000000003</v>
      </c>
      <c r="AN49" s="3055" t="s">
        <v>1298</v>
      </c>
      <c r="AO49" s="3055" t="s">
        <v>1298</v>
      </c>
      <c r="AP49" s="3055">
        <v>0</v>
      </c>
      <c r="AQ49" s="3055" t="s">
        <v>3127</v>
      </c>
      <c r="AR49" s="3055" t="s">
        <v>1298</v>
      </c>
      <c r="AS49" s="3055" t="s">
        <v>1298</v>
      </c>
      <c r="AT49" s="3055" t="s">
        <v>1298</v>
      </c>
      <c r="AU49" s="3055" t="s">
        <v>3128</v>
      </c>
      <c r="AV49" s="3055">
        <f t="shared" si="0"/>
        <v>220</v>
      </c>
    </row>
    <row r="50" spans="1:48">
      <c r="A50" s="3055" t="s">
        <v>3112</v>
      </c>
      <c r="B50" s="3055" t="s">
        <v>3113</v>
      </c>
      <c r="C50" s="3055" t="s">
        <v>3114</v>
      </c>
      <c r="D50" s="3055" t="s">
        <v>3115</v>
      </c>
      <c r="E50" s="3055" t="s">
        <v>1298</v>
      </c>
      <c r="F50" s="3055" t="s">
        <v>3112</v>
      </c>
      <c r="G50" s="3055" t="s">
        <v>3302</v>
      </c>
      <c r="H50" s="3055">
        <v>33250</v>
      </c>
      <c r="I50" s="3055">
        <v>26600</v>
      </c>
      <c r="J50" s="3055" t="s">
        <v>3117</v>
      </c>
      <c r="K50" s="3055" t="s">
        <v>3118</v>
      </c>
      <c r="L50" s="3055" t="s">
        <v>3114</v>
      </c>
      <c r="M50" s="3055">
        <v>0</v>
      </c>
      <c r="N50" s="3055" t="s">
        <v>1298</v>
      </c>
      <c r="O50" s="3055" t="s">
        <v>3119</v>
      </c>
      <c r="P50" s="3055" t="s">
        <v>1298</v>
      </c>
      <c r="Q50" s="3055" t="s">
        <v>1298</v>
      </c>
      <c r="R50" s="3055" t="s">
        <v>1298</v>
      </c>
      <c r="S50" s="3055" t="s">
        <v>1298</v>
      </c>
      <c r="T50" s="3055" t="s">
        <v>1298</v>
      </c>
      <c r="U50" s="3055" t="s">
        <v>1298</v>
      </c>
      <c r="V50" s="3055" t="s">
        <v>1298</v>
      </c>
      <c r="W50" s="3055" t="s">
        <v>1298</v>
      </c>
      <c r="X50" s="3055" t="s">
        <v>3184</v>
      </c>
      <c r="Y50" s="3055" t="s">
        <v>3277</v>
      </c>
      <c r="Z50" s="3055" t="s">
        <v>3278</v>
      </c>
      <c r="AA50" s="3055" t="s">
        <v>3279</v>
      </c>
      <c r="AB50" s="3055" t="s">
        <v>3279</v>
      </c>
      <c r="AC50" s="3055" t="s">
        <v>3280</v>
      </c>
      <c r="AD50" s="3055" t="s">
        <v>3125</v>
      </c>
      <c r="AE50" s="3055" t="s">
        <v>3303</v>
      </c>
      <c r="AF50" s="3055" t="s">
        <v>1298</v>
      </c>
      <c r="AG50" s="3055">
        <v>728</v>
      </c>
      <c r="AH50" s="3055">
        <v>728</v>
      </c>
      <c r="AI50" s="3055">
        <v>728</v>
      </c>
      <c r="AJ50" s="3055">
        <v>14.6</v>
      </c>
      <c r="AK50" s="3055">
        <v>14.6</v>
      </c>
      <c r="AL50" s="3055">
        <v>273.68</v>
      </c>
      <c r="AM50" s="3055">
        <v>273.68</v>
      </c>
      <c r="AN50" s="3055" t="s">
        <v>1298</v>
      </c>
      <c r="AO50" s="3055" t="s">
        <v>1298</v>
      </c>
      <c r="AP50" s="3055">
        <v>0</v>
      </c>
      <c r="AQ50" s="3055" t="s">
        <v>3127</v>
      </c>
      <c r="AR50" s="3055" t="s">
        <v>1298</v>
      </c>
      <c r="AS50" s="3055" t="s">
        <v>1298</v>
      </c>
      <c r="AT50" s="3055" t="s">
        <v>1298</v>
      </c>
      <c r="AU50" s="3055" t="s">
        <v>3128</v>
      </c>
      <c r="AV50" s="3055">
        <f t="shared" si="0"/>
        <v>219</v>
      </c>
    </row>
    <row r="51" spans="1:48">
      <c r="A51" s="3055" t="s">
        <v>3288</v>
      </c>
      <c r="B51" s="3055" t="s">
        <v>3113</v>
      </c>
      <c r="C51" s="3055" t="s">
        <v>3114</v>
      </c>
      <c r="D51" s="3055" t="s">
        <v>3115</v>
      </c>
      <c r="E51" s="3055" t="s">
        <v>1298</v>
      </c>
      <c r="F51" s="3055" t="s">
        <v>3288</v>
      </c>
      <c r="G51" s="3055" t="s">
        <v>3304</v>
      </c>
      <c r="H51" s="3055">
        <v>14716</v>
      </c>
      <c r="I51" s="3055">
        <v>11772.8</v>
      </c>
      <c r="J51" s="3055" t="s">
        <v>3117</v>
      </c>
      <c r="K51" s="3055" t="s">
        <v>3118</v>
      </c>
      <c r="L51" s="3055" t="s">
        <v>3114</v>
      </c>
      <c r="M51" s="3055">
        <v>0</v>
      </c>
      <c r="N51" s="3055" t="s">
        <v>1298</v>
      </c>
      <c r="O51" s="3055" t="s">
        <v>3119</v>
      </c>
      <c r="P51" s="3055" t="s">
        <v>1298</v>
      </c>
      <c r="Q51" s="3055" t="s">
        <v>1298</v>
      </c>
      <c r="R51" s="3055" t="s">
        <v>1298</v>
      </c>
      <c r="S51" s="3055" t="s">
        <v>1298</v>
      </c>
      <c r="T51" s="3055" t="s">
        <v>1298</v>
      </c>
      <c r="U51" s="3055" t="s">
        <v>1298</v>
      </c>
      <c r="V51" s="3055" t="s">
        <v>1298</v>
      </c>
      <c r="W51" s="3055" t="s">
        <v>1298</v>
      </c>
      <c r="X51" s="3055" t="s">
        <v>3184</v>
      </c>
      <c r="Y51" s="3055" t="s">
        <v>3277</v>
      </c>
      <c r="Z51" s="3055" t="s">
        <v>3278</v>
      </c>
      <c r="AA51" s="3055" t="s">
        <v>3279</v>
      </c>
      <c r="AB51" s="3055" t="s">
        <v>3279</v>
      </c>
      <c r="AC51" s="3055" t="s">
        <v>3280</v>
      </c>
      <c r="AD51" s="3055" t="s">
        <v>3125</v>
      </c>
      <c r="AE51" s="3055" t="s">
        <v>3305</v>
      </c>
      <c r="AF51" s="3055" t="s">
        <v>1298</v>
      </c>
      <c r="AG51" s="3055">
        <v>319</v>
      </c>
      <c r="AH51" s="3055">
        <v>319</v>
      </c>
      <c r="AI51" s="3055">
        <v>319</v>
      </c>
      <c r="AJ51" s="3055">
        <v>14.45</v>
      </c>
      <c r="AK51" s="3055">
        <v>14.45</v>
      </c>
      <c r="AL51" s="3055">
        <v>270.95999999999998</v>
      </c>
      <c r="AM51" s="3055">
        <v>270.95</v>
      </c>
      <c r="AN51" s="3055" t="s">
        <v>1298</v>
      </c>
      <c r="AO51" s="3055" t="s">
        <v>1298</v>
      </c>
      <c r="AP51" s="3055">
        <v>0</v>
      </c>
      <c r="AQ51" s="3055" t="s">
        <v>3127</v>
      </c>
      <c r="AR51" s="3055" t="s">
        <v>1298</v>
      </c>
      <c r="AS51" s="3055" t="s">
        <v>1298</v>
      </c>
      <c r="AT51" s="3055" t="s">
        <v>1298</v>
      </c>
      <c r="AU51" s="3055" t="s">
        <v>3128</v>
      </c>
      <c r="AV51" s="3055">
        <f t="shared" si="0"/>
        <v>217</v>
      </c>
    </row>
  </sheetData>
  <phoneticPr fontId="14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f>IF(F3="宗地容积率",'数据-汇总表'!I4,IF(F3="估价对象容积率",'数据-汇总表'!I6,'数据-汇总表'!I7))</f>
        <v>0.17</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63"/>
      <c r="B4" s="3364"/>
      <c r="C4" s="3364"/>
      <c r="D4" s="3365"/>
      <c r="E4" s="3365"/>
      <c r="F4" s="3365"/>
      <c r="G4" s="3365"/>
      <c r="H4" s="3365"/>
      <c r="I4" s="3365"/>
      <c r="J4" s="3366"/>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67"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2655</v>
      </c>
      <c r="X7" s="1376">
        <f>G2</f>
        <v>0</v>
      </c>
      <c r="Y7" s="1376" t="s">
        <v>2656</v>
      </c>
      <c r="Z7" s="1377">
        <f>G3</f>
        <v>0.17</v>
      </c>
      <c r="AA7" s="1378"/>
      <c r="AB7" s="1378"/>
      <c r="AC7" s="1379"/>
      <c r="AD7" s="1380"/>
      <c r="AE7" s="1380"/>
      <c r="AF7" s="1380"/>
      <c r="AG7" s="1380"/>
      <c r="AH7" s="1380"/>
      <c r="AI7" s="1380"/>
      <c r="AJ7" s="1381"/>
    </row>
    <row r="8" spans="1:36" ht="15">
      <c r="A8" s="3368"/>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0" t="s">
        <v>2660</v>
      </c>
      <c r="X8" s="3361"/>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68"/>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62"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8"/>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6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8"/>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62" t="s">
        <v>2684</v>
      </c>
      <c r="X11" s="1386" t="s">
        <v>2685</v>
      </c>
      <c r="Y11" s="1387">
        <f>$G$3</f>
        <v>0.17</v>
      </c>
      <c r="Z11" s="1387">
        <f t="shared" ref="Z11:AJ11" si="3">$G$3</f>
        <v>0.17</v>
      </c>
      <c r="AA11" s="1387">
        <f t="shared" si="3"/>
        <v>0.17</v>
      </c>
      <c r="AB11" s="1387">
        <f t="shared" si="3"/>
        <v>0.17</v>
      </c>
      <c r="AC11" s="1387">
        <f t="shared" si="3"/>
        <v>0.17</v>
      </c>
      <c r="AD11" s="1387">
        <f t="shared" si="3"/>
        <v>0.17</v>
      </c>
      <c r="AE11" s="1387">
        <f t="shared" si="3"/>
        <v>0.17</v>
      </c>
      <c r="AF11" s="1387">
        <f t="shared" si="3"/>
        <v>0.17</v>
      </c>
      <c r="AG11" s="1387">
        <f t="shared" si="3"/>
        <v>0.17</v>
      </c>
      <c r="AH11" s="1387">
        <f t="shared" si="3"/>
        <v>0.17</v>
      </c>
      <c r="AI11" s="1387">
        <f t="shared" si="3"/>
        <v>0.17</v>
      </c>
      <c r="AJ11" s="1387">
        <f t="shared" si="3"/>
        <v>0.17</v>
      </c>
    </row>
    <row r="12" spans="1:36" ht="25.5" thickBot="1">
      <c r="A12" s="3367"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62"/>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9"/>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362"/>
      <c r="X13" s="1388"/>
      <c r="Y13" s="1385">
        <f>(-0.163*(Y12^2)-0.59*Y12+7617)*(10^(-4))/Y11</f>
        <v>4.4805882352941175</v>
      </c>
      <c r="Z13" s="1385">
        <f t="shared" ref="Z13:AJ13" si="5">(-0.163*(Z12^2)-0.59*Z12+7617)*(10^(-4))/Z11</f>
        <v>4.4805882352941175</v>
      </c>
      <c r="AA13" s="1385">
        <f t="shared" si="5"/>
        <v>4.4805882352941175</v>
      </c>
      <c r="AB13" s="1385">
        <f t="shared" si="5"/>
        <v>4.4805882352941175</v>
      </c>
      <c r="AC13" s="1385">
        <f t="shared" si="5"/>
        <v>4.4805882352941175</v>
      </c>
      <c r="AD13" s="1385">
        <f t="shared" si="5"/>
        <v>4.4805882352941175</v>
      </c>
      <c r="AE13" s="1385">
        <f t="shared" si="5"/>
        <v>4.4805882352941175</v>
      </c>
      <c r="AF13" s="1385">
        <f t="shared" si="5"/>
        <v>4.4805882352941175</v>
      </c>
      <c r="AG13" s="1385">
        <f t="shared" si="5"/>
        <v>4.4805882352941175</v>
      </c>
      <c r="AH13" s="1385">
        <f t="shared" si="5"/>
        <v>4.4805882352941175</v>
      </c>
      <c r="AI13" s="1385">
        <f t="shared" si="5"/>
        <v>4.4805882352941175</v>
      </c>
      <c r="AJ13" s="1385">
        <f t="shared" si="5"/>
        <v>4.4805882352941175</v>
      </c>
    </row>
    <row r="14" spans="1:36" ht="15">
      <c r="A14" s="3369"/>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4"/>
      <c r="AE14" s="3014"/>
      <c r="AF14" s="3014"/>
      <c r="AG14" s="3014"/>
      <c r="AH14" s="3014"/>
      <c r="AI14" s="3014"/>
      <c r="AJ14" s="3015"/>
    </row>
    <row r="15" spans="1:36" ht="15.75" thickBot="1">
      <c r="A15" s="3370"/>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4"/>
      <c r="AE15" s="3014"/>
      <c r="AF15" s="3014"/>
      <c r="AG15" s="3014"/>
      <c r="AH15" s="3014"/>
      <c r="AI15" s="3014"/>
      <c r="AJ15" s="3015"/>
    </row>
    <row r="16" spans="1:36" ht="24.6" customHeight="1">
      <c r="A16" s="3367" t="s">
        <v>2703</v>
      </c>
      <c r="B16" s="2209" t="s">
        <v>2704</v>
      </c>
      <c r="C16" s="2371" t="e">
        <f>ROUND(IF(F17="与级别开发程度一致",0,(G17-E17)/C17),0)</f>
        <v>#DIV/0!</v>
      </c>
      <c r="D16" s="3383" t="s">
        <v>2708</v>
      </c>
      <c r="E16" s="3384"/>
      <c r="F16" s="3383" t="s">
        <v>2705</v>
      </c>
      <c r="G16" s="3384"/>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4"/>
      <c r="AE16" s="3014"/>
      <c r="AF16" s="3014"/>
      <c r="AG16" s="3014"/>
      <c r="AH16" s="3014"/>
      <c r="AI16" s="3014"/>
      <c r="AJ16" s="3015"/>
    </row>
    <row r="17" spans="1:37" ht="13.5" thickBot="1">
      <c r="A17" s="3371"/>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3"/>
      <c r="M18" s="3013"/>
      <c r="N18" s="3013"/>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3"/>
    </row>
    <row r="19" spans="1:37" s="2202" customFormat="1" ht="27.75" thickBot="1">
      <c r="A19" s="2246" t="s">
        <v>809</v>
      </c>
      <c r="B19" s="2247" t="s">
        <v>2711</v>
      </c>
      <c r="C19" s="863" t="e">
        <f>ROUND(IF(H19="按公示增长率计算",SUMPRODUCT((地价!A3:A35=YEAR(G19)&amp;"-"&amp;ROUNDUP(MONTH(G19)/3,0))*(地价!X2:AB2=E2)*(地价!X3:AB35)),IF(H19="地价指数",M20/M19,(1+I19)^O19)),4)</f>
        <v>#VALUE!</v>
      </c>
      <c r="D19" s="2251" t="s">
        <v>2712</v>
      </c>
      <c r="E19" s="864">
        <v>41640</v>
      </c>
      <c r="F19" s="2251" t="s">
        <v>2713</v>
      </c>
      <c r="G19" s="865">
        <f>'数据-取费表'!B2</f>
        <v>44454</v>
      </c>
      <c r="H19" s="2252"/>
      <c r="I19" s="866" t="str">
        <f>IF(H19="季度增幅（自定义）",SUMIF(N21:N24,E2,O21:O24),"")</f>
        <v/>
      </c>
      <c r="J19" s="2249"/>
      <c r="K19" s="1287"/>
      <c r="L19" s="2253" t="s">
        <v>2714</v>
      </c>
      <c r="M19" s="1496">
        <f>ROUND(SUMIF(地价!B2:F2,E2,地价!B35:F35),0)</f>
        <v>0</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16"/>
      <c r="AH19" s="2340"/>
      <c r="AI19" s="3017"/>
      <c r="AJ19" s="3017"/>
      <c r="AK19" s="2255"/>
    </row>
    <row r="20" spans="1:37" s="2202" customFormat="1" ht="27.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ROUND(SUMPRODUCT((地价!A4:A35=YEAR(G19)&amp;"-"&amp;ROUNDUP(MONTH(G19)/3,0))*(地价!B2:F2=E2)*(地价!B4:F35)),0)</f>
        <v>0</v>
      </c>
      <c r="N20" s="2260" t="s">
        <v>2720</v>
      </c>
      <c r="O20" s="2261" t="s">
        <v>2721</v>
      </c>
      <c r="P20" s="2262" t="s">
        <v>2722</v>
      </c>
      <c r="Q20" s="3013"/>
      <c r="R20" s="1286"/>
      <c r="S20" s="1286"/>
      <c r="T20" s="1281"/>
      <c r="U20" s="1281"/>
      <c r="V20" s="1281"/>
      <c r="W20" s="1280"/>
      <c r="X20" s="1280"/>
      <c r="Y20" s="1280"/>
      <c r="Z20" s="1287"/>
      <c r="AA20" s="1287"/>
      <c r="AB20" s="1287"/>
      <c r="AC20" s="1287"/>
      <c r="AD20" s="1287"/>
      <c r="AE20" s="1287"/>
      <c r="AF20" s="1287"/>
      <c r="AG20" s="3013"/>
      <c r="AH20" s="3013"/>
      <c r="AI20" s="3013"/>
      <c r="AJ20" s="3013"/>
    </row>
    <row r="21" spans="1:37" s="2202" customFormat="1" ht="15">
      <c r="A21" s="2263" t="s">
        <v>811</v>
      </c>
      <c r="B21" s="2264" t="s">
        <v>2723</v>
      </c>
      <c r="C21" s="876">
        <f>IF(B21="容积率修正",IF(G3&lt;=10,D22,J22),C23)</f>
        <v>0</v>
      </c>
      <c r="D21" s="2265"/>
      <c r="E21" s="2265"/>
      <c r="F21" s="2265"/>
      <c r="G21" s="2265"/>
      <c r="H21" s="2265"/>
      <c r="I21" s="2265"/>
      <c r="J21" s="2266"/>
      <c r="K21" s="1287"/>
      <c r="L21" s="3013"/>
      <c r="M21" s="3013"/>
      <c r="N21" s="2267" t="s">
        <v>2724</v>
      </c>
      <c r="O21" s="1335"/>
      <c r="P21" s="1336">
        <f>SUMPRODUCT((地价!A3:A35=YEAR(G19)&amp;"-"&amp;ROUNDUP(MONTH(G19)/3,0))*(地价!AD2:AH2=N21)*(地价!AD3:AH35))</f>
        <v>1.0699999999999999E-2</v>
      </c>
      <c r="Q21" s="3013"/>
      <c r="R21" s="1286"/>
      <c r="S21" s="1286"/>
      <c r="T21" s="1281"/>
      <c r="U21" s="1281"/>
      <c r="V21" s="1281"/>
      <c r="W21" s="1280"/>
      <c r="X21" s="1280"/>
      <c r="Y21" s="1280"/>
      <c r="Z21" s="1287"/>
      <c r="AA21" s="1287"/>
      <c r="AB21" s="1287"/>
      <c r="AC21" s="1287"/>
      <c r="AD21" s="1287"/>
      <c r="AE21" s="1287"/>
      <c r="AF21" s="1287"/>
      <c r="AG21" s="3013"/>
      <c r="AH21" s="3013"/>
      <c r="AI21" s="3013"/>
      <c r="AJ21" s="3013"/>
    </row>
    <row r="22" spans="1:37" s="2202" customFormat="1" ht="14.25">
      <c r="A22" s="2141" t="s">
        <v>2725</v>
      </c>
      <c r="B22" s="2268" t="s">
        <v>2726</v>
      </c>
      <c r="C22" s="1536" t="s">
        <v>2727</v>
      </c>
      <c r="D22" s="1536">
        <f>IF(E22=G22,F22,IF(G3&lt;=10,ROUND(F22+(H22-F22)*(G3-E22)/(G22-E22),4),"——"))</f>
        <v>0</v>
      </c>
      <c r="E22" s="855">
        <f>ROUNDDOWN(G3,1)</f>
        <v>0.1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3"/>
      <c r="M22" s="3013"/>
      <c r="N22" s="2267" t="s">
        <v>2728</v>
      </c>
      <c r="O22" s="1335"/>
      <c r="P22" s="1336">
        <f>SUMPRODUCT((地价!A3:A35=YEAR(G19)&amp;"-"&amp;ROUNDUP(MONTH(G19)/3,0))*(地价!AD2:AH2=N22)*(地价!AD3:AH35))</f>
        <v>1.0699999999999999E-2</v>
      </c>
      <c r="Q22" s="3013"/>
      <c r="R22" s="1286"/>
      <c r="S22" s="1286"/>
      <c r="T22" s="1281"/>
      <c r="U22" s="1281"/>
      <c r="V22" s="1281"/>
      <c r="W22" s="1280"/>
      <c r="X22" s="1280"/>
      <c r="Y22" s="1280"/>
      <c r="Z22" s="1287"/>
      <c r="AA22" s="1287"/>
      <c r="AB22" s="1287"/>
      <c r="AC22" s="1287"/>
      <c r="AD22" s="1287"/>
      <c r="AE22" s="1287"/>
      <c r="AF22" s="1287"/>
      <c r="AG22" s="3013"/>
      <c r="AH22" s="3013"/>
      <c r="AI22" s="3013"/>
      <c r="AJ22" s="3013"/>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3"/>
      <c r="M24" s="3013"/>
      <c r="N24" s="2277" t="s">
        <v>2733</v>
      </c>
      <c r="O24" s="1337"/>
      <c r="P24" s="1338">
        <f>SUMPRODUCT((地价!A3:A35=YEAR(G19)&amp;"-"&amp;ROUNDUP(MONTH(G19)/3,0))*(地价!AD2:AH2=N24)*(地价!AD3:AH35))</f>
        <v>1.24E-2</v>
      </c>
      <c r="Q24" s="3013"/>
      <c r="R24" s="1286"/>
      <c r="S24" s="1286"/>
      <c r="T24" s="1281"/>
      <c r="U24" s="1281"/>
      <c r="V24" s="1281"/>
      <c r="W24" s="1280"/>
      <c r="X24" s="1280"/>
      <c r="Y24" s="1280"/>
      <c r="Z24" s="1287"/>
      <c r="AA24" s="1287"/>
      <c r="AB24" s="1287"/>
      <c r="AC24" s="1287"/>
      <c r="AD24" s="1287"/>
      <c r="AE24" s="1287"/>
      <c r="AF24" s="1287"/>
      <c r="AG24" s="3013"/>
      <c r="AH24" s="3013"/>
      <c r="AI24" s="3013"/>
      <c r="AJ24" s="3013"/>
    </row>
    <row r="25" spans="1:37" ht="15.75" thickBot="1">
      <c r="A25" s="2256" t="s">
        <v>813</v>
      </c>
      <c r="B25" s="2278" t="s">
        <v>2734</v>
      </c>
      <c r="C25" s="869"/>
      <c r="D25" s="2212"/>
      <c r="E25" s="2212"/>
      <c r="F25" s="2279"/>
      <c r="G25" s="2212"/>
      <c r="H25" s="2212"/>
      <c r="I25" s="2212"/>
      <c r="J25" s="2213"/>
      <c r="K25" s="1280"/>
      <c r="L25" s="2183"/>
      <c r="M25" s="2183"/>
      <c r="N25" s="3008" t="s">
        <v>2735</v>
      </c>
      <c r="O25" s="3009"/>
      <c r="P25" s="3010">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1" t="s">
        <v>2634</v>
      </c>
      <c r="M26" s="2210" t="s">
        <v>2699</v>
      </c>
      <c r="N26" s="2210" t="s">
        <v>2700</v>
      </c>
      <c r="O26" s="2210" t="s">
        <v>2701</v>
      </c>
      <c r="P26" s="3012"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0"/>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85"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1"/>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1"/>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8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2"/>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8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72" t="s">
        <v>2791</v>
      </c>
      <c r="B90" s="3372"/>
      <c r="C90" s="3372"/>
      <c r="D90" s="3372"/>
      <c r="E90" s="3372"/>
      <c r="F90" s="3372"/>
      <c r="G90" s="3372"/>
      <c r="H90" s="3372"/>
      <c r="I90" s="3372"/>
      <c r="J90" s="3372"/>
      <c r="K90" s="2343"/>
      <c r="L90" s="2343"/>
      <c r="M90" s="2343"/>
      <c r="N90" s="2343"/>
    </row>
    <row r="91" spans="1:37">
      <c r="A91" s="3374" t="s">
        <v>2792</v>
      </c>
      <c r="B91" s="3374" t="s">
        <v>2793</v>
      </c>
      <c r="C91" s="2297" t="s">
        <v>2794</v>
      </c>
      <c r="D91" s="2298"/>
      <c r="E91" s="2298"/>
      <c r="F91" s="2298"/>
      <c r="G91" s="2298"/>
      <c r="H91" s="2298"/>
      <c r="I91" s="2298"/>
      <c r="J91" s="2344"/>
      <c r="K91" s="2345"/>
      <c r="L91" s="2345"/>
      <c r="M91" s="2345"/>
      <c r="N91" s="2345"/>
    </row>
    <row r="92" spans="1:37">
      <c r="A92" s="3374"/>
      <c r="B92" s="3374"/>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75"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6"/>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7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5" t="s">
        <v>2796</v>
      </c>
      <c r="B101" s="2350" t="s">
        <v>2797</v>
      </c>
      <c r="C101" s="2351">
        <f>$G$3</f>
        <v>0.17</v>
      </c>
      <c r="D101" s="2351">
        <f t="shared" ref="D101:N101" si="31">$G$3</f>
        <v>0.17</v>
      </c>
      <c r="E101" s="2351">
        <f t="shared" si="31"/>
        <v>0.17</v>
      </c>
      <c r="F101" s="2351">
        <f t="shared" si="31"/>
        <v>0.17</v>
      </c>
      <c r="G101" s="2351">
        <f t="shared" si="31"/>
        <v>0.17</v>
      </c>
      <c r="H101" s="2351">
        <f t="shared" si="31"/>
        <v>0.17</v>
      </c>
      <c r="I101" s="2351">
        <f t="shared" si="31"/>
        <v>0.17</v>
      </c>
      <c r="J101" s="2351">
        <f t="shared" si="31"/>
        <v>0.17</v>
      </c>
      <c r="K101" s="2351">
        <f t="shared" si="31"/>
        <v>0.17</v>
      </c>
      <c r="L101" s="2351">
        <f t="shared" si="31"/>
        <v>0.17</v>
      </c>
      <c r="M101" s="2351">
        <f t="shared" si="31"/>
        <v>0.17</v>
      </c>
      <c r="N101" s="2351">
        <f t="shared" si="31"/>
        <v>0.17</v>
      </c>
    </row>
    <row r="102" spans="1:14">
      <c r="A102" s="3376"/>
      <c r="B102" s="2346">
        <v>1</v>
      </c>
      <c r="C102" s="2347">
        <f>1.9362/C101</f>
        <v>11.389411764705882</v>
      </c>
      <c r="D102" s="2347">
        <f>1.9362/D101</f>
        <v>11.389411764705882</v>
      </c>
      <c r="E102" s="2347">
        <f>1.8629/E101</f>
        <v>10.958235294117646</v>
      </c>
      <c r="F102" s="2347">
        <f>1.8629/F101</f>
        <v>10.958235294117646</v>
      </c>
      <c r="G102" s="2347">
        <f>1.8629/G101</f>
        <v>10.958235294117646</v>
      </c>
      <c r="H102" s="2347">
        <f>1.8629/H101</f>
        <v>10.958235294117646</v>
      </c>
      <c r="I102" s="2347">
        <f>1.8629/I101</f>
        <v>10.958235294117646</v>
      </c>
      <c r="J102" s="2347">
        <f>1.942/J101</f>
        <v>11.423529411764704</v>
      </c>
      <c r="K102" s="2347">
        <f>1.942/K101</f>
        <v>11.423529411764704</v>
      </c>
      <c r="L102" s="2347">
        <f>1.942/L101</f>
        <v>11.423529411764704</v>
      </c>
      <c r="M102" s="2347">
        <f>1.942/M101</f>
        <v>11.423529411764704</v>
      </c>
      <c r="N102" s="2347">
        <f>1.942/N101</f>
        <v>11.423529411764704</v>
      </c>
    </row>
    <row r="103" spans="1:14">
      <c r="A103" s="3376"/>
      <c r="B103" s="2346">
        <v>2</v>
      </c>
      <c r="C103" s="2347">
        <f>1.4198/C101</f>
        <v>8.3517647058823528</v>
      </c>
      <c r="D103" s="2347">
        <f>1.4198/D101</f>
        <v>8.3517647058823528</v>
      </c>
      <c r="E103" s="2347">
        <f>1.3372/E101</f>
        <v>7.8658823529411759</v>
      </c>
      <c r="F103" s="2347">
        <f>1.3372/F101</f>
        <v>7.8658823529411759</v>
      </c>
      <c r="G103" s="2347">
        <f>1.3372/G101</f>
        <v>7.8658823529411759</v>
      </c>
      <c r="H103" s="2347">
        <f>1.3372/H101</f>
        <v>7.8658823529411759</v>
      </c>
      <c r="I103" s="2347">
        <f>1.3372/I101</f>
        <v>7.8658823529411759</v>
      </c>
      <c r="J103" s="2347">
        <f>1.2799/J101</f>
        <v>7.5288235294117642</v>
      </c>
      <c r="K103" s="2347">
        <f>1.2799/K101</f>
        <v>7.5288235294117642</v>
      </c>
      <c r="L103" s="2347">
        <f>1.2799/L101</f>
        <v>7.5288235294117642</v>
      </c>
      <c r="M103" s="2347">
        <f>1.2799/M101</f>
        <v>7.5288235294117642</v>
      </c>
      <c r="N103" s="2347">
        <f>1.2799/N101</f>
        <v>7.5288235294117642</v>
      </c>
    </row>
    <row r="104" spans="1:14">
      <c r="A104" s="3376"/>
      <c r="B104" s="2346">
        <v>3</v>
      </c>
      <c r="C104" s="2347">
        <f>1.1594/C101</f>
        <v>6.8199999999999994</v>
      </c>
      <c r="D104" s="2347">
        <f>1.1594/D101</f>
        <v>6.8199999999999994</v>
      </c>
      <c r="E104" s="2347">
        <f>1.0788/E101</f>
        <v>6.3458823529411763</v>
      </c>
      <c r="F104" s="2347">
        <f>1.0788/F101</f>
        <v>6.3458823529411763</v>
      </c>
      <c r="G104" s="2347">
        <f>1.0788/G101</f>
        <v>6.3458823529411763</v>
      </c>
      <c r="H104" s="2347">
        <f>1.0788/H101</f>
        <v>6.3458823529411763</v>
      </c>
      <c r="I104" s="2347">
        <f>1.0788/I101</f>
        <v>6.3458823529411763</v>
      </c>
      <c r="J104" s="2347">
        <f>1.0072/J101</f>
        <v>5.9247058823529413</v>
      </c>
      <c r="K104" s="2347">
        <f>1.0072/K101</f>
        <v>5.9247058823529413</v>
      </c>
      <c r="L104" s="2347">
        <f>1.0072/L101</f>
        <v>5.9247058823529413</v>
      </c>
      <c r="M104" s="2347">
        <f>1.0072/M101</f>
        <v>5.9247058823529413</v>
      </c>
      <c r="N104" s="2347">
        <f>1.0072/N101</f>
        <v>5.9247058823529413</v>
      </c>
    </row>
    <row r="105" spans="1:14">
      <c r="A105" s="3376"/>
      <c r="B105" s="2346">
        <v>4</v>
      </c>
      <c r="C105" s="2347">
        <f>0.9622/C101</f>
        <v>5.66</v>
      </c>
      <c r="D105" s="2347">
        <f>0.9622/D101</f>
        <v>5.66</v>
      </c>
      <c r="E105" s="2347">
        <f>0.8656/E101</f>
        <v>5.091764705882353</v>
      </c>
      <c r="F105" s="2347">
        <f>0.8656/F101</f>
        <v>5.091764705882353</v>
      </c>
      <c r="G105" s="2347">
        <f>0.8656/G101</f>
        <v>5.091764705882353</v>
      </c>
      <c r="H105" s="2347">
        <f>0.8656/H101</f>
        <v>5.091764705882353</v>
      </c>
      <c r="I105" s="2347">
        <f>0.8656/I101</f>
        <v>5.091764705882353</v>
      </c>
      <c r="J105" s="2347">
        <f>0.7525/J101</f>
        <v>4.4264705882352935</v>
      </c>
      <c r="K105" s="2347">
        <f>0.7525/K101</f>
        <v>4.4264705882352935</v>
      </c>
      <c r="L105" s="2347">
        <f>0.7525/L101</f>
        <v>4.4264705882352935</v>
      </c>
      <c r="M105" s="2347">
        <f>0.7525/M101</f>
        <v>4.4264705882352935</v>
      </c>
      <c r="N105" s="2347">
        <f>0.7525/N101</f>
        <v>4.4264705882352935</v>
      </c>
    </row>
    <row r="106" spans="1:14">
      <c r="A106" s="3376"/>
      <c r="B106" s="2346">
        <v>5</v>
      </c>
      <c r="C106" s="2347">
        <f>0.8417/C101</f>
        <v>4.9511764705882353</v>
      </c>
      <c r="D106" s="2347">
        <f>0.8417/D101</f>
        <v>4.9511764705882353</v>
      </c>
      <c r="E106" s="2347">
        <f>0.7371/E101</f>
        <v>4.3358823529411756</v>
      </c>
      <c r="F106" s="2347">
        <f>0.7371/F101</f>
        <v>4.3358823529411756</v>
      </c>
      <c r="G106" s="2347">
        <f>0.7371/G101</f>
        <v>4.3358823529411756</v>
      </c>
      <c r="H106" s="2347">
        <f>0.7371/H101</f>
        <v>4.3358823529411756</v>
      </c>
      <c r="I106" s="2347">
        <f>0.7371/I101</f>
        <v>4.3358823529411756</v>
      </c>
      <c r="J106" s="2347">
        <f>0.5659/J101</f>
        <v>3.3288235294117641</v>
      </c>
      <c r="K106" s="2347">
        <f>0.5659/K101</f>
        <v>3.3288235294117641</v>
      </c>
      <c r="L106" s="2347">
        <f>0.5659/L101</f>
        <v>3.3288235294117641</v>
      </c>
      <c r="M106" s="2347">
        <f>0.5659/M101</f>
        <v>3.3288235294117641</v>
      </c>
      <c r="N106" s="2347">
        <f>0.5659/N101</f>
        <v>3.3288235294117641</v>
      </c>
    </row>
    <row r="107" spans="1:14">
      <c r="A107" s="3376"/>
      <c r="B107" s="2346">
        <v>6</v>
      </c>
      <c r="C107" s="2347">
        <f>0.7608/C101</f>
        <v>4.4752941176470591</v>
      </c>
      <c r="D107" s="2347">
        <f>0.7608/D101</f>
        <v>4.4752941176470591</v>
      </c>
      <c r="E107" s="2347">
        <f>0.6482/E101</f>
        <v>3.8129411764705878</v>
      </c>
      <c r="F107" s="2347">
        <f>0.6482/F101</f>
        <v>3.8129411764705878</v>
      </c>
      <c r="G107" s="2347">
        <f>0.6482/G101</f>
        <v>3.8129411764705878</v>
      </c>
      <c r="H107" s="2347">
        <f>0.6482/H101</f>
        <v>3.8129411764705878</v>
      </c>
      <c r="I107" s="2347">
        <f>0.6482/I101</f>
        <v>3.8129411764705878</v>
      </c>
      <c r="J107" s="2347">
        <f>0.4525/J101</f>
        <v>2.6617647058823528</v>
      </c>
      <c r="K107" s="2347">
        <f>0.4525/K101</f>
        <v>2.6617647058823528</v>
      </c>
      <c r="L107" s="2347">
        <f>0.4525/L101</f>
        <v>2.6617647058823528</v>
      </c>
      <c r="M107" s="2347">
        <f>0.4525/M101</f>
        <v>2.6617647058823528</v>
      </c>
      <c r="N107" s="2347">
        <f>0.4525/N101</f>
        <v>2.6617647058823528</v>
      </c>
    </row>
    <row r="108" spans="1:14">
      <c r="A108" s="3376"/>
      <c r="B108" s="3378"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77"/>
      <c r="B109" s="3379"/>
      <c r="C109" s="2349">
        <f>(-0.163*(C108^2)-0.59*C108+7617)*(10^(-4))/C101</f>
        <v>4.4805882352941175</v>
      </c>
      <c r="D109" s="2349">
        <f>(-0.163*(D108^2)-0.59*D108+7617)*(10^(-4))/D101</f>
        <v>4.4805882352941175</v>
      </c>
      <c r="E109" s="2349">
        <f>(-0.161*(E108^2)-7.509*E108+6533)*(10^(-4))/E101</f>
        <v>3.8429411764705881</v>
      </c>
      <c r="F109" s="2349">
        <f>(-0.161*(F108^2)-7.509*F108+6533)*(10^(-4))/F101</f>
        <v>3.8429411764705881</v>
      </c>
      <c r="G109" s="2349">
        <f>(-0.161*(G108^2)-7.509*G108+6533)*(10^(-4))/G101</f>
        <v>3.8429411764705881</v>
      </c>
      <c r="H109" s="2349">
        <f>(-0.161*(H108^2)-7.509*H108+6533)*(10^(-4))/H101</f>
        <v>3.8429411764705881</v>
      </c>
      <c r="I109" s="2349">
        <f>(-0.161*(I108^2)-7.509*I108+6533)*(10^(-4))/I101</f>
        <v>3.8429411764705881</v>
      </c>
      <c r="J109" s="2349">
        <f>(-0.214*(J108^2)-21.991*J108+4665)*(10^(-4))/J101</f>
        <v>2.7441176470588236</v>
      </c>
      <c r="K109" s="2349">
        <f>(-0.214*(K108^2)-21.991*K108+4665)*(10^(-4))/K101</f>
        <v>2.7441176470588236</v>
      </c>
      <c r="L109" s="2349">
        <f>(-0.214*(L108^2)-21.991*L108+4665)*(10^(-4))/L101</f>
        <v>2.7441176470588236</v>
      </c>
      <c r="M109" s="2349">
        <f>(-0.214*(M108^2)-21.991*M108+4665)*(10^(-4))/M101</f>
        <v>2.7441176470588236</v>
      </c>
      <c r="N109" s="2349">
        <f>(-0.214*(N108^2)-21.991*N108+4665)*(10^(-4))/N101</f>
        <v>2.7441176470588236</v>
      </c>
    </row>
    <row r="110" spans="1:14">
      <c r="A110" s="3373" t="s">
        <v>2799</v>
      </c>
      <c r="B110" s="3373"/>
      <c r="C110" s="3373"/>
      <c r="D110" s="3373"/>
      <c r="E110" s="3373"/>
      <c r="F110" s="3373"/>
      <c r="G110" s="3373"/>
      <c r="H110" s="3373"/>
      <c r="I110" s="3373"/>
      <c r="J110" s="3373"/>
      <c r="K110" s="2352"/>
      <c r="L110" s="2352"/>
      <c r="M110" s="2352"/>
      <c r="N110" s="2352"/>
    </row>
    <row r="112" spans="1:14" ht="13.5" thickBot="1"/>
    <row r="113" spans="1:13" ht="25.5" thickBot="1">
      <c r="A113" s="842" t="s">
        <v>2800</v>
      </c>
      <c r="B113" s="1197">
        <f>G3</f>
        <v>0.17</v>
      </c>
      <c r="C113" s="843" t="s">
        <v>2801</v>
      </c>
      <c r="D113" s="844">
        <f>SUMPRODUCT((A115:A118=F113)*(B114:M114=H113)*B115:M118)</f>
        <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0.93189999999999995</v>
      </c>
      <c r="C115" s="849">
        <f>B115</f>
        <v>0.93189999999999995</v>
      </c>
      <c r="D115" s="849">
        <f>ROUND(0.8331-0.0109*B113,4)</f>
        <v>0.83120000000000005</v>
      </c>
      <c r="E115" s="849">
        <f>D115</f>
        <v>0.83120000000000005</v>
      </c>
      <c r="F115" s="849">
        <f>E115</f>
        <v>0.83120000000000005</v>
      </c>
      <c r="G115" s="849">
        <f>F115</f>
        <v>0.83120000000000005</v>
      </c>
      <c r="H115" s="849">
        <f>G115</f>
        <v>0.83120000000000005</v>
      </c>
      <c r="I115" s="849">
        <f>ROUND(0.689-0.0155*B113,4)</f>
        <v>0.68640000000000001</v>
      </c>
      <c r="J115" s="849">
        <f t="shared" ref="J115:M118" si="33">I115</f>
        <v>0.68640000000000001</v>
      </c>
      <c r="K115" s="849">
        <f t="shared" si="33"/>
        <v>0.68640000000000001</v>
      </c>
      <c r="L115" s="849">
        <f t="shared" si="33"/>
        <v>0.68640000000000001</v>
      </c>
      <c r="M115" s="850">
        <f t="shared" si="33"/>
        <v>0.68640000000000001</v>
      </c>
    </row>
    <row r="116" spans="1:13">
      <c r="A116" s="848" t="s">
        <v>2700</v>
      </c>
      <c r="B116" s="849">
        <f>ROUND(0.949-0.012*B113,4)</f>
        <v>0.94699999999999995</v>
      </c>
      <c r="C116" s="849">
        <f>B116</f>
        <v>0.94699999999999995</v>
      </c>
      <c r="D116" s="849">
        <f>ROUND(0.8567-0.013*B113,4)</f>
        <v>0.85450000000000004</v>
      </c>
      <c r="E116" s="849">
        <f t="shared" ref="E116:H117" si="34">D116</f>
        <v>0.85450000000000004</v>
      </c>
      <c r="F116" s="849">
        <f t="shared" si="34"/>
        <v>0.85450000000000004</v>
      </c>
      <c r="G116" s="849">
        <f t="shared" si="34"/>
        <v>0.85450000000000004</v>
      </c>
      <c r="H116" s="849">
        <f t="shared" si="34"/>
        <v>0.85450000000000004</v>
      </c>
      <c r="I116" s="849">
        <f>ROUND(0.7694-0.014*B113,4)</f>
        <v>0.76700000000000002</v>
      </c>
      <c r="J116" s="849">
        <f t="shared" si="33"/>
        <v>0.76700000000000002</v>
      </c>
      <c r="K116" s="849">
        <f t="shared" si="33"/>
        <v>0.76700000000000002</v>
      </c>
      <c r="L116" s="849">
        <f t="shared" si="33"/>
        <v>0.76700000000000002</v>
      </c>
      <c r="M116" s="850">
        <f t="shared" si="33"/>
        <v>0.76700000000000002</v>
      </c>
    </row>
    <row r="117" spans="1:13">
      <c r="A117" s="848" t="s">
        <v>2701</v>
      </c>
      <c r="B117" s="849">
        <f>ROUND(0.8808-0.006*B113,4)</f>
        <v>0.87980000000000003</v>
      </c>
      <c r="C117" s="849">
        <f>B117</f>
        <v>0.87980000000000003</v>
      </c>
      <c r="D117" s="849">
        <f>ROUND(0.8748-0.008*B113,4)</f>
        <v>0.87339999999999995</v>
      </c>
      <c r="E117" s="849">
        <f t="shared" si="34"/>
        <v>0.87339999999999995</v>
      </c>
      <c r="F117" s="849">
        <f t="shared" si="34"/>
        <v>0.87339999999999995</v>
      </c>
      <c r="G117" s="849">
        <f t="shared" si="34"/>
        <v>0.87339999999999995</v>
      </c>
      <c r="H117" s="849">
        <f t="shared" si="34"/>
        <v>0.87339999999999995</v>
      </c>
      <c r="I117" s="849">
        <f>ROUND(0.7412-0.0095*B113,4)</f>
        <v>0.73960000000000004</v>
      </c>
      <c r="J117" s="849">
        <f t="shared" si="33"/>
        <v>0.73960000000000004</v>
      </c>
      <c r="K117" s="849">
        <f t="shared" si="33"/>
        <v>0.73960000000000004</v>
      </c>
      <c r="L117" s="849">
        <f t="shared" si="33"/>
        <v>0.73960000000000004</v>
      </c>
      <c r="M117" s="850">
        <f t="shared" si="33"/>
        <v>0.73960000000000004</v>
      </c>
    </row>
    <row r="118" spans="1:13" ht="13.5" thickBot="1">
      <c r="A118" s="670" t="s">
        <v>2702</v>
      </c>
      <c r="B118" s="851">
        <f>ROUND(0.7275-0.01*B113,4)</f>
        <v>0.7258</v>
      </c>
      <c r="C118" s="851">
        <f>B118</f>
        <v>0.7258</v>
      </c>
      <c r="D118" s="851">
        <f>ROUND(0.7043-0.012*B113,4)</f>
        <v>0.70230000000000004</v>
      </c>
      <c r="E118" s="851">
        <f>D118</f>
        <v>0.70230000000000004</v>
      </c>
      <c r="F118" s="851">
        <f>E118</f>
        <v>0.70230000000000004</v>
      </c>
      <c r="G118" s="851">
        <f>ROUND(0.6299-0.0122*B113,4)</f>
        <v>0.62780000000000002</v>
      </c>
      <c r="H118" s="851">
        <f>G118</f>
        <v>0.62780000000000002</v>
      </c>
      <c r="I118" s="851">
        <f>ROUND(0.5667-0.0136*B113,4)</f>
        <v>0.56440000000000001</v>
      </c>
      <c r="J118" s="851">
        <f t="shared" si="33"/>
        <v>0.56440000000000001</v>
      </c>
      <c r="K118" s="851">
        <f t="shared" si="33"/>
        <v>0.56440000000000001</v>
      </c>
      <c r="L118" s="851">
        <f t="shared" si="33"/>
        <v>0.56440000000000001</v>
      </c>
      <c r="M118" s="852">
        <f t="shared" si="33"/>
        <v>0.56440000000000001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6" t="s">
        <v>183</v>
      </c>
      <c r="B18" s="821" t="s">
        <v>560</v>
      </c>
      <c r="C18" s="822" t="s">
        <v>561</v>
      </c>
      <c r="D18" s="823"/>
      <c r="E18" s="821">
        <v>1</v>
      </c>
      <c r="F18" s="824" t="s">
        <v>562</v>
      </c>
      <c r="G18" s="825"/>
      <c r="H18" s="817"/>
      <c r="I18" s="817"/>
    </row>
    <row r="19" spans="1:9" s="826" customFormat="1" ht="19.5" customHeight="1">
      <c r="A19" s="3386"/>
      <c r="B19" s="3386" t="s">
        <v>563</v>
      </c>
      <c r="C19" s="822" t="s">
        <v>564</v>
      </c>
      <c r="D19" s="823"/>
      <c r="E19" s="821">
        <v>0.9</v>
      </c>
      <c r="F19" s="824" t="s">
        <v>565</v>
      </c>
      <c r="G19" s="825"/>
      <c r="H19" s="817"/>
      <c r="I19" s="817"/>
    </row>
    <row r="20" spans="1:9" s="826" customFormat="1" ht="19.5" customHeight="1">
      <c r="A20" s="3386"/>
      <c r="B20" s="3386"/>
      <c r="C20" s="822" t="s">
        <v>566</v>
      </c>
      <c r="D20" s="823"/>
      <c r="E20" s="821">
        <v>1.1000000000000001</v>
      </c>
      <c r="F20" s="824" t="s">
        <v>567</v>
      </c>
      <c r="G20" s="825"/>
      <c r="H20" s="817"/>
      <c r="I20" s="817"/>
    </row>
    <row r="21" spans="1:9" s="826" customFormat="1" ht="19.5" customHeight="1">
      <c r="A21" s="3386"/>
      <c r="B21" s="3386"/>
      <c r="C21" s="822" t="s">
        <v>568</v>
      </c>
      <c r="D21" s="823"/>
      <c r="E21" s="821">
        <v>0.8</v>
      </c>
      <c r="F21" s="824" t="s">
        <v>569</v>
      </c>
      <c r="G21" s="825"/>
      <c r="H21" s="817"/>
      <c r="I21" s="817"/>
    </row>
    <row r="22" spans="1:9" s="826" customFormat="1" ht="19.5" customHeight="1">
      <c r="A22" s="3386"/>
      <c r="B22" s="3386"/>
      <c r="C22" s="822" t="s">
        <v>570</v>
      </c>
      <c r="D22" s="823"/>
      <c r="E22" s="821">
        <v>0.5</v>
      </c>
      <c r="F22" s="824"/>
      <c r="G22" s="825"/>
      <c r="H22" s="817"/>
      <c r="I22" s="817"/>
    </row>
    <row r="23" spans="1:9" s="826" customFormat="1" ht="19.5" customHeight="1">
      <c r="A23" s="3386" t="s">
        <v>184</v>
      </c>
      <c r="B23" s="821" t="s">
        <v>560</v>
      </c>
      <c r="C23" s="822" t="s">
        <v>571</v>
      </c>
      <c r="D23" s="823"/>
      <c r="E23" s="821">
        <v>1</v>
      </c>
      <c r="F23" s="824" t="s">
        <v>572</v>
      </c>
      <c r="G23" s="825"/>
      <c r="H23" s="817"/>
      <c r="I23" s="817"/>
    </row>
    <row r="24" spans="1:9" s="826" customFormat="1" ht="19.5" customHeight="1">
      <c r="A24" s="3386"/>
      <c r="B24" s="3386" t="s">
        <v>563</v>
      </c>
      <c r="C24" s="822" t="s">
        <v>573</v>
      </c>
      <c r="D24" s="823"/>
      <c r="E24" s="821">
        <v>0.5</v>
      </c>
      <c r="F24" s="824"/>
      <c r="G24" s="825"/>
      <c r="H24" s="817"/>
      <c r="I24" s="817"/>
    </row>
    <row r="25" spans="1:9" s="826" customFormat="1" ht="19.5" customHeight="1">
      <c r="A25" s="3386"/>
      <c r="B25" s="3386"/>
      <c r="C25" s="822" t="s">
        <v>574</v>
      </c>
      <c r="D25" s="823"/>
      <c r="E25" s="821">
        <v>1.1000000000000001</v>
      </c>
      <c r="F25" s="824"/>
      <c r="G25" s="825"/>
      <c r="H25" s="817"/>
      <c r="I25" s="817"/>
    </row>
    <row r="26" spans="1:9" s="826" customFormat="1" ht="19.5" customHeight="1">
      <c r="A26" s="3386"/>
      <c r="B26" s="3386"/>
      <c r="C26" s="822" t="s">
        <v>575</v>
      </c>
      <c r="D26" s="823"/>
      <c r="E26" s="821">
        <v>1.1000000000000001</v>
      </c>
      <c r="F26" s="824"/>
      <c r="G26" s="825"/>
      <c r="H26" s="817"/>
      <c r="I26" s="817"/>
    </row>
    <row r="27" spans="1:9" s="826" customFormat="1" ht="19.5" customHeight="1">
      <c r="A27" s="3386"/>
      <c r="B27" s="3386"/>
      <c r="C27" s="822" t="s">
        <v>576</v>
      </c>
      <c r="D27" s="823"/>
      <c r="E27" s="821">
        <v>0.9</v>
      </c>
      <c r="F27" s="824" t="s">
        <v>577</v>
      </c>
      <c r="G27" s="825"/>
      <c r="H27" s="817"/>
      <c r="I27" s="817"/>
    </row>
    <row r="28" spans="1:9" s="826" customFormat="1" ht="19.5" customHeight="1">
      <c r="A28" s="3386"/>
      <c r="B28" s="3386"/>
      <c r="C28" s="822" t="s">
        <v>578</v>
      </c>
      <c r="D28" s="823"/>
      <c r="E28" s="821">
        <v>0.9</v>
      </c>
      <c r="F28" s="824" t="s">
        <v>579</v>
      </c>
      <c r="G28" s="825"/>
      <c r="H28" s="817"/>
      <c r="I28" s="817"/>
    </row>
    <row r="29" spans="1:9" s="826" customFormat="1" ht="19.5" customHeight="1">
      <c r="A29" s="3386"/>
      <c r="B29" s="3386"/>
      <c r="C29" s="822" t="s">
        <v>580</v>
      </c>
      <c r="D29" s="823"/>
      <c r="E29" s="821">
        <v>0.9</v>
      </c>
      <c r="F29" s="824" t="s">
        <v>581</v>
      </c>
      <c r="G29" s="825"/>
      <c r="H29" s="817"/>
      <c r="I29" s="817"/>
    </row>
    <row r="30" spans="1:9" s="826" customFormat="1" ht="19.5" customHeight="1">
      <c r="A30" s="3386"/>
      <c r="B30" s="3386"/>
      <c r="C30" s="822" t="s">
        <v>582</v>
      </c>
      <c r="D30" s="823"/>
      <c r="E30" s="821">
        <v>0.9</v>
      </c>
      <c r="F30" s="824" t="s">
        <v>583</v>
      </c>
      <c r="G30" s="825"/>
      <c r="H30" s="817"/>
      <c r="I30" s="817"/>
    </row>
    <row r="31" spans="1:9" s="826" customFormat="1" ht="19.5" customHeight="1">
      <c r="A31" s="3386"/>
      <c r="B31" s="3386"/>
      <c r="C31" s="822" t="s">
        <v>584</v>
      </c>
      <c r="D31" s="823"/>
      <c r="E31" s="821">
        <v>0.8</v>
      </c>
      <c r="F31" s="824" t="s">
        <v>585</v>
      </c>
      <c r="G31" s="825"/>
      <c r="H31" s="817"/>
      <c r="I31" s="817"/>
    </row>
    <row r="32" spans="1:9" s="826" customFormat="1" ht="19.5" customHeight="1">
      <c r="A32" s="3386"/>
      <c r="B32" s="3386"/>
      <c r="C32" s="822" t="s">
        <v>586</v>
      </c>
      <c r="D32" s="823"/>
      <c r="E32" s="821">
        <v>0.8</v>
      </c>
      <c r="F32" s="824" t="s">
        <v>587</v>
      </c>
      <c r="G32" s="825"/>
      <c r="H32" s="817"/>
      <c r="I32" s="817"/>
    </row>
    <row r="33" spans="1:9" s="826" customFormat="1" ht="19.5" customHeight="1">
      <c r="A33" s="3386" t="s">
        <v>185</v>
      </c>
      <c r="B33" s="821" t="s">
        <v>560</v>
      </c>
      <c r="C33" s="822" t="s">
        <v>588</v>
      </c>
      <c r="D33" s="823"/>
      <c r="E33" s="821">
        <v>1</v>
      </c>
      <c r="F33" s="824" t="s">
        <v>589</v>
      </c>
      <c r="G33" s="825"/>
      <c r="H33" s="817"/>
      <c r="I33" s="817"/>
    </row>
    <row r="34" spans="1:9" s="826" customFormat="1" ht="19.5" customHeight="1">
      <c r="A34" s="3386"/>
      <c r="B34" s="821" t="s">
        <v>563</v>
      </c>
      <c r="C34" s="822" t="s">
        <v>590</v>
      </c>
      <c r="D34" s="823"/>
      <c r="E34" s="821">
        <v>1.5</v>
      </c>
      <c r="F34" s="824" t="s">
        <v>591</v>
      </c>
      <c r="G34" s="825"/>
      <c r="H34" s="817"/>
      <c r="I34" s="817"/>
    </row>
    <row r="35" spans="1:9" s="826" customFormat="1" ht="19.5" customHeight="1">
      <c r="A35" s="3386" t="s">
        <v>186</v>
      </c>
      <c r="B35" s="821" t="s">
        <v>560</v>
      </c>
      <c r="C35" s="822" t="s">
        <v>592</v>
      </c>
      <c r="D35" s="823"/>
      <c r="E35" s="821">
        <v>1</v>
      </c>
      <c r="F35" s="824" t="s">
        <v>593</v>
      </c>
      <c r="G35" s="825"/>
      <c r="H35" s="817"/>
      <c r="I35" s="817"/>
    </row>
    <row r="36" spans="1:9" s="826" customFormat="1" ht="19.5" customHeight="1">
      <c r="A36" s="3386"/>
      <c r="B36" s="3386" t="s">
        <v>563</v>
      </c>
      <c r="C36" s="822" t="s">
        <v>594</v>
      </c>
      <c r="D36" s="823"/>
      <c r="E36" s="821">
        <v>1</v>
      </c>
      <c r="F36" s="824" t="s">
        <v>595</v>
      </c>
      <c r="G36" s="825"/>
      <c r="H36" s="817"/>
      <c r="I36" s="817"/>
    </row>
    <row r="37" spans="1:9" s="826" customFormat="1" ht="19.5" customHeight="1">
      <c r="A37" s="3386"/>
      <c r="B37" s="3386"/>
      <c r="C37" s="822" t="s">
        <v>596</v>
      </c>
      <c r="D37" s="823"/>
      <c r="E37" s="821">
        <v>1.5</v>
      </c>
      <c r="F37" s="824" t="s">
        <v>597</v>
      </c>
      <c r="G37" s="825"/>
      <c r="H37" s="817"/>
      <c r="I37" s="817"/>
    </row>
    <row r="38" spans="1:9" s="826" customFormat="1" ht="19.5" customHeight="1">
      <c r="A38" s="3386"/>
      <c r="B38" s="3386"/>
      <c r="C38" s="822" t="s">
        <v>598</v>
      </c>
      <c r="D38" s="823"/>
      <c r="E38" s="821">
        <v>1</v>
      </c>
      <c r="F38" s="824" t="s">
        <v>599</v>
      </c>
      <c r="G38" s="825"/>
      <c r="H38" s="817"/>
      <c r="I38" s="817"/>
    </row>
    <row r="39" spans="1:9" s="826" customFormat="1" ht="19.5" customHeight="1">
      <c r="A39" s="3386"/>
      <c r="B39" s="338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6" t="s">
        <v>614</v>
      </c>
      <c r="C61" s="757" t="s">
        <v>615</v>
      </c>
      <c r="D61" s="757" t="s">
        <v>616</v>
      </c>
      <c r="E61" s="834">
        <v>0.5</v>
      </c>
      <c r="F61" s="821">
        <v>80</v>
      </c>
    </row>
    <row r="62" spans="1:8" s="817" customFormat="1" ht="24">
      <c r="A62" s="821">
        <v>2</v>
      </c>
      <c r="B62" s="3386"/>
      <c r="C62" s="757" t="s">
        <v>617</v>
      </c>
      <c r="D62" s="757" t="s">
        <v>618</v>
      </c>
      <c r="E62" s="834">
        <v>0.5</v>
      </c>
      <c r="F62" s="821">
        <v>80</v>
      </c>
    </row>
    <row r="63" spans="1:8" s="817" customFormat="1" ht="36">
      <c r="A63" s="821">
        <v>3</v>
      </c>
      <c r="B63" s="3386"/>
      <c r="C63" s="757" t="s">
        <v>619</v>
      </c>
      <c r="D63" s="757" t="s">
        <v>620</v>
      </c>
      <c r="E63" s="834">
        <v>0.5</v>
      </c>
      <c r="F63" s="821">
        <v>80</v>
      </c>
    </row>
    <row r="64" spans="1:8" s="817" customFormat="1" ht="36">
      <c r="A64" s="821">
        <v>4</v>
      </c>
      <c r="B64" s="3386"/>
      <c r="C64" s="757" t="s">
        <v>621</v>
      </c>
      <c r="D64" s="757" t="s">
        <v>622</v>
      </c>
      <c r="E64" s="834">
        <v>0.4</v>
      </c>
      <c r="F64" s="821">
        <v>60</v>
      </c>
    </row>
    <row r="65" spans="1:6" s="817" customFormat="1" ht="36">
      <c r="A65" s="821">
        <v>5</v>
      </c>
      <c r="B65" s="3386"/>
      <c r="C65" s="757" t="s">
        <v>623</v>
      </c>
      <c r="D65" s="757" t="s">
        <v>624</v>
      </c>
      <c r="E65" s="834">
        <v>0.2</v>
      </c>
      <c r="F65" s="821">
        <v>30</v>
      </c>
    </row>
    <row r="66" spans="1:6" s="817" customFormat="1" ht="36">
      <c r="A66" s="821">
        <v>6</v>
      </c>
      <c r="B66" s="3386"/>
      <c r="C66" s="757" t="s">
        <v>625</v>
      </c>
      <c r="D66" s="757" t="s">
        <v>626</v>
      </c>
      <c r="E66" s="834">
        <v>0.3</v>
      </c>
      <c r="F66" s="821">
        <v>50</v>
      </c>
    </row>
    <row r="67" spans="1:6" s="817" customFormat="1" ht="36">
      <c r="A67" s="821">
        <v>7</v>
      </c>
      <c r="B67" s="3386"/>
      <c r="C67" s="757" t="s">
        <v>627</v>
      </c>
      <c r="D67" s="757" t="s">
        <v>628</v>
      </c>
      <c r="E67" s="834">
        <v>0.2</v>
      </c>
      <c r="F67" s="821">
        <v>30</v>
      </c>
    </row>
    <row r="68" spans="1:6" s="817" customFormat="1" ht="36">
      <c r="A68" s="821">
        <v>8</v>
      </c>
      <c r="B68" s="3386"/>
      <c r="C68" s="757" t="s">
        <v>629</v>
      </c>
      <c r="D68" s="757" t="s">
        <v>630</v>
      </c>
      <c r="E68" s="834">
        <v>0.2</v>
      </c>
      <c r="F68" s="821">
        <v>30</v>
      </c>
    </row>
    <row r="69" spans="1:6" s="817" customFormat="1" ht="36">
      <c r="A69" s="821">
        <v>9</v>
      </c>
      <c r="B69" s="3386"/>
      <c r="C69" s="757" t="s">
        <v>631</v>
      </c>
      <c r="D69" s="757" t="s">
        <v>632</v>
      </c>
      <c r="E69" s="834">
        <v>0.2</v>
      </c>
      <c r="F69" s="821">
        <v>30</v>
      </c>
    </row>
    <row r="70" spans="1:6" s="817" customFormat="1" ht="48">
      <c r="A70" s="821">
        <v>10</v>
      </c>
      <c r="B70" s="3386"/>
      <c r="C70" s="757" t="s">
        <v>633</v>
      </c>
      <c r="D70" s="757" t="s">
        <v>634</v>
      </c>
      <c r="E70" s="834">
        <v>0.2</v>
      </c>
      <c r="F70" s="821">
        <v>30</v>
      </c>
    </row>
    <row r="71" spans="1:6" s="817" customFormat="1" ht="48">
      <c r="A71" s="821">
        <v>11</v>
      </c>
      <c r="B71" s="3386"/>
      <c r="C71" s="757" t="s">
        <v>635</v>
      </c>
      <c r="D71" s="757" t="s">
        <v>636</v>
      </c>
      <c r="E71" s="834">
        <v>0.2</v>
      </c>
      <c r="F71" s="821">
        <v>30</v>
      </c>
    </row>
    <row r="72" spans="1:6" s="817" customFormat="1" ht="36">
      <c r="A72" s="821">
        <v>12</v>
      </c>
      <c r="B72" s="3386"/>
      <c r="C72" s="757" t="s">
        <v>637</v>
      </c>
      <c r="D72" s="757" t="s">
        <v>638</v>
      </c>
      <c r="E72" s="834">
        <v>0.5</v>
      </c>
      <c r="F72" s="821">
        <v>80</v>
      </c>
    </row>
    <row r="73" spans="1:6" s="817" customFormat="1" ht="24">
      <c r="A73" s="821">
        <v>13</v>
      </c>
      <c r="B73" s="3386"/>
      <c r="C73" s="757" t="s">
        <v>639</v>
      </c>
      <c r="D73" s="757" t="s">
        <v>640</v>
      </c>
      <c r="E73" s="834">
        <v>0.4</v>
      </c>
      <c r="F73" s="821">
        <v>60</v>
      </c>
    </row>
    <row r="74" spans="1:6" s="817" customFormat="1" ht="24">
      <c r="A74" s="821">
        <v>14</v>
      </c>
      <c r="B74" s="3386"/>
      <c r="C74" s="757" t="s">
        <v>641</v>
      </c>
      <c r="D74" s="757" t="s">
        <v>642</v>
      </c>
      <c r="E74" s="834">
        <v>0.2</v>
      </c>
      <c r="F74" s="821">
        <v>30</v>
      </c>
    </row>
    <row r="75" spans="1:6" s="817" customFormat="1" ht="24">
      <c r="A75" s="821">
        <v>15</v>
      </c>
      <c r="B75" s="3386"/>
      <c r="C75" s="757" t="s">
        <v>643</v>
      </c>
      <c r="D75" s="757" t="s">
        <v>644</v>
      </c>
      <c r="E75" s="834">
        <v>0.2</v>
      </c>
      <c r="F75" s="821">
        <v>30</v>
      </c>
    </row>
    <row r="76" spans="1:6" s="817" customFormat="1" ht="24">
      <c r="A76" s="821">
        <v>16</v>
      </c>
      <c r="B76" s="3386" t="s">
        <v>645</v>
      </c>
      <c r="C76" s="757" t="s">
        <v>646</v>
      </c>
      <c r="D76" s="757" t="s">
        <v>647</v>
      </c>
      <c r="E76" s="834">
        <v>0.5</v>
      </c>
      <c r="F76" s="821">
        <v>80</v>
      </c>
    </row>
    <row r="77" spans="1:6" s="817" customFormat="1" ht="24">
      <c r="A77" s="821">
        <v>17</v>
      </c>
      <c r="B77" s="3386"/>
      <c r="C77" s="757" t="s">
        <v>648</v>
      </c>
      <c r="D77" s="757" t="s">
        <v>649</v>
      </c>
      <c r="E77" s="834">
        <v>0.5</v>
      </c>
      <c r="F77" s="821">
        <v>80</v>
      </c>
    </row>
    <row r="78" spans="1:6" s="817" customFormat="1" ht="24">
      <c r="A78" s="821">
        <v>18</v>
      </c>
      <c r="B78" s="3386"/>
      <c r="C78" s="757" t="s">
        <v>650</v>
      </c>
      <c r="D78" s="757" t="s">
        <v>651</v>
      </c>
      <c r="E78" s="834">
        <v>0.2</v>
      </c>
      <c r="F78" s="821">
        <v>30</v>
      </c>
    </row>
    <row r="79" spans="1:6" s="817" customFormat="1" ht="24">
      <c r="A79" s="821">
        <v>19</v>
      </c>
      <c r="B79" s="3386"/>
      <c r="C79" s="757" t="s">
        <v>652</v>
      </c>
      <c r="D79" s="757" t="s">
        <v>653</v>
      </c>
      <c r="E79" s="834">
        <v>0.5</v>
      </c>
      <c r="F79" s="821">
        <v>80</v>
      </c>
    </row>
    <row r="80" spans="1:6" s="817" customFormat="1" ht="36">
      <c r="A80" s="821">
        <v>20</v>
      </c>
      <c r="B80" s="3386"/>
      <c r="C80" s="757" t="s">
        <v>654</v>
      </c>
      <c r="D80" s="757" t="s">
        <v>655</v>
      </c>
      <c r="E80" s="834">
        <v>0.2</v>
      </c>
      <c r="F80" s="821">
        <v>30</v>
      </c>
    </row>
    <row r="81" spans="1:6" s="817" customFormat="1" ht="36">
      <c r="A81" s="821">
        <v>21</v>
      </c>
      <c r="B81" s="3386"/>
      <c r="C81" s="757" t="s">
        <v>656</v>
      </c>
      <c r="D81" s="757" t="s">
        <v>657</v>
      </c>
      <c r="E81" s="834">
        <v>0.2</v>
      </c>
      <c r="F81" s="821">
        <v>30</v>
      </c>
    </row>
    <row r="82" spans="1:6" s="817" customFormat="1" ht="48">
      <c r="A82" s="821">
        <v>22</v>
      </c>
      <c r="B82" s="3386"/>
      <c r="C82" s="757" t="s">
        <v>658</v>
      </c>
      <c r="D82" s="757" t="s">
        <v>659</v>
      </c>
      <c r="E82" s="834">
        <v>0.2</v>
      </c>
      <c r="F82" s="821">
        <v>30</v>
      </c>
    </row>
    <row r="83" spans="1:6" s="817" customFormat="1" ht="48">
      <c r="A83" s="821">
        <v>23</v>
      </c>
      <c r="B83" s="3386"/>
      <c r="C83" s="757" t="s">
        <v>660</v>
      </c>
      <c r="D83" s="757" t="s">
        <v>661</v>
      </c>
      <c r="E83" s="834">
        <v>0.2</v>
      </c>
      <c r="F83" s="821">
        <v>30</v>
      </c>
    </row>
    <row r="84" spans="1:6" s="817" customFormat="1" ht="36">
      <c r="A84" s="821">
        <v>24</v>
      </c>
      <c r="B84" s="3386"/>
      <c r="C84" s="757" t="s">
        <v>662</v>
      </c>
      <c r="D84" s="757" t="s">
        <v>663</v>
      </c>
      <c r="E84" s="834">
        <v>0.2</v>
      </c>
      <c r="F84" s="821">
        <v>30</v>
      </c>
    </row>
    <row r="85" spans="1:6" s="817" customFormat="1" ht="36">
      <c r="A85" s="821">
        <v>25</v>
      </c>
      <c r="B85" s="3386"/>
      <c r="C85" s="757" t="s">
        <v>664</v>
      </c>
      <c r="D85" s="757" t="s">
        <v>665</v>
      </c>
      <c r="E85" s="834">
        <v>0.5</v>
      </c>
      <c r="F85" s="821">
        <v>80</v>
      </c>
    </row>
    <row r="86" spans="1:6" s="817" customFormat="1" ht="36">
      <c r="A86" s="821">
        <v>26</v>
      </c>
      <c r="B86" s="3386"/>
      <c r="C86" s="757" t="s">
        <v>666</v>
      </c>
      <c r="D86" s="757" t="s">
        <v>667</v>
      </c>
      <c r="E86" s="834">
        <v>0.2</v>
      </c>
      <c r="F86" s="821">
        <v>30</v>
      </c>
    </row>
    <row r="87" spans="1:6" s="817" customFormat="1" ht="36">
      <c r="A87" s="821">
        <v>27</v>
      </c>
      <c r="B87" s="3386"/>
      <c r="C87" s="757" t="s">
        <v>668</v>
      </c>
      <c r="D87" s="757" t="s">
        <v>669</v>
      </c>
      <c r="E87" s="834">
        <v>0.2</v>
      </c>
      <c r="F87" s="821">
        <v>30</v>
      </c>
    </row>
    <row r="88" spans="1:6" s="817" customFormat="1" ht="36">
      <c r="A88" s="821">
        <v>28</v>
      </c>
      <c r="B88" s="3386"/>
      <c r="C88" s="757" t="s">
        <v>670</v>
      </c>
      <c r="D88" s="757" t="s">
        <v>671</v>
      </c>
      <c r="E88" s="834">
        <v>0.2</v>
      </c>
      <c r="F88" s="821">
        <v>30</v>
      </c>
    </row>
    <row r="89" spans="1:6" s="817" customFormat="1" ht="24">
      <c r="A89" s="821">
        <v>29</v>
      </c>
      <c r="B89" s="3386"/>
      <c r="C89" s="757" t="s">
        <v>672</v>
      </c>
      <c r="D89" s="757" t="s">
        <v>673</v>
      </c>
      <c r="E89" s="834">
        <v>0.2</v>
      </c>
      <c r="F89" s="821">
        <v>30</v>
      </c>
    </row>
    <row r="90" spans="1:6" s="817" customFormat="1" ht="24">
      <c r="A90" s="821">
        <v>30</v>
      </c>
      <c r="B90" s="3386"/>
      <c r="C90" s="757" t="s">
        <v>674</v>
      </c>
      <c r="D90" s="757" t="s">
        <v>675</v>
      </c>
      <c r="E90" s="834">
        <v>0.2</v>
      </c>
      <c r="F90" s="821">
        <v>30</v>
      </c>
    </row>
    <row r="91" spans="1:6" s="817" customFormat="1" ht="36">
      <c r="A91" s="821">
        <v>31</v>
      </c>
      <c r="B91" s="3386"/>
      <c r="C91" s="757" t="s">
        <v>676</v>
      </c>
      <c r="D91" s="757" t="s">
        <v>677</v>
      </c>
      <c r="E91" s="834">
        <v>0.2</v>
      </c>
      <c r="F91" s="821">
        <v>30</v>
      </c>
    </row>
    <row r="92" spans="1:6" s="817" customFormat="1" ht="24">
      <c r="A92" s="821">
        <v>32</v>
      </c>
      <c r="B92" s="3386" t="s">
        <v>678</v>
      </c>
      <c r="C92" s="821" t="s">
        <v>679</v>
      </c>
      <c r="D92" s="757" t="s">
        <v>680</v>
      </c>
      <c r="E92" s="834">
        <v>0.2</v>
      </c>
      <c r="F92" s="821">
        <v>30</v>
      </c>
    </row>
    <row r="93" spans="1:6" s="817" customFormat="1" ht="36">
      <c r="A93" s="821">
        <v>33</v>
      </c>
      <c r="B93" s="3386"/>
      <c r="C93" s="821" t="s">
        <v>681</v>
      </c>
      <c r="D93" s="757" t="s">
        <v>682</v>
      </c>
      <c r="E93" s="834">
        <v>0.2</v>
      </c>
      <c r="F93" s="821">
        <v>30</v>
      </c>
    </row>
    <row r="94" spans="1:6" s="817" customFormat="1" ht="48">
      <c r="A94" s="821">
        <v>34</v>
      </c>
      <c r="B94" s="3386"/>
      <c r="C94" s="821" t="s">
        <v>683</v>
      </c>
      <c r="D94" s="757" t="s">
        <v>684</v>
      </c>
      <c r="E94" s="834">
        <v>0.2</v>
      </c>
      <c r="F94" s="821">
        <v>30</v>
      </c>
    </row>
    <row r="95" spans="1:6" s="817" customFormat="1" ht="36">
      <c r="A95" s="821">
        <v>35</v>
      </c>
      <c r="B95" s="3386"/>
      <c r="C95" s="821" t="s">
        <v>685</v>
      </c>
      <c r="D95" s="757" t="s">
        <v>686</v>
      </c>
      <c r="E95" s="834">
        <v>0.2</v>
      </c>
      <c r="F95" s="821">
        <v>30</v>
      </c>
    </row>
    <row r="96" spans="1:6" s="817" customFormat="1" ht="48">
      <c r="A96" s="821">
        <v>36</v>
      </c>
      <c r="B96" s="3386"/>
      <c r="C96" s="757" t="s">
        <v>687</v>
      </c>
      <c r="D96" s="757" t="s">
        <v>688</v>
      </c>
      <c r="E96" s="834">
        <v>0.2</v>
      </c>
      <c r="F96" s="821">
        <v>30</v>
      </c>
    </row>
    <row r="97" spans="1:6" s="817" customFormat="1" ht="36">
      <c r="A97" s="821">
        <v>37</v>
      </c>
      <c r="B97" s="3386"/>
      <c r="C97" s="821" t="s">
        <v>689</v>
      </c>
      <c r="D97" s="757" t="s">
        <v>690</v>
      </c>
      <c r="E97" s="834">
        <v>0.2</v>
      </c>
      <c r="F97" s="821">
        <v>30</v>
      </c>
    </row>
    <row r="98" spans="1:6" s="817" customFormat="1" ht="36">
      <c r="A98" s="821">
        <v>38</v>
      </c>
      <c r="B98" s="3386"/>
      <c r="C98" s="821" t="s">
        <v>691</v>
      </c>
      <c r="D98" s="757" t="s">
        <v>692</v>
      </c>
      <c r="E98" s="834">
        <v>0.2</v>
      </c>
      <c r="F98" s="821">
        <v>30</v>
      </c>
    </row>
    <row r="99" spans="1:6" s="817" customFormat="1" ht="36">
      <c r="A99" s="821">
        <v>39</v>
      </c>
      <c r="B99" s="3386" t="s">
        <v>693</v>
      </c>
      <c r="C99" s="821" t="s">
        <v>694</v>
      </c>
      <c r="D99" s="757" t="s">
        <v>695</v>
      </c>
      <c r="E99" s="834">
        <v>0.3</v>
      </c>
      <c r="F99" s="821">
        <v>50</v>
      </c>
    </row>
    <row r="100" spans="1:6" s="817" customFormat="1" ht="24">
      <c r="A100" s="821">
        <v>40</v>
      </c>
      <c r="B100" s="3386"/>
      <c r="C100" s="821" t="s">
        <v>696</v>
      </c>
      <c r="D100" s="757" t="s">
        <v>697</v>
      </c>
      <c r="E100" s="834">
        <v>0.2</v>
      </c>
      <c r="F100" s="821">
        <v>30</v>
      </c>
    </row>
    <row r="101" spans="1:6" s="817" customFormat="1" ht="36">
      <c r="A101" s="821">
        <v>41</v>
      </c>
      <c r="B101" s="338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6" t="s">
        <v>708</v>
      </c>
      <c r="C105" s="821" t="s">
        <v>709</v>
      </c>
      <c r="D105" s="757" t="s">
        <v>710</v>
      </c>
      <c r="E105" s="834">
        <v>0.2</v>
      </c>
      <c r="F105" s="821">
        <v>30</v>
      </c>
    </row>
    <row r="106" spans="1:6" s="817" customFormat="1" ht="36">
      <c r="A106" s="821">
        <v>46</v>
      </c>
      <c r="B106" s="3386"/>
      <c r="C106" s="821" t="s">
        <v>711</v>
      </c>
      <c r="D106" s="757" t="s">
        <v>712</v>
      </c>
      <c r="E106" s="834">
        <v>0.2</v>
      </c>
      <c r="F106" s="821">
        <v>30</v>
      </c>
    </row>
    <row r="107" spans="1:6" s="817" customFormat="1" ht="36">
      <c r="A107" s="821">
        <v>47</v>
      </c>
      <c r="B107" s="3386" t="s">
        <v>713</v>
      </c>
      <c r="C107" s="821" t="s">
        <v>714</v>
      </c>
      <c r="D107" s="757" t="s">
        <v>715</v>
      </c>
      <c r="E107" s="834">
        <v>0.3</v>
      </c>
      <c r="F107" s="821">
        <v>50</v>
      </c>
    </row>
    <row r="108" spans="1:6" s="817" customFormat="1" ht="36">
      <c r="A108" s="821">
        <v>48</v>
      </c>
      <c r="B108" s="338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6" t="s">
        <v>724</v>
      </c>
      <c r="C111" s="821" t="s">
        <v>725</v>
      </c>
      <c r="D111" s="757" t="s">
        <v>726</v>
      </c>
      <c r="E111" s="834">
        <v>0.2</v>
      </c>
      <c r="F111" s="821">
        <v>30</v>
      </c>
    </row>
    <row r="112" spans="1:6" s="817" customFormat="1" ht="24">
      <c r="A112" s="821">
        <v>52</v>
      </c>
      <c r="B112" s="3386"/>
      <c r="C112" s="821" t="s">
        <v>727</v>
      </c>
      <c r="D112" s="757" t="s">
        <v>728</v>
      </c>
      <c r="E112" s="834">
        <v>0.2</v>
      </c>
      <c r="F112" s="821">
        <v>30</v>
      </c>
    </row>
    <row r="113" spans="1:6" s="817" customFormat="1" ht="24">
      <c r="A113" s="821">
        <v>53</v>
      </c>
      <c r="B113" s="338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6" t="s">
        <v>737</v>
      </c>
      <c r="C116" s="821" t="s">
        <v>738</v>
      </c>
      <c r="D116" s="757" t="s">
        <v>739</v>
      </c>
      <c r="E116" s="834">
        <v>0.2</v>
      </c>
      <c r="F116" s="821">
        <v>30</v>
      </c>
    </row>
    <row r="117" spans="1:6" ht="36">
      <c r="A117" s="821">
        <v>57</v>
      </c>
      <c r="B117" s="338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18"/>
      <c r="G1" s="3018"/>
      <c r="H1" s="3018"/>
      <c r="I1" s="3018"/>
      <c r="J1" s="3018"/>
      <c r="K1" s="3018"/>
      <c r="L1" s="3018"/>
      <c r="M1" s="3018"/>
      <c r="N1" s="3018"/>
      <c r="O1" s="3018"/>
      <c r="P1" s="3018"/>
    </row>
    <row r="2" spans="1:16" ht="15.75">
      <c r="A2" s="2361" t="s">
        <v>2814</v>
      </c>
      <c r="B2" s="2823" t="e">
        <f ca="1">SUMIF(B6:B13,"&lt;&gt;#ref!",B6:B13)</f>
        <v>#DIV/0!</v>
      </c>
      <c r="C2" s="2361" t="s">
        <v>2815</v>
      </c>
      <c r="D2" s="2361" t="s">
        <v>2816</v>
      </c>
      <c r="E2" s="2833">
        <f ca="1">SUMIF(E6:E13,"&lt;&gt;#ref!",E6:E13)</f>
        <v>0</v>
      </c>
      <c r="F2" s="3018"/>
      <c r="G2" s="3018"/>
      <c r="H2" s="3018"/>
      <c r="I2" s="3018"/>
      <c r="J2" s="3018"/>
      <c r="K2" s="3018"/>
      <c r="L2" s="3018"/>
      <c r="M2" s="3018"/>
      <c r="N2" s="3018"/>
      <c r="O2" s="3018"/>
      <c r="P2" s="3018"/>
    </row>
    <row r="3" spans="1:16" ht="15.75">
      <c r="A3" s="2361" t="s">
        <v>2817</v>
      </c>
      <c r="B3" s="2823" t="e">
        <f ca="1">ROUND(B2*10000/E2,0)</f>
        <v>#DIV/0!</v>
      </c>
      <c r="C3" s="2361" t="s">
        <v>2823</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9" t="s">
        <v>2818</v>
      </c>
      <c r="B5" s="2831" t="s">
        <v>2819</v>
      </c>
      <c r="C5" s="2362"/>
      <c r="D5" s="3018"/>
      <c r="E5" s="2832" t="s">
        <v>2820</v>
      </c>
      <c r="F5" s="3018"/>
      <c r="G5" s="3018"/>
      <c r="H5" s="3018"/>
      <c r="I5" s="3018"/>
      <c r="J5" s="3018"/>
      <c r="K5" s="3018"/>
      <c r="L5" s="3018"/>
      <c r="M5" s="3018"/>
      <c r="N5" s="3018"/>
      <c r="O5" s="3018"/>
      <c r="P5" s="3018"/>
    </row>
    <row r="6" spans="1:16" ht="15.75">
      <c r="A6" s="2830" t="s">
        <v>2821</v>
      </c>
      <c r="B6" s="2823" t="e">
        <f ca="1">SUMIF(INDIRECT("'"&amp;A6&amp;"'"&amp;"!A:A"),"总价",INDIRECT("'"&amp;A6&amp;"'"&amp;"!B:B"))</f>
        <v>#DIV/0!</v>
      </c>
      <c r="C6" s="2361" t="s">
        <v>2815</v>
      </c>
      <c r="D6" s="3018"/>
      <c r="E6" s="2833">
        <f ca="1">SUMIF(INDIRECT("'"&amp;A6&amp;"'"&amp;"!C:C"),"建筑面积",INDIRECT("'"&amp;A6&amp;"'"&amp;"!D:D"))</f>
        <v>0</v>
      </c>
      <c r="F6" s="3018"/>
      <c r="G6" s="3018"/>
      <c r="H6" s="3018"/>
      <c r="I6" s="3018"/>
      <c r="J6" s="3018"/>
      <c r="K6" s="3018"/>
      <c r="L6" s="3018"/>
      <c r="M6" s="3018"/>
      <c r="N6" s="3018"/>
      <c r="O6" s="3018"/>
      <c r="P6" s="3018"/>
    </row>
    <row r="7" spans="1:16" ht="15.75">
      <c r="A7" s="2830"/>
      <c r="B7" s="2823" t="e">
        <f ca="1">SUMIF(INDIRECT("'"&amp;A7&amp;"'"&amp;"!A:A"),"总价",INDIRECT("'"&amp;A7&amp;"'"&amp;"!B:B"))</f>
        <v>#REF!</v>
      </c>
      <c r="C7" s="2361" t="s">
        <v>2815</v>
      </c>
      <c r="D7" s="3018"/>
      <c r="E7" s="2833" t="e">
        <f t="shared" ref="E7:E13" ca="1" si="0">SUMIF(INDIRECT("'"&amp;A7&amp;"'"&amp;"!C:C"),"建筑面积",INDIRECT("'"&amp;A7&amp;"'"&amp;"!D:D"))</f>
        <v>#REF!</v>
      </c>
      <c r="F7" s="3018"/>
      <c r="G7" s="3018"/>
      <c r="H7" s="3018"/>
      <c r="I7" s="3018"/>
      <c r="J7" s="3018"/>
      <c r="K7" s="3018"/>
      <c r="L7" s="3018"/>
      <c r="M7" s="3018"/>
      <c r="N7" s="3018"/>
      <c r="O7" s="3018"/>
      <c r="P7" s="3018"/>
    </row>
    <row r="8" spans="1:16" ht="15.75">
      <c r="A8" s="2830"/>
      <c r="B8" s="2823" t="e">
        <f t="shared" ref="B8:B13" ca="1" si="1">SUMIF(INDIRECT("'"&amp;A8&amp;"'"&amp;"!A:A"),"总价",INDIRECT("'"&amp;A8&amp;"'"&amp;"!B:B"))</f>
        <v>#REF!</v>
      </c>
      <c r="C8" s="2361" t="s">
        <v>2815</v>
      </c>
      <c r="D8" s="3018"/>
      <c r="E8" s="2833" t="e">
        <f t="shared" ca="1" si="0"/>
        <v>#REF!</v>
      </c>
      <c r="F8" s="3018"/>
      <c r="G8" s="3018"/>
      <c r="H8" s="3018"/>
      <c r="I8" s="3018"/>
      <c r="J8" s="3018"/>
      <c r="K8" s="3018"/>
      <c r="L8" s="3018"/>
      <c r="M8" s="3018"/>
      <c r="N8" s="3018"/>
      <c r="O8" s="3018"/>
      <c r="P8" s="3018"/>
    </row>
    <row r="9" spans="1:16" ht="15.75">
      <c r="A9" s="2830"/>
      <c r="B9" s="2823" t="e">
        <f t="shared" ca="1" si="1"/>
        <v>#REF!</v>
      </c>
      <c r="C9" s="2361" t="s">
        <v>2815</v>
      </c>
      <c r="D9" s="3018"/>
      <c r="E9" s="2833" t="e">
        <f t="shared" ca="1" si="0"/>
        <v>#REF!</v>
      </c>
      <c r="F9" s="3018"/>
      <c r="G9" s="3018"/>
      <c r="H9" s="3018"/>
      <c r="I9" s="3018"/>
      <c r="J9" s="3018"/>
      <c r="K9" s="3018"/>
      <c r="L9" s="3018"/>
      <c r="M9" s="3018"/>
      <c r="N9" s="3018"/>
      <c r="O9" s="3018"/>
      <c r="P9" s="3018"/>
    </row>
    <row r="10" spans="1:16" ht="15.75">
      <c r="A10" s="2830"/>
      <c r="B10" s="2823" t="e">
        <f t="shared" ca="1" si="1"/>
        <v>#REF!</v>
      </c>
      <c r="C10" s="2361" t="s">
        <v>2815</v>
      </c>
      <c r="D10" s="3018"/>
      <c r="E10" s="2833" t="e">
        <f t="shared" ca="1" si="0"/>
        <v>#REF!</v>
      </c>
      <c r="F10" s="3018"/>
      <c r="G10" s="3018"/>
      <c r="H10" s="3018"/>
      <c r="I10" s="3018"/>
      <c r="J10" s="3018"/>
      <c r="K10" s="3018"/>
      <c r="L10" s="3018"/>
      <c r="M10" s="3018"/>
      <c r="N10" s="3018"/>
      <c r="O10" s="3018"/>
      <c r="P10" s="3018"/>
    </row>
    <row r="11" spans="1:16" ht="15.75">
      <c r="A11" s="2830"/>
      <c r="B11" s="2823" t="e">
        <f t="shared" ca="1" si="1"/>
        <v>#REF!</v>
      </c>
      <c r="C11" s="2361" t="s">
        <v>2815</v>
      </c>
      <c r="D11" s="3018"/>
      <c r="E11" s="2833" t="e">
        <f t="shared" ca="1" si="0"/>
        <v>#REF!</v>
      </c>
      <c r="F11" s="3018"/>
      <c r="G11" s="3018"/>
      <c r="H11" s="3018"/>
      <c r="I11" s="3018"/>
      <c r="J11" s="3018"/>
      <c r="K11" s="3018"/>
      <c r="L11" s="3018"/>
      <c r="M11" s="3018"/>
      <c r="N11" s="3018"/>
      <c r="O11" s="3018"/>
      <c r="P11" s="3018"/>
    </row>
    <row r="12" spans="1:16" ht="15.75">
      <c r="A12" s="2830"/>
      <c r="B12" s="2823" t="e">
        <f t="shared" ca="1" si="1"/>
        <v>#REF!</v>
      </c>
      <c r="C12" s="2361" t="s">
        <v>2815</v>
      </c>
      <c r="D12" s="3018"/>
      <c r="E12" s="2833" t="e">
        <f t="shared" ca="1" si="0"/>
        <v>#REF!</v>
      </c>
      <c r="F12" s="3018"/>
      <c r="G12" s="3018"/>
      <c r="H12" s="3018"/>
      <c r="I12" s="3018"/>
      <c r="J12" s="3018"/>
      <c r="K12" s="3018"/>
      <c r="L12" s="3018"/>
      <c r="M12" s="3018"/>
      <c r="N12" s="3018"/>
      <c r="O12" s="3018"/>
      <c r="P12" s="3018"/>
    </row>
    <row r="13" spans="1:16" ht="15.75">
      <c r="A13" s="2830"/>
      <c r="B13" s="2823" t="e">
        <f t="shared" ca="1" si="1"/>
        <v>#REF!</v>
      </c>
      <c r="C13" s="2361" t="s">
        <v>2815</v>
      </c>
      <c r="D13" s="3018"/>
      <c r="E13" s="2833"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678"/>
      <c r="B4" s="3072" t="s">
        <v>1595</v>
      </c>
      <c r="C4" s="3072"/>
      <c r="D4" s="3072"/>
      <c r="E4" s="1678"/>
    </row>
    <row r="5" spans="1:5" ht="16.5" thickTop="1">
      <c r="A5" s="1676"/>
      <c r="B5" s="3070" t="s">
        <v>1587</v>
      </c>
      <c r="C5" s="1679" t="s">
        <v>1588</v>
      </c>
      <c r="D5" s="959">
        <f ca="1">结果表!H101</f>
        <v>11597</v>
      </c>
      <c r="E5" s="1676"/>
    </row>
    <row r="6" spans="1:5" ht="15.75">
      <c r="A6" s="1676"/>
      <c r="B6" s="3070"/>
      <c r="C6" s="1679" t="s">
        <v>1589</v>
      </c>
      <c r="D6" s="959" t="str">
        <f ca="1">NUMBERSTRING(INT(D5*10000),2)&amp;"元整"</f>
        <v>壹亿壹仟伍佰玖拾柒万元整</v>
      </c>
      <c r="E6" s="1676"/>
    </row>
    <row r="7" spans="1:5" ht="15.75">
      <c r="A7" s="1676"/>
      <c r="B7" s="3075"/>
      <c r="C7" s="1680" t="s">
        <v>1590</v>
      </c>
      <c r="D7" s="960">
        <f ca="1">结果表!H102</f>
        <v>4046</v>
      </c>
      <c r="E7" s="1676"/>
    </row>
    <row r="8" spans="1:5" ht="15.75">
      <c r="A8" s="1676"/>
      <c r="B8" s="3076" t="str">
        <f>结果表!E103</f>
        <v>2.估价师知悉的法定优先受偿款</v>
      </c>
      <c r="C8" s="1681" t="s">
        <v>1591</v>
      </c>
      <c r="D8" s="960">
        <f>结果表!H103</f>
        <v>0</v>
      </c>
      <c r="E8" s="1676"/>
    </row>
    <row r="9" spans="1:5" ht="15.75">
      <c r="A9" s="1676"/>
      <c r="B9" s="3078"/>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9" t="str">
        <f>结果表!E107</f>
        <v>3.房地产抵押价值</v>
      </c>
      <c r="C13" s="1684" t="s">
        <v>1588</v>
      </c>
      <c r="D13" s="962">
        <f ca="1">结果表!H107</f>
        <v>11597</v>
      </c>
      <c r="E13" s="1676"/>
    </row>
    <row r="14" spans="1:5" ht="15.75">
      <c r="A14" s="1676"/>
      <c r="B14" s="3070"/>
      <c r="C14" s="1679" t="s">
        <v>1589</v>
      </c>
      <c r="D14" s="959" t="str">
        <f ca="1">NUMBERSTRING(INT(D13*10000),2)&amp;"元整"</f>
        <v>壹亿壹仟伍佰玖拾柒万元整</v>
      </c>
      <c r="E14" s="1676"/>
    </row>
    <row r="15" spans="1:5" ht="15">
      <c r="A15" s="1676"/>
      <c r="B15" s="3075"/>
      <c r="C15" s="1680" t="s">
        <v>1599</v>
      </c>
      <c r="D15" s="968">
        <f ca="1">结果表!H108</f>
        <v>4046</v>
      </c>
      <c r="E15" s="1676"/>
    </row>
    <row r="16" spans="1:5" ht="15">
      <c r="A16" s="1676"/>
      <c r="B16" s="3076" t="str">
        <f>结果表!E109</f>
        <v>——</v>
      </c>
      <c r="C16" s="1684" t="s">
        <v>1600</v>
      </c>
      <c r="D16" s="1685" t="str">
        <f>结果表!H109</f>
        <v>——</v>
      </c>
      <c r="E16" s="1676"/>
    </row>
    <row r="17" spans="1:5" ht="15.75">
      <c r="A17" s="1676"/>
      <c r="B17" s="3077"/>
      <c r="C17" s="1679" t="s">
        <v>1601</v>
      </c>
      <c r="D17" s="959" t="e">
        <f>NUMBERSTRING(INT(D16*10000),2)&amp;"元整"</f>
        <v>#VALUE!</v>
      </c>
      <c r="E17" s="1676"/>
    </row>
    <row r="18" spans="1:5" ht="15">
      <c r="A18" s="1676"/>
      <c r="B18" s="3078"/>
      <c r="C18" s="1680" t="s">
        <v>1590</v>
      </c>
      <c r="D18" s="968" t="str">
        <f>结果表!H110</f>
        <v>——</v>
      </c>
      <c r="E18" s="1676"/>
    </row>
    <row r="19" spans="1:5" ht="15.75">
      <c r="A19" s="1676"/>
      <c r="B19" s="3069" t="str">
        <f>结果表!E111</f>
        <v>——</v>
      </c>
      <c r="C19" s="1684" t="s">
        <v>1588</v>
      </c>
      <c r="D19" s="960" t="str">
        <f>结果表!H111</f>
        <v>——</v>
      </c>
      <c r="E19" s="1676"/>
    </row>
    <row r="20" spans="1:5" ht="15.75">
      <c r="A20" s="1676"/>
      <c r="B20" s="3070"/>
      <c r="C20" s="1679" t="s">
        <v>1601</v>
      </c>
      <c r="D20" s="959" t="e">
        <f>NUMBERSTRING(INT(D19*10000),2)&amp;"元整"</f>
        <v>#VALUE!</v>
      </c>
      <c r="E20" s="1676"/>
    </row>
    <row r="21" spans="1:5" ht="15.75" thickBot="1">
      <c r="A21" s="1676"/>
      <c r="B21" s="3071"/>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E21" sqref="E21"/>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2" t="s">
        <v>1117</v>
      </c>
      <c r="C1" s="3392"/>
      <c r="D1" s="3392"/>
      <c r="E1" s="3392"/>
      <c r="F1" s="3392"/>
      <c r="G1" s="3391" t="s">
        <v>1118</v>
      </c>
      <c r="H1" s="3391"/>
      <c r="I1" s="3391"/>
      <c r="J1" s="3391"/>
      <c r="K1" s="3391"/>
      <c r="L1" s="3391"/>
      <c r="N1" s="3391" t="s">
        <v>1119</v>
      </c>
      <c r="O1" s="3391"/>
      <c r="P1" s="3391"/>
      <c r="Q1" s="3391"/>
      <c r="S1" s="3391" t="s">
        <v>1120</v>
      </c>
      <c r="T1" s="3391"/>
      <c r="U1" s="3391"/>
      <c r="V1" s="3391"/>
      <c r="X1" s="3390" t="s">
        <v>1121</v>
      </c>
      <c r="Y1" s="3391"/>
      <c r="Z1" s="3391"/>
      <c r="AA1" s="3391"/>
      <c r="AB1" s="3391"/>
      <c r="AD1" s="3390" t="s">
        <v>1122</v>
      </c>
      <c r="AE1" s="3391"/>
      <c r="AF1" s="3391"/>
      <c r="AG1" s="3391"/>
      <c r="AH1" s="3391"/>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54">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3063</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54">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3062</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38">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3059</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37">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3058</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34">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2872</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2870</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2869</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2868</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2866</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2864</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2867</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88">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2862</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88"/>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2861</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88"/>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2854</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397"/>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2852</v>
      </c>
      <c r="B20" s="2438">
        <v>439</v>
      </c>
      <c r="C20" s="2438">
        <v>327</v>
      </c>
      <c r="D20" s="2438">
        <f>C20</f>
        <v>327</v>
      </c>
      <c r="E20" s="2438">
        <v>627</v>
      </c>
      <c r="F20" s="2439">
        <v>283</v>
      </c>
      <c r="G20" s="3393">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2853</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88"/>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88"/>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397"/>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393">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88"/>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88"/>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89"/>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387">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88"/>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88"/>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89"/>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387">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88"/>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88"/>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89"/>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394">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395"/>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395"/>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396"/>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387">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88"/>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88"/>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389"/>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387">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88">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88">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89">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387">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88">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88">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89">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387">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88">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88">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89">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387">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88">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88">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89">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387">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88">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88">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89">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387">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88">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88">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89">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387">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88">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88">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89">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387">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88">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88">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89">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387">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88">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88">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389">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387">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88">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88">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389">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1" t="s">
        <v>2825</v>
      </c>
      <c r="D1" s="3402"/>
      <c r="E1" s="3402"/>
      <c r="F1" s="3402"/>
      <c r="G1" s="3402"/>
      <c r="H1" s="3402"/>
      <c r="I1" s="3402"/>
      <c r="J1" s="3402"/>
      <c r="K1" s="3402"/>
      <c r="L1" s="3402"/>
      <c r="M1" s="3402"/>
      <c r="N1" s="3402"/>
      <c r="O1" s="3402"/>
      <c r="P1" s="3402"/>
      <c r="Q1" s="3402"/>
      <c r="R1" s="3402"/>
      <c r="S1" s="3403"/>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8" t="s">
        <v>33</v>
      </c>
      <c r="D22" s="3399"/>
      <c r="E22" s="3399"/>
      <c r="F22" s="3399"/>
      <c r="G22" s="3399"/>
      <c r="H22" s="3399"/>
      <c r="I22" s="3399"/>
      <c r="J22" s="3399"/>
      <c r="K22" s="3399"/>
      <c r="L22" s="3399"/>
      <c r="M22" s="3399"/>
      <c r="N22" s="3399"/>
      <c r="O22" s="3399"/>
      <c r="P22" s="3399"/>
      <c r="Q22" s="3400"/>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33192</v>
      </c>
      <c r="C2" s="2" t="s">
        <v>133</v>
      </c>
      <c r="D2" s="205"/>
      <c r="E2" s="205"/>
      <c r="F2" s="205"/>
      <c r="G2" s="205"/>
    </row>
    <row r="3" spans="1:7" s="206" customFormat="1" ht="18" customHeight="1" thickBot="1">
      <c r="A3" s="209" t="s">
        <v>85</v>
      </c>
      <c r="B3" s="210">
        <f ca="1">ROUND(B2*10000/'数据-汇总表'!E3,0)</f>
        <v>11581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115</v>
      </c>
      <c r="F9" s="227"/>
      <c r="G9" s="232"/>
    </row>
    <row r="10" spans="1:7" s="220" customFormat="1" ht="13.5" customHeight="1">
      <c r="A10" s="887" t="s">
        <v>801</v>
      </c>
      <c r="B10" s="230" t="s">
        <v>94</v>
      </c>
      <c r="C10" s="231">
        <f>ROUND(D10*E10/10000,0)</f>
        <v>330</v>
      </c>
      <c r="D10" s="954">
        <f>'数据-汇总表'!E6</f>
        <v>28660.61</v>
      </c>
      <c r="E10" s="231">
        <f>'数据-取费表'!B28</f>
        <v>115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516</v>
      </c>
      <c r="D19" s="958">
        <f>'数据-汇总表'!E3</f>
        <v>28660.61</v>
      </c>
      <c r="E19" s="217">
        <f>'数据-取费表'!B31</f>
        <v>180</v>
      </c>
      <c r="F19" s="237"/>
      <c r="G19" s="1" t="s">
        <v>1042</v>
      </c>
    </row>
    <row r="20" spans="1:7" s="220" customFormat="1" ht="13.5" customHeight="1">
      <c r="A20" s="885" t="s">
        <v>1025</v>
      </c>
      <c r="B20" s="216" t="s">
        <v>104</v>
      </c>
      <c r="C20" s="238">
        <f>ROUND((C5+C19)*F20,0)</f>
        <v>427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1689</v>
      </c>
      <c r="D22" s="241">
        <f ca="1">C26</f>
        <v>8.0000000000000004E-4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1633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40</v>
      </c>
      <c r="D24" s="244"/>
      <c r="E24" s="244"/>
      <c r="F24" s="245"/>
      <c r="G24" s="246" t="s">
        <v>109</v>
      </c>
    </row>
    <row r="25" spans="1:7" s="220" customFormat="1" ht="24">
      <c r="A25" s="888" t="s">
        <v>793</v>
      </c>
      <c r="B25" s="221" t="s">
        <v>1026</v>
      </c>
      <c r="C25" s="1265">
        <f ca="1">ROUND(IF('数据-取费表'!B22&lt;=1,C20*F22*'数据-取费表'!B23/2,C20*(POWER((1+F22),'数据-取费表'!B23/2)-1)),0)</f>
        <v>16</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1088</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1088</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26495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5757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5016</v>
      </c>
      <c r="D34" s="223"/>
      <c r="E34" s="226"/>
      <c r="F34" s="263">
        <f>IF('数据-取费表'!B24=0,1,'数据-取费表'!N16)</f>
        <v>1</v>
      </c>
      <c r="G34" s="225" t="s">
        <v>116</v>
      </c>
    </row>
    <row r="35" spans="1:7" ht="13.5" customHeight="1">
      <c r="A35" s="888" t="s">
        <v>796</v>
      </c>
      <c r="B35" s="221" t="s">
        <v>60</v>
      </c>
      <c r="C35" s="226">
        <f>ROUND(C34*F35,0)</f>
        <v>150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516</v>
      </c>
      <c r="D37" s="223">
        <f>'数据-汇总表'!E3</f>
        <v>28660.61</v>
      </c>
      <c r="E37" s="255">
        <f>'数据-取费表'!B35</f>
        <v>180</v>
      </c>
      <c r="F37" s="265"/>
      <c r="G37" s="267" t="s">
        <v>119</v>
      </c>
    </row>
    <row r="38" spans="1:7" ht="13.5" customHeight="1">
      <c r="A38" s="888" t="s">
        <v>799</v>
      </c>
      <c r="B38" s="221" t="s">
        <v>63</v>
      </c>
      <c r="C38" s="226">
        <f>ROUND(C34*F38,0)</f>
        <v>75</v>
      </c>
      <c r="D38" s="226"/>
      <c r="E38" s="226"/>
      <c r="F38" s="265">
        <f>'数据-取费表'!B36</f>
        <v>1.4999999999999999E-2</v>
      </c>
      <c r="G38" s="225" t="s">
        <v>117</v>
      </c>
    </row>
    <row r="39" spans="1:7" s="220" customFormat="1" ht="13.5" customHeight="1">
      <c r="A39" s="885" t="s">
        <v>783</v>
      </c>
      <c r="B39" s="216" t="s">
        <v>104</v>
      </c>
      <c r="C39" s="238">
        <f>ROUND(C33*F20,0)</f>
        <v>115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226</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222</v>
      </c>
      <c r="D42" s="244"/>
      <c r="E42" s="244"/>
      <c r="F42" s="245"/>
      <c r="G42" s="3257" t="s">
        <v>121</v>
      </c>
    </row>
    <row r="43" spans="1:7" ht="13.5" customHeight="1">
      <c r="A43" s="888" t="s">
        <v>792</v>
      </c>
      <c r="B43" s="221" t="s">
        <v>1032</v>
      </c>
      <c r="C43" s="244">
        <f ca="1">ROUND(IF('数据-取费表'!B22&lt;=1,C39*F22*'数据-取费表'!B21/2,C39*(POWER((1+F22),'数据-取费表'!B21/2)-1)),0)</f>
        <v>4</v>
      </c>
      <c r="D43" s="244"/>
      <c r="E43" s="244"/>
      <c r="F43" s="245"/>
      <c r="G43" s="3258"/>
    </row>
    <row r="44" spans="1:7" ht="13.5" customHeight="1">
      <c r="A44" s="888" t="s">
        <v>793</v>
      </c>
      <c r="B44" s="221" t="s">
        <v>1034</v>
      </c>
      <c r="C44" s="244">
        <f ca="1">ROUND(IF('数据-取费表'!B22&lt;=1,C40*F22*'数据-取费表'!B21/2,C40*(POWER((1+F22),'数据-取费表'!B21/2)-1)),4)</f>
        <v>8.0000000000000004E-4</v>
      </c>
      <c r="D44" s="244"/>
      <c r="E44" s="244"/>
      <c r="F44" s="245"/>
      <c r="G44" s="3259"/>
    </row>
    <row r="45" spans="1:7" s="220" customFormat="1" ht="13.5" customHeight="1">
      <c r="A45" s="885" t="s">
        <v>786</v>
      </c>
      <c r="B45" s="250" t="s">
        <v>112</v>
      </c>
      <c r="C45" s="251">
        <f>C46</f>
        <v>294</v>
      </c>
      <c r="D45" s="241">
        <f>C47</f>
        <v>1E-3</v>
      </c>
      <c r="E45" s="242" t="s">
        <v>129</v>
      </c>
      <c r="F45" s="252"/>
      <c r="G45" s="253" t="s">
        <v>1040</v>
      </c>
    </row>
    <row r="46" spans="1:7" s="220" customFormat="1" ht="13.5" customHeight="1">
      <c r="A46" s="888" t="s">
        <v>794</v>
      </c>
      <c r="B46" s="254" t="s">
        <v>1033</v>
      </c>
      <c r="C46" s="255">
        <f>ROUND((C33+C39)*F27,0)</f>
        <v>294</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6904</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6697</v>
      </c>
      <c r="D51" s="238"/>
      <c r="E51" s="238"/>
      <c r="F51" s="270"/>
      <c r="G51" s="240" t="s">
        <v>64</v>
      </c>
    </row>
    <row r="52" spans="1:7" s="214" customFormat="1" ht="16.5" thickBot="1">
      <c r="A52" s="271" t="s">
        <v>65</v>
      </c>
      <c r="B52" s="272"/>
      <c r="C52" s="273">
        <f ca="1">C31+C51</f>
        <v>33192</v>
      </c>
      <c r="D52" s="272"/>
      <c r="E52" s="272"/>
      <c r="F52" s="272"/>
      <c r="G52" s="274"/>
    </row>
    <row r="55" spans="1:7" ht="15">
      <c r="B55" s="276" t="s">
        <v>66</v>
      </c>
      <c r="C55" s="277"/>
    </row>
    <row r="56" spans="1:7">
      <c r="B56" s="279" t="s">
        <v>67</v>
      </c>
      <c r="C56" s="280">
        <f ca="1">ROUND(C51/C52,3)</f>
        <v>0.20200000000000001</v>
      </c>
    </row>
    <row r="57" spans="1:7">
      <c r="B57" s="279" t="s">
        <v>68</v>
      </c>
      <c r="C57" s="281">
        <f ca="1">1-C56</f>
        <v>0.79800000000000004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4" t="s">
        <v>156</v>
      </c>
      <c r="B1" s="3404"/>
      <c r="C1" s="3404"/>
      <c r="D1" s="3404"/>
      <c r="E1" s="3404"/>
      <c r="F1" s="340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5" t="s">
        <v>169</v>
      </c>
      <c r="B2" s="3405"/>
      <c r="C2" s="3405"/>
      <c r="D2" s="3405"/>
      <c r="E2" s="3405"/>
      <c r="F2" s="340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4" t="s">
        <v>839</v>
      </c>
      <c r="B1" s="340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44454</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6">
        <v>43941</v>
      </c>
      <c r="D13" s="3047">
        <v>3.85</v>
      </c>
      <c r="E13" s="3047">
        <v>3.85</v>
      </c>
      <c r="F13" s="3047">
        <v>3.85</v>
      </c>
      <c r="G13" s="3047">
        <v>3.85</v>
      </c>
      <c r="H13" s="3047">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2"/>
      <c r="C14" s="3043">
        <v>43881</v>
      </c>
      <c r="D14" s="3042">
        <v>4.05</v>
      </c>
      <c r="E14" s="3042">
        <v>4.05</v>
      </c>
      <c r="F14" s="3042">
        <v>4.05</v>
      </c>
      <c r="G14" s="3042">
        <v>4.05</v>
      </c>
      <c r="H14" s="3042">
        <v>4.75</v>
      </c>
      <c r="I14" s="3042"/>
      <c r="J14" s="3042"/>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2"/>
      <c r="C15" s="3043">
        <v>43789</v>
      </c>
      <c r="D15" s="3042">
        <v>4.1500000000000004</v>
      </c>
      <c r="E15" s="3042">
        <v>4.1500000000000004</v>
      </c>
      <c r="F15" s="3042">
        <v>4.1500000000000004</v>
      </c>
      <c r="G15" s="3042">
        <v>4.1500000000000004</v>
      </c>
      <c r="H15" s="3042">
        <v>4.8</v>
      </c>
      <c r="I15" s="3042"/>
      <c r="J15" s="3042"/>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2"/>
      <c r="C16" s="3043">
        <v>43728</v>
      </c>
      <c r="D16" s="3042">
        <v>4.2</v>
      </c>
      <c r="E16" s="3042">
        <v>4.2</v>
      </c>
      <c r="F16" s="3042">
        <v>4.2</v>
      </c>
      <c r="G16" s="3042">
        <v>4.2</v>
      </c>
      <c r="H16" s="3042">
        <v>4.8499999999999996</v>
      </c>
      <c r="I16" s="3042"/>
      <c r="J16" s="3042"/>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1" t="s">
        <v>3060</v>
      </c>
      <c r="C17" s="3044">
        <v>43697</v>
      </c>
      <c r="D17" s="3045">
        <v>4.25</v>
      </c>
      <c r="E17" s="3045">
        <v>4.25</v>
      </c>
      <c r="F17" s="3045">
        <v>4.25</v>
      </c>
      <c r="G17" s="3045">
        <v>4.25</v>
      </c>
      <c r="H17" s="3045">
        <v>4.8499999999999996</v>
      </c>
      <c r="I17" s="3045"/>
      <c r="J17" s="3045"/>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3" customFormat="1" ht="15">
      <c r="A18" s="3048"/>
      <c r="B18" s="3049"/>
      <c r="C18" s="3050">
        <v>42301</v>
      </c>
      <c r="D18" s="3051">
        <v>4.3499999999999996</v>
      </c>
      <c r="E18" s="3051">
        <v>4.3499999999999996</v>
      </c>
      <c r="F18" s="3051">
        <v>4.75</v>
      </c>
      <c r="G18" s="3051">
        <v>4.75</v>
      </c>
      <c r="H18" s="3051">
        <v>4.9000000000000004</v>
      </c>
      <c r="I18" s="3051"/>
      <c r="J18" s="3051"/>
      <c r="K18" s="1446"/>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1606</v>
      </c>
      <c r="B2" s="3089" t="s">
        <v>1607</v>
      </c>
      <c r="C2" s="3089" t="s">
        <v>1608</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
      <c r="A3" s="3083"/>
      <c r="B3" s="3083"/>
      <c r="C3" s="3083"/>
      <c r="D3" s="963" t="s">
        <v>1603</v>
      </c>
      <c r="E3" s="963" t="s">
        <v>1609</v>
      </c>
      <c r="F3" s="963" t="s">
        <v>1603</v>
      </c>
      <c r="G3" s="963" t="s">
        <v>1604</v>
      </c>
      <c r="H3" s="963" t="s">
        <v>1603</v>
      </c>
      <c r="I3" s="963" t="s">
        <v>1604</v>
      </c>
    </row>
    <row r="4" spans="1:9" ht="30">
      <c r="A4" s="1690" t="str">
        <f>项目基本情况!S2</f>
        <v>辽宁省朝阳市朝阳喀左经济开发区房地产</v>
      </c>
      <c r="B4" s="963">
        <f>项目基本情况!C17</f>
        <v>28660.61</v>
      </c>
      <c r="C4" s="963">
        <f>项目基本情况!C18</f>
        <v>166699.10999999999</v>
      </c>
      <c r="D4" s="963">
        <f>结果表!D118</f>
        <v>3701</v>
      </c>
      <c r="E4" s="963">
        <f>结果表!E118</f>
        <v>1291</v>
      </c>
      <c r="F4" s="963">
        <f ca="1">结果表!F118</f>
        <v>7896</v>
      </c>
      <c r="G4" s="963">
        <f ca="1">结果表!G118</f>
        <v>2755</v>
      </c>
      <c r="H4" s="963">
        <f ca="1">结果表!H118</f>
        <v>11597</v>
      </c>
      <c r="I4" s="963">
        <f ca="1">结果表!I118</f>
        <v>4046</v>
      </c>
    </row>
    <row r="5" spans="1:9" ht="30" customHeight="1">
      <c r="A5" s="3083" t="s">
        <v>1605</v>
      </c>
      <c r="B5" s="3083"/>
      <c r="C5" s="3083"/>
      <c r="D5" s="3084" t="str">
        <f>结果表!D119</f>
        <v>叁仟柒佰零壹万元整</v>
      </c>
      <c r="E5" s="3084"/>
      <c r="F5" s="3084" t="str">
        <f ca="1">结果表!F119</f>
        <v>柒仟捌佰玖拾陆万元整</v>
      </c>
      <c r="G5" s="3084"/>
      <c r="H5" s="3084" t="str">
        <f ca="1">结果表!H119</f>
        <v>壹亿壹仟伍佰玖拾柒万元整</v>
      </c>
      <c r="I5" s="3084"/>
    </row>
    <row r="6" spans="1:9" ht="15.75">
      <c r="A6" s="3082" t="str">
        <f>结果表!A120</f>
        <v>估价师知悉的法定优先受偿款</v>
      </c>
      <c r="B6" s="3082"/>
      <c r="C6" s="3082"/>
      <c r="D6" s="3082">
        <f>结果表!D120</f>
        <v>0</v>
      </c>
      <c r="E6" s="3082"/>
      <c r="F6" s="3082"/>
      <c r="G6" s="3082"/>
      <c r="H6" s="3082"/>
      <c r="I6" s="3082"/>
    </row>
    <row r="7" spans="1:9" ht="15">
      <c r="A7" s="3083" t="s">
        <v>1605</v>
      </c>
      <c r="B7" s="3083"/>
      <c r="C7" s="3083"/>
      <c r="D7" s="3085" t="str">
        <f>结果表!D121</f>
        <v>零元整</v>
      </c>
      <c r="E7" s="3086"/>
      <c r="F7" s="3086"/>
      <c r="G7" s="3086"/>
      <c r="H7" s="3086"/>
      <c r="I7" s="3087"/>
    </row>
    <row r="8" spans="1:9" ht="15.75">
      <c r="A8" s="3082" t="str">
        <f>结果表!A122</f>
        <v>房地产抵押价值</v>
      </c>
      <c r="B8" s="3082"/>
      <c r="C8" s="3082"/>
      <c r="D8" s="3082">
        <f ca="1">结果表!D122</f>
        <v>11597</v>
      </c>
      <c r="E8" s="3082"/>
      <c r="F8" s="3082"/>
      <c r="G8" s="3082"/>
      <c r="H8" s="3082"/>
      <c r="I8" s="3082"/>
    </row>
    <row r="9" spans="1:9" ht="15">
      <c r="A9" s="3083" t="s">
        <v>1605</v>
      </c>
      <c r="B9" s="3083"/>
      <c r="C9" s="3083"/>
      <c r="D9" s="3084" t="str">
        <f ca="1">结果表!D123</f>
        <v>壹亿壹仟伍佰玖拾柒万元整</v>
      </c>
      <c r="E9" s="3084"/>
      <c r="F9" s="3084"/>
      <c r="G9" s="3084"/>
      <c r="H9" s="3084"/>
      <c r="I9" s="3084"/>
    </row>
    <row r="10" spans="1:9" ht="15.75">
      <c r="A10" s="3082" t="str">
        <f>结果表!A124</f>
        <v/>
      </c>
      <c r="B10" s="3082"/>
      <c r="C10" s="3082"/>
      <c r="D10" s="3082" t="str">
        <f>结果表!D124</f>
        <v>——</v>
      </c>
      <c r="E10" s="3082"/>
      <c r="F10" s="3082"/>
      <c r="G10" s="3082"/>
      <c r="H10" s="3082"/>
      <c r="I10" s="3082"/>
    </row>
    <row r="11" spans="1:9" ht="15">
      <c r="A11" s="3083" t="s">
        <v>1605</v>
      </c>
      <c r="B11" s="3083"/>
      <c r="C11" s="3083"/>
      <c r="D11" s="3084" t="e">
        <f>结果表!D125</f>
        <v>#VALUE!</v>
      </c>
      <c r="E11" s="3084"/>
      <c r="F11" s="3084"/>
      <c r="G11" s="3084"/>
      <c r="H11" s="3084"/>
      <c r="I11" s="3084"/>
    </row>
    <row r="12" spans="1:9" ht="15.75">
      <c r="A12" s="3082" t="str">
        <f>结果表!A126</f>
        <v/>
      </c>
      <c r="B12" s="3082"/>
      <c r="C12" s="3082"/>
      <c r="D12" s="3082" t="str">
        <f>结果表!D126</f>
        <v>——</v>
      </c>
      <c r="E12" s="3082"/>
      <c r="F12" s="3082"/>
      <c r="G12" s="3082"/>
      <c r="H12" s="3082"/>
      <c r="I12" s="3082"/>
    </row>
    <row r="13" spans="1:9" ht="15.75" thickBot="1">
      <c r="A13" s="3079" t="s">
        <v>1605</v>
      </c>
      <c r="B13" s="3079"/>
      <c r="C13" s="3079"/>
      <c r="D13" s="3080" t="e">
        <f>结果表!D127</f>
        <v>#VALUE!</v>
      </c>
      <c r="E13" s="3080"/>
      <c r="F13" s="3080"/>
      <c r="G13" s="3080"/>
      <c r="H13" s="3080"/>
      <c r="I13" s="3080"/>
    </row>
    <row r="14" spans="1:9" ht="15" thickTop="1">
      <c r="A14" s="3081" t="s">
        <v>1610</v>
      </c>
      <c r="B14" s="3081"/>
      <c r="C14" s="3081"/>
      <c r="D14" s="3081"/>
      <c r="E14" s="3081"/>
      <c r="F14" s="3081"/>
      <c r="G14" s="3081"/>
      <c r="H14" s="3081"/>
      <c r="I14" s="3081"/>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6" t="s">
        <v>1627</v>
      </c>
      <c r="B1" s="3096"/>
      <c r="C1" s="3096"/>
      <c r="D1" s="3096"/>
    </row>
    <row r="2" spans="1:4" ht="18">
      <c r="A2" s="3097" t="s">
        <v>1611</v>
      </c>
      <c r="B2" s="3097"/>
      <c r="C2" s="3097"/>
      <c r="D2" s="3097"/>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崔锴</v>
      </c>
      <c r="B5" s="1696">
        <f ca="1">项目基本情况!E4</f>
        <v>1120100036</v>
      </c>
      <c r="C5" s="1699"/>
      <c r="D5" s="1698" t="s">
        <v>1616</v>
      </c>
    </row>
    <row r="6" spans="1:4" ht="18">
      <c r="A6" s="3097" t="s">
        <v>1617</v>
      </c>
      <c r="B6" s="3097"/>
      <c r="C6" s="3097"/>
      <c r="D6" s="3097"/>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8" t="s">
        <v>1620</v>
      </c>
      <c r="B11" s="3090"/>
      <c r="C11" s="3090"/>
      <c r="D11" s="3090"/>
    </row>
    <row r="12" spans="1:4" ht="15.7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5"/>
      <c r="C12" s="3095"/>
      <c r="D12" s="3095"/>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5"/>
      <c r="C13" s="3095"/>
      <c r="D13" s="3095"/>
    </row>
    <row r="14" spans="1:4" ht="15.75" customHeight="1">
      <c r="A14" s="3090" t="str">
        <f>IF(项目基本情况!B8="抵押","4.本次评估估价师所知悉的法定优先受偿款情况说明如下：","——")</f>
        <v>4.本次评估估价师所知悉的法定优先受偿款情况说明如下：</v>
      </c>
      <c r="B14" s="3095"/>
      <c r="C14" s="3095"/>
      <c r="D14" s="3095"/>
    </row>
    <row r="15" spans="1:4" ht="42" customHeight="1">
      <c r="A15" s="30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0"/>
      <c r="C15" s="3090"/>
      <c r="D15" s="3090"/>
    </row>
    <row r="16" spans="1:4" ht="30" customHeight="1">
      <c r="A16" s="3092" t="s">
        <v>1621</v>
      </c>
      <c r="B16" s="3092"/>
      <c r="C16" s="3092"/>
      <c r="D16" s="3092"/>
    </row>
    <row r="17" spans="1:4" ht="144" customHeight="1">
      <c r="A17" s="3092" t="s">
        <v>1622</v>
      </c>
      <c r="B17" s="3092"/>
      <c r="C17" s="3092"/>
      <c r="D17" s="3092"/>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0"/>
      <c r="C20" s="3090"/>
      <c r="D20" s="3090"/>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3"/>
      <c r="C21" s="3093"/>
      <c r="D21" s="3093"/>
    </row>
    <row r="22" spans="1:4" ht="18.75" customHeight="1">
      <c r="A22" s="3094" t="s">
        <v>1623</v>
      </c>
      <c r="B22" s="3094"/>
      <c r="C22" s="3094"/>
      <c r="D22" s="3094"/>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1">
        <v>42551</v>
      </c>
      <c r="D31" s="30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4" t="s">
        <v>1634</v>
      </c>
      <c r="B15" s="3099" t="s">
        <v>136</v>
      </c>
      <c r="C15" s="3100"/>
    </row>
    <row r="16" spans="1:7" ht="13.5">
      <c r="A16" s="3105"/>
      <c r="B16" s="3099" t="s">
        <v>69</v>
      </c>
      <c r="C16" s="3100"/>
    </row>
    <row r="17" spans="1:3" ht="13.5">
      <c r="A17" s="3105"/>
      <c r="B17" s="3102" t="s">
        <v>1635</v>
      </c>
      <c r="C17" s="1717" t="s">
        <v>1634</v>
      </c>
    </row>
    <row r="18" spans="1:3" ht="13.5">
      <c r="A18" s="3105"/>
      <c r="B18" s="3102"/>
      <c r="C18" s="1717" t="s">
        <v>1636</v>
      </c>
    </row>
    <row r="19" spans="1:3" ht="13.5">
      <c r="A19" s="3105"/>
      <c r="B19" s="3102"/>
      <c r="C19" s="1717" t="s">
        <v>1637</v>
      </c>
    </row>
    <row r="20" spans="1:3" ht="13.5">
      <c r="A20" s="3106"/>
      <c r="B20" s="3101" t="s">
        <v>1638</v>
      </c>
      <c r="C20" s="3100"/>
    </row>
    <row r="21" spans="1:3" ht="13.5">
      <c r="A21" s="1718" t="s">
        <v>1639</v>
      </c>
      <c r="B21" s="1719"/>
      <c r="C21" s="1720"/>
    </row>
    <row r="22" spans="1:3" ht="13.5">
      <c r="A22" s="3103" t="s">
        <v>1640</v>
      </c>
      <c r="B22" s="3101" t="s">
        <v>1641</v>
      </c>
      <c r="C22" s="3100"/>
    </row>
    <row r="23" spans="1:3" ht="13.5">
      <c r="A23" s="3103"/>
      <c r="B23" s="3101" t="s">
        <v>1642</v>
      </c>
      <c r="C23" s="3100"/>
    </row>
    <row r="24" spans="1:3" ht="13.5">
      <c r="A24" s="3103"/>
      <c r="B24" s="3101" t="s">
        <v>1643</v>
      </c>
      <c r="C24" s="3100"/>
    </row>
    <row r="25" spans="1:3" ht="13.5">
      <c r="A25" s="3103"/>
      <c r="B25" s="3102" t="s">
        <v>1644</v>
      </c>
      <c r="C25" s="1717" t="s">
        <v>1645</v>
      </c>
    </row>
    <row r="26" spans="1:3" ht="13.5">
      <c r="A26" s="3103"/>
      <c r="B26" s="3102"/>
      <c r="C26" s="1717" t="s">
        <v>1646</v>
      </c>
    </row>
    <row r="27" spans="1:3" ht="13.5">
      <c r="A27" s="3103"/>
      <c r="B27" s="3102"/>
      <c r="C27" s="1717" t="s">
        <v>1647</v>
      </c>
    </row>
    <row r="28" spans="1:3" ht="13.5">
      <c r="A28" s="3103"/>
      <c r="B28" s="3102"/>
      <c r="C28" s="1717" t="s">
        <v>1648</v>
      </c>
    </row>
    <row r="29" spans="1:3" ht="13.5">
      <c r="A29" s="3103"/>
      <c r="B29" s="3102"/>
      <c r="C29" s="1717" t="s">
        <v>1649</v>
      </c>
    </row>
    <row r="30" spans="1:3" ht="13.5">
      <c r="A30" s="3103"/>
      <c r="B30" s="3102"/>
      <c r="C30" s="1717" t="s">
        <v>1650</v>
      </c>
    </row>
    <row r="31" spans="1:3" ht="13.5">
      <c r="A31" s="3103"/>
      <c r="B31" s="3102"/>
      <c r="C31" s="1717" t="s">
        <v>1651</v>
      </c>
    </row>
    <row r="32" spans="1:3" ht="13.5">
      <c r="A32" s="3103"/>
      <c r="B32" s="3102"/>
      <c r="C32" s="1717" t="s">
        <v>1652</v>
      </c>
    </row>
    <row r="33" spans="1:3" ht="13.5">
      <c r="A33" s="3103"/>
      <c r="B33" s="3102"/>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44454</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7" t="s">
        <v>2902</v>
      </c>
      <c r="B17" s="3107"/>
      <c r="C17" s="3107"/>
      <c r="D17" s="3107"/>
      <c r="E17" s="3107"/>
      <c r="F17" s="3107"/>
      <c r="G17" s="3107"/>
      <c r="H17" s="3107"/>
    </row>
    <row r="18" spans="1:8" ht="24" customHeight="1">
      <c r="A18" s="3108" t="s">
        <v>2903</v>
      </c>
      <c r="B18" s="3108"/>
      <c r="C18" s="3108"/>
      <c r="D18" s="2566"/>
      <c r="E18" s="3109" t="s">
        <v>2904</v>
      </c>
      <c r="F18" s="3108"/>
      <c r="G18" s="3108"/>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2021-09-15T06:26:33Z</dcterms:modified>
</cp:coreProperties>
</file>