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sheetId="15" r:id="rId21"/>
    <sheet name="结果表(商业)" sheetId="82" r:id="rId22"/>
    <sheet name="比较法-商业" sheetId="33" r:id="rId23"/>
    <sheet name="收益法(商业)" sheetId="81" r:id="rId24"/>
    <sheet name="结果表(地下商业)" sheetId="84" r:id="rId25"/>
    <sheet name="成本法" sheetId="68" r:id="rId26"/>
    <sheet name="基准地价修正" sheetId="43" r:id="rId27"/>
    <sheet name="收益法(地下商业)" sheetId="83" r:id="rId28"/>
    <sheet name="土地比较法-住宅、综合" sheetId="39" state="hidden"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19"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2"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2">'比较法-商业'!$A$1:$K$54,'比较法-商业'!$A$57:$M$131</definedName>
    <definedName name="_xlnm.Print_Area" localSheetId="34">'比较法-住宅'!$A$1:$K$54,'比较法-住宅'!$A$57:$M$131</definedName>
    <definedName name="_xlnm.Print_Area" localSheetId="25">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30">假设开发法!$A$1:$K$32</definedName>
    <definedName name="_xlnm.Print_Area" localSheetId="18">结果表!$A$1:$I$127</definedName>
    <definedName name="_xlnm.Print_Area" localSheetId="24">'结果表(地下商业)'!$A$1:$I$127</definedName>
    <definedName name="_xlnm.Print_Area" localSheetId="21">'结果表(商业)'!$A$1:$I$127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7">'收益法(地下商业)'!$A$1:$F$43,'收益法(地下商业)'!$H$3:$M$29,'收益法(地下商业)'!$A$46:$F$71,'收益法(地下商业)'!$I$46:$N$65</definedName>
    <definedName name="_xlnm.Print_Area" localSheetId="33">'收益法（汇总）'!$A$1:$F$13</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7" i="74" l="1"/>
  <c r="B17" i="74"/>
  <c r="B15" i="74"/>
  <c r="B14" i="74"/>
  <c r="A124" i="84"/>
  <c r="A120" i="84"/>
  <c r="A118" i="84"/>
  <c r="E111" i="84"/>
  <c r="A126" i="84" s="1"/>
  <c r="H109" i="84"/>
  <c r="D124" i="84" s="1"/>
  <c r="D125" i="84" s="1"/>
  <c r="E109" i="84"/>
  <c r="E107" i="84"/>
  <c r="A122" i="84" s="1"/>
  <c r="H106" i="84"/>
  <c r="H105" i="84"/>
  <c r="H104" i="84"/>
  <c r="H103" i="84"/>
  <c r="D120" i="84" s="1"/>
  <c r="D101" i="84"/>
  <c r="C101" i="84"/>
  <c r="D93" i="84"/>
  <c r="C91" i="84"/>
  <c r="E90" i="84"/>
  <c r="D89" i="84"/>
  <c r="C89" i="84" s="1"/>
  <c r="C87" i="84" s="1"/>
  <c r="D78" i="84"/>
  <c r="H77" i="84"/>
  <c r="D77" i="84"/>
  <c r="C77" i="84"/>
  <c r="C74" i="84" s="1"/>
  <c r="C76" i="84"/>
  <c r="D68" i="84"/>
  <c r="F59" i="84"/>
  <c r="E59" i="84"/>
  <c r="N56" i="84"/>
  <c r="M56" i="84"/>
  <c r="K56" i="84"/>
  <c r="J56" i="84"/>
  <c r="J57" i="84" s="1"/>
  <c r="J59" i="84" s="1"/>
  <c r="J61" i="84" s="1"/>
  <c r="F56" i="84"/>
  <c r="O55" i="84"/>
  <c r="N55" i="84"/>
  <c r="K55" i="84"/>
  <c r="J55" i="84"/>
  <c r="I55" i="84"/>
  <c r="F55" i="84"/>
  <c r="O54" i="84"/>
  <c r="N54" i="84"/>
  <c r="F54" i="84"/>
  <c r="O53" i="84"/>
  <c r="N53" i="84"/>
  <c r="F53" i="84"/>
  <c r="F52" i="84"/>
  <c r="K49" i="84"/>
  <c r="F48" i="84"/>
  <c r="O52" i="84" s="1"/>
  <c r="E48" i="84"/>
  <c r="N52" i="84" s="1"/>
  <c r="D48" i="84"/>
  <c r="M52" i="84" s="1"/>
  <c r="M47" i="84"/>
  <c r="F33" i="84"/>
  <c r="D27" i="84"/>
  <c r="C25" i="84"/>
  <c r="H24" i="84"/>
  <c r="C24" i="84"/>
  <c r="M19" i="84"/>
  <c r="C118" i="84" s="1"/>
  <c r="L19" i="84"/>
  <c r="M18" i="84"/>
  <c r="B118" i="84" s="1"/>
  <c r="B16" i="74" s="1"/>
  <c r="L18" i="84"/>
  <c r="D17" i="84"/>
  <c r="C17" i="84"/>
  <c r="L4" i="84"/>
  <c r="K4" i="84"/>
  <c r="A2" i="84"/>
  <c r="H1" i="84"/>
  <c r="G62" i="43"/>
  <c r="G63" i="43"/>
  <c r="G64" i="43"/>
  <c r="G65" i="43"/>
  <c r="G66" i="43"/>
  <c r="G67" i="43"/>
  <c r="G68" i="43"/>
  <c r="G69" i="43"/>
  <c r="G61" i="43"/>
  <c r="D37" i="43"/>
  <c r="Q72" i="83"/>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H24" i="82"/>
  <c r="A120" i="82"/>
  <c r="A118"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I47" i="33"/>
  <c r="G47" i="33"/>
  <c r="I7" i="33"/>
  <c r="G7" i="33"/>
  <c r="E7" i="33"/>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I48" i="34"/>
  <c r="G48" i="34"/>
  <c r="C37" i="34"/>
  <c r="I7" i="34"/>
  <c r="G7" i="34"/>
  <c r="E7" i="34"/>
  <c r="Y7" i="1"/>
  <c r="Y8" i="1"/>
  <c r="Y9" i="1"/>
  <c r="Y10" i="1"/>
  <c r="Y6" i="1"/>
  <c r="N10" i="1"/>
  <c r="N9" i="1"/>
  <c r="N8" i="1"/>
  <c r="N7" i="1"/>
  <c r="N6" i="1"/>
  <c r="N21" i="1"/>
  <c r="N19" i="1"/>
  <c r="B55" i="1"/>
  <c r="B21" i="1"/>
  <c r="G23" i="6"/>
  <c r="F23" i="6"/>
  <c r="F22" i="6"/>
  <c r="F21" i="6"/>
  <c r="F20" i="6"/>
  <c r="G19" i="6"/>
  <c r="K25" i="80"/>
  <c r="Q13" i="3"/>
  <c r="O13" i="3"/>
  <c r="M13" i="3"/>
  <c r="K13" i="3"/>
  <c r="I13" i="3"/>
  <c r="K23" i="80"/>
  <c r="K13" i="80"/>
  <c r="K12" i="80"/>
  <c r="K11" i="80"/>
  <c r="K10" i="80"/>
  <c r="K9" i="80"/>
  <c r="K8" i="80"/>
  <c r="K7" i="80"/>
  <c r="K6" i="80"/>
  <c r="K5" i="80"/>
  <c r="K4" i="80"/>
  <c r="K3" i="80"/>
  <c r="K2" i="80"/>
  <c r="D35" i="84"/>
  <c r="C76" i="83"/>
  <c r="D34" i="82"/>
  <c r="D34" i="84"/>
  <c r="D35" i="82"/>
  <c r="C18" i="84" l="1"/>
  <c r="D18" i="84" s="1"/>
  <c r="C92" i="84"/>
  <c r="C94" i="84"/>
  <c r="K120" i="84"/>
  <c r="D121" i="84"/>
  <c r="H112" i="84"/>
  <c r="H110" i="84"/>
  <c r="H111" i="84"/>
  <c r="D126" i="84" s="1"/>
  <c r="D127" i="84" s="1"/>
  <c r="Q71" i="83"/>
  <c r="D24" i="83"/>
  <c r="P61" i="83"/>
  <c r="D22" i="83"/>
  <c r="K120" i="82"/>
  <c r="D121" i="82"/>
  <c r="C74" i="82"/>
  <c r="C92" i="82"/>
  <c r="C94" i="82"/>
  <c r="H109" i="82"/>
  <c r="H112" i="82"/>
  <c r="D24" i="81"/>
  <c r="P61" i="81"/>
  <c r="D22" i="81"/>
  <c r="M23" i="83"/>
  <c r="F6" i="83"/>
  <c r="M26" i="83"/>
  <c r="F7" i="83"/>
  <c r="M9" i="83"/>
  <c r="M27" i="83"/>
  <c r="M24" i="83"/>
  <c r="F43" i="81"/>
  <c r="F16" i="81"/>
  <c r="F6" i="81"/>
  <c r="F42" i="81"/>
  <c r="F7" i="81"/>
  <c r="M6" i="81"/>
  <c r="F43" i="83"/>
  <c r="M8" i="83"/>
  <c r="J15" i="83"/>
  <c r="M29" i="83"/>
  <c r="F38" i="83"/>
  <c r="F9" i="83"/>
  <c r="F42" i="83"/>
  <c r="M6" i="83"/>
  <c r="C14" i="83"/>
  <c r="F26" i="83"/>
  <c r="F37" i="83"/>
  <c r="M22" i="83"/>
  <c r="F40" i="83"/>
  <c r="L48" i="81"/>
  <c r="F40" i="81"/>
  <c r="F8" i="81"/>
  <c r="F37" i="81"/>
  <c r="F26" i="81"/>
  <c r="J15" i="81"/>
  <c r="C14" i="81"/>
  <c r="L47" i="81"/>
  <c r="M28" i="81"/>
  <c r="F9" i="81"/>
  <c r="F38" i="81"/>
  <c r="M29" i="81"/>
  <c r="M23" i="81"/>
  <c r="F13" i="81"/>
  <c r="F13" i="83"/>
  <c r="F36" i="83"/>
  <c r="M28" i="83"/>
  <c r="L47" i="83"/>
  <c r="F16" i="83"/>
  <c r="F8" i="83"/>
  <c r="L48" i="83"/>
  <c r="M24" i="81"/>
  <c r="M27" i="81"/>
  <c r="M8" i="81"/>
  <c r="C76" i="81"/>
  <c r="M22" i="81"/>
  <c r="F36" i="81"/>
  <c r="M26" i="81"/>
  <c r="M9" i="81"/>
  <c r="L57" i="83" l="1"/>
  <c r="L56" i="83"/>
  <c r="J57" i="83"/>
  <c r="J55" i="83" s="1"/>
  <c r="J58" i="83" s="1"/>
  <c r="Q50" i="83" s="1"/>
  <c r="I54" i="83"/>
  <c r="L60" i="83"/>
  <c r="J53" i="83"/>
  <c r="F68" i="83"/>
  <c r="F51" i="83"/>
  <c r="F65" i="83"/>
  <c r="C27" i="83"/>
  <c r="C18" i="83"/>
  <c r="C15" i="83"/>
  <c r="N59" i="83"/>
  <c r="L59" i="83"/>
  <c r="L58" i="83"/>
  <c r="M59" i="83"/>
  <c r="F50" i="83"/>
  <c r="M7" i="83"/>
  <c r="J6" i="83" s="1"/>
  <c r="F66" i="83"/>
  <c r="F64" i="83"/>
  <c r="C6" i="83"/>
  <c r="F71" i="83"/>
  <c r="D124" i="82"/>
  <c r="D125" i="82" s="1"/>
  <c r="H110" i="82"/>
  <c r="F64" i="81"/>
  <c r="F66" i="81"/>
  <c r="F50" i="81"/>
  <c r="M7" i="81"/>
  <c r="J6" i="81" s="1"/>
  <c r="N59" i="81"/>
  <c r="L59" i="81"/>
  <c r="L58" i="81"/>
  <c r="M59" i="81"/>
  <c r="Q71" i="81"/>
  <c r="C18" i="81"/>
  <c r="C15" i="81"/>
  <c r="C6" i="81"/>
  <c r="C27" i="81"/>
  <c r="F65" i="81"/>
  <c r="F51" i="81"/>
  <c r="C49" i="81" s="1"/>
  <c r="F68" i="81"/>
  <c r="F71" i="81"/>
  <c r="L57" i="81"/>
  <c r="L56" i="81"/>
  <c r="J57" i="81"/>
  <c r="J55" i="81" s="1"/>
  <c r="J58" i="81" s="1"/>
  <c r="Q50" i="81" s="1"/>
  <c r="I54" i="81"/>
  <c r="L60" i="81"/>
  <c r="J53" i="81"/>
  <c r="C17" i="83"/>
  <c r="C17" i="81"/>
  <c r="C16" i="83"/>
  <c r="C16" i="81"/>
  <c r="J19" i="83" l="1"/>
  <c r="J18" i="83"/>
  <c r="C19" i="83"/>
  <c r="Q60" i="83"/>
  <c r="Q73" i="83"/>
  <c r="Q61" i="83"/>
  <c r="Q74" i="83"/>
  <c r="Q66" i="83"/>
  <c r="Q57" i="83"/>
  <c r="C33" i="83"/>
  <c r="C32" i="83"/>
  <c r="C49" i="83"/>
  <c r="F1" i="83"/>
  <c r="Q52" i="83"/>
  <c r="C19" i="81"/>
  <c r="J19" i="81"/>
  <c r="J18" i="81"/>
  <c r="F1" i="81"/>
  <c r="Q52" i="81"/>
  <c r="Q66" i="81"/>
  <c r="Q57" i="81"/>
  <c r="C61" i="81"/>
  <c r="C33" i="81"/>
  <c r="C32" i="81"/>
  <c r="Q60" i="81"/>
  <c r="Q73" i="81"/>
  <c r="Q61" i="81"/>
  <c r="Q74" i="81"/>
  <c r="C61" i="83" l="1"/>
  <c r="C20" i="83"/>
  <c r="C26" i="83" s="1"/>
  <c r="C20" i="81"/>
  <c r="C26" i="81" s="1"/>
  <c r="F13" i="4" l="1"/>
  <c r="E11" i="1" l="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G29" i="6" s="1"/>
  <c r="AZ343" i="3"/>
  <c r="BK5" i="3"/>
  <c r="BG5" i="3"/>
  <c r="BC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4" i="9"/>
  <c r="D35" i="9"/>
  <c r="F7" i="73"/>
  <c r="E2" i="69"/>
  <c r="M6" i="15"/>
  <c r="M29" i="15"/>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5" i="73"/>
  <c r="B9" i="76"/>
  <c r="F20" i="31"/>
  <c r="F6" i="67"/>
  <c r="E8" i="76"/>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H50" i="43" l="1"/>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36" i="68"/>
  <c r="C16" i="67"/>
  <c r="C16" i="15"/>
  <c r="G1" i="73"/>
  <c r="F11" i="83" l="1"/>
  <c r="M11" i="83"/>
  <c r="J10" i="83" s="1"/>
  <c r="J5" i="83" s="1"/>
  <c r="F11" i="81"/>
  <c r="M11" i="81"/>
  <c r="J10" i="81" s="1"/>
  <c r="J5" i="81" s="1"/>
  <c r="N370" i="46"/>
  <c r="G26" i="4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AE7" i="1"/>
  <c r="AE6" i="1"/>
  <c r="AE8" i="1"/>
  <c r="F27" i="68"/>
  <c r="F41" i="67"/>
  <c r="C24" i="83" l="1"/>
  <c r="C23" i="83"/>
  <c r="J26" i="83"/>
  <c r="J24" i="83"/>
  <c r="C53" i="83"/>
  <c r="C48" i="83" s="1"/>
  <c r="C10" i="83"/>
  <c r="C5" i="83" s="1"/>
  <c r="J26" i="81"/>
  <c r="J24" i="81"/>
  <c r="L36" i="43"/>
  <c r="L37" i="43" s="1"/>
  <c r="F24" i="81"/>
  <c r="C53" i="81"/>
  <c r="C48" i="81" s="1"/>
  <c r="C10" i="81"/>
  <c r="C5" i="81" s="1"/>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1"/>
  <c r="M27" i="67"/>
  <c r="M27" i="15"/>
  <c r="F41" i="15"/>
  <c r="F41" i="83"/>
  <c r="F69" i="83" l="1"/>
  <c r="F69" i="81"/>
  <c r="J29" i="83"/>
  <c r="J29" i="81"/>
  <c r="C29" i="83"/>
  <c r="C57" i="83" s="1"/>
  <c r="C64" i="83" s="1"/>
  <c r="Q36" i="43"/>
  <c r="C38" i="83"/>
  <c r="C66" i="83"/>
  <c r="C60" i="83"/>
  <c r="M36" i="43"/>
  <c r="P36" i="43"/>
  <c r="O36" i="43"/>
  <c r="N36" i="43"/>
  <c r="C38" i="81"/>
  <c r="C24" i="81"/>
  <c r="C23" i="81"/>
  <c r="C66" i="81"/>
  <c r="C60" i="8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15"/>
  <c r="D10" i="68"/>
  <c r="C17" i="67"/>
  <c r="C13" i="83" l="1"/>
  <c r="Q70" i="83" s="1"/>
  <c r="J59" i="83"/>
  <c r="J60" i="83" s="1"/>
  <c r="L46" i="83" s="1"/>
  <c r="C36" i="83"/>
  <c r="Q49" i="83"/>
  <c r="J14" i="83"/>
  <c r="J13" i="83" s="1"/>
  <c r="J23" i="83" s="1"/>
  <c r="C29"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1"/>
  <c r="C14" i="15"/>
  <c r="E6" i="76"/>
  <c r="F35" i="81"/>
  <c r="B6" i="76"/>
  <c r="B3" i="43" l="1"/>
  <c r="C6" i="68"/>
  <c r="C7" i="68" s="1"/>
  <c r="C5" i="68" s="1"/>
  <c r="C23" i="68" s="1"/>
  <c r="C37" i="83"/>
  <c r="Q48" i="83"/>
  <c r="C75" i="83"/>
  <c r="J22" i="83"/>
  <c r="C56" i="83"/>
  <c r="C65" i="83" s="1"/>
  <c r="F63" i="81"/>
  <c r="C62" i="81" s="1"/>
  <c r="C59" i="81" s="1"/>
  <c r="C34" i="81"/>
  <c r="C31" i="81" s="1"/>
  <c r="J20" i="81"/>
  <c r="J17" i="81" s="1"/>
  <c r="C57" i="81"/>
  <c r="C64" i="81" s="1"/>
  <c r="C36" i="81"/>
  <c r="J14" i="81"/>
  <c r="C13" i="81"/>
  <c r="Q49" i="81"/>
  <c r="J59" i="81"/>
  <c r="J60"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48" i="81" l="1"/>
  <c r="L46" i="81"/>
  <c r="C75" i="81"/>
  <c r="Q70" i="81"/>
  <c r="C37" i="81"/>
  <c r="C30" i="81" s="1"/>
  <c r="C39" i="81" s="1"/>
  <c r="C56" i="81"/>
  <c r="C65" i="81" s="1"/>
  <c r="C58" i="81" s="1"/>
  <c r="C67" i="81" s="1"/>
  <c r="C68" i="81" s="1"/>
  <c r="J13" i="81"/>
  <c r="J23" i="81" s="1"/>
  <c r="J22" i="8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16" i="81" l="1"/>
  <c r="J25" i="81" s="1"/>
  <c r="C71" i="81"/>
  <c r="Q69" i="81"/>
  <c r="Q68" i="81" s="1"/>
  <c r="C40" i="81"/>
  <c r="C80" i="81"/>
  <c r="C79" i="8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3"/>
  <c r="F35" i="15"/>
  <c r="M21" i="15"/>
  <c r="M21" i="83"/>
  <c r="L51" i="81"/>
  <c r="M21" i="67"/>
  <c r="F35" i="67"/>
  <c r="C34" i="83" l="1"/>
  <c r="C31" i="83" s="1"/>
  <c r="C30" i="83" s="1"/>
  <c r="C39" i="83" s="1"/>
  <c r="F63" i="83"/>
  <c r="C62" i="83" s="1"/>
  <c r="C59" i="83" s="1"/>
  <c r="C58" i="83" s="1"/>
  <c r="C67" i="83" s="1"/>
  <c r="C68" i="83" s="1"/>
  <c r="J20" i="83"/>
  <c r="J17" i="83" s="1"/>
  <c r="J16" i="83" s="1"/>
  <c r="J25" i="83" s="1"/>
  <c r="Q67" i="81"/>
  <c r="Q47" i="81"/>
  <c r="Q53" i="81" s="1"/>
  <c r="B2" i="81"/>
  <c r="Q65" i="81"/>
  <c r="Q75" i="81" s="1"/>
  <c r="Q56" i="81"/>
  <c r="Q62" i="81" s="1"/>
  <c r="C43" i="81"/>
  <c r="C83" i="81"/>
  <c r="C82" i="81" s="1"/>
  <c r="C46"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84"/>
  <c r="L51" i="83"/>
  <c r="C102" i="84" l="1"/>
  <c r="C21" i="84"/>
  <c r="B3" i="81"/>
  <c r="Q67" i="83"/>
  <c r="C71" i="83"/>
  <c r="C80" i="83"/>
  <c r="C79" i="83" s="1"/>
  <c r="Q69" i="83"/>
  <c r="Q68" i="83" s="1"/>
  <c r="C40" i="83"/>
  <c r="C46"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4"/>
  <c r="D2" i="21"/>
  <c r="C103" i="84" l="1"/>
  <c r="Q47" i="83"/>
  <c r="Q53" i="83" s="1"/>
  <c r="Q65" i="83"/>
  <c r="Q75" i="83" s="1"/>
  <c r="C43" i="83"/>
  <c r="B2" i="83"/>
  <c r="Q56" i="83"/>
  <c r="Q62" i="83" s="1"/>
  <c r="C83" i="83"/>
  <c r="C82"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84"/>
  <c r="L51" i="67"/>
  <c r="D2" i="33"/>
  <c r="D102" i="84" l="1"/>
  <c r="D22" i="84"/>
  <c r="D21" i="84"/>
  <c r="G19" i="84"/>
  <c r="G21" i="84" s="1"/>
  <c r="B3" i="8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82"/>
  <c r="D2" i="35"/>
  <c r="D2" i="36"/>
  <c r="D20" i="84"/>
  <c r="L51" i="15"/>
  <c r="D2" i="37"/>
  <c r="G20" i="84" l="1"/>
  <c r="C32" i="84" s="1"/>
  <c r="C35" i="84" s="1"/>
  <c r="C34" i="84" s="1"/>
  <c r="D103" i="84"/>
  <c r="C21" i="82"/>
  <c r="C102" i="82"/>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82"/>
  <c r="AO7" i="1"/>
  <c r="AO6" i="1"/>
  <c r="AO12" i="1"/>
  <c r="C19" i="9"/>
  <c r="AO11" i="1"/>
  <c r="AO9" i="1"/>
  <c r="AO10" i="1"/>
  <c r="C103" i="82" l="1"/>
  <c r="C102" i="9"/>
  <c r="C21" i="9"/>
  <c r="B3" i="34"/>
  <c r="L46" i="15"/>
  <c r="B2" i="15" s="1"/>
  <c r="Q66" i="15"/>
  <c r="Q75" i="15" s="1"/>
  <c r="Q62" i="15"/>
  <c r="B9" i="70"/>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2"/>
  <c r="D19" i="9"/>
  <c r="C20" i="9"/>
  <c r="AO8" i="1"/>
  <c r="D21" i="82" l="1"/>
  <c r="D102" i="82"/>
  <c r="D22" i="82"/>
  <c r="G19" i="82"/>
  <c r="G21" i="82" s="1"/>
  <c r="C103" i="9"/>
  <c r="D22" i="9"/>
  <c r="D102" i="9"/>
  <c r="G19" i="9"/>
  <c r="G21" i="9" s="1"/>
  <c r="D21" i="9"/>
  <c r="B3" i="15"/>
  <c r="B8"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D20" i="9"/>
  <c r="D103" i="82" l="1"/>
  <c r="G20" i="82"/>
  <c r="C32" i="82" s="1"/>
  <c r="D103" i="9"/>
  <c r="G20" i="9"/>
  <c r="C32" i="9" s="1"/>
  <c r="C42" i="40"/>
  <c r="C43" i="40"/>
  <c r="E47" i="40"/>
  <c r="F47" i="40" s="1"/>
  <c r="E46" i="40"/>
  <c r="F46" i="40" s="1"/>
  <c r="I47" i="40"/>
  <c r="J47" i="40" s="1"/>
  <c r="C35" i="82" l="1"/>
  <c r="C34" i="82"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6" i="53" l="1"/>
  <c r="D17" i="53" s="1"/>
  <c r="B36" i="72" s="1"/>
  <c r="H109" i="9"/>
  <c r="H110" i="9" s="1"/>
  <c r="D18" i="53" l="1"/>
  <c r="B35" i="72" s="1"/>
  <c r="C7" i="74"/>
  <c r="D124" i="9"/>
  <c r="B34" i="72"/>
  <c r="D10" i="52" l="1"/>
  <c r="D125" i="9"/>
  <c r="D11" i="52" s="1"/>
  <c r="F118" i="9"/>
  <c r="D118" i="9"/>
  <c r="D119" i="9" s="1"/>
  <c r="D5" i="52" s="1"/>
  <c r="B49" i="72" s="1"/>
  <c r="H118" i="9"/>
  <c r="I118" i="9" l="1"/>
  <c r="H102" i="9" s="1"/>
  <c r="D14" i="74"/>
  <c r="I4" i="52"/>
  <c r="H101" i="9"/>
  <c r="D4" i="52"/>
  <c r="B47" i="72" s="1"/>
  <c r="F4" i="52"/>
  <c r="B51" i="72" s="1"/>
  <c r="G118" i="9"/>
  <c r="G4" i="52" s="1"/>
  <c r="B52" i="72" s="1"/>
  <c r="F119" i="9"/>
  <c r="F5" i="52" s="1"/>
  <c r="B53" i="72" s="1"/>
  <c r="C104" i="9"/>
  <c r="H119" i="9"/>
  <c r="H5" i="52" s="1"/>
  <c r="H4" i="52"/>
  <c r="C105" i="9" l="1"/>
  <c r="F14" i="74"/>
  <c r="E14" i="74"/>
  <c r="M48" i="9"/>
  <c r="D5" i="53"/>
  <c r="H107" i="9"/>
  <c r="D45" i="9"/>
  <c r="E118" i="9"/>
  <c r="E4" i="52" s="1"/>
  <c r="B48" i="72" s="1"/>
  <c r="D7" i="53"/>
  <c r="B21" i="72" s="1"/>
  <c r="D52" i="9" l="1"/>
  <c r="C93" i="9"/>
  <c r="C86" i="9" s="1"/>
  <c r="D55" i="9"/>
  <c r="M53" i="9" s="1"/>
  <c r="D53" i="9"/>
  <c r="C78" i="9"/>
  <c r="C73" i="9" s="1"/>
  <c r="C64" i="9"/>
  <c r="C63" i="9" s="1"/>
  <c r="C67" i="9" s="1"/>
  <c r="C85" i="9"/>
  <c r="C72" i="9"/>
  <c r="B20" i="72"/>
  <c r="D6" i="53"/>
  <c r="B22" i="72" s="1"/>
  <c r="H108" i="9"/>
  <c r="D122" i="9"/>
  <c r="D13" i="53"/>
  <c r="M49" i="9"/>
  <c r="C95" i="9" l="1"/>
  <c r="C79" i="9"/>
  <c r="D59" i="9"/>
  <c r="M55" i="9" s="1"/>
  <c r="C68" i="9"/>
  <c r="D54" i="9" s="1"/>
  <c r="L67" i="9"/>
  <c r="M67" i="9" s="1"/>
  <c r="L65" i="9"/>
  <c r="M65" i="9" s="1"/>
  <c r="L68" i="9"/>
  <c r="M68" i="9" s="1"/>
  <c r="L64" i="9"/>
  <c r="M64" i="9" s="1"/>
  <c r="L66" i="9"/>
  <c r="M66" i="9" s="1"/>
  <c r="L63" i="9"/>
  <c r="M63" i="9" s="1"/>
  <c r="D8" i="52"/>
  <c r="D123" i="9"/>
  <c r="D9" i="52" s="1"/>
  <c r="B30" i="72"/>
  <c r="D14" i="53"/>
  <c r="B32" i="72" s="1"/>
  <c r="C6" i="74"/>
  <c r="D15" i="53"/>
  <c r="B31" i="72" s="1"/>
  <c r="C96" i="9"/>
  <c r="E96" i="9" s="1"/>
  <c r="E97" i="9" s="1"/>
  <c r="C97" i="9" l="1"/>
  <c r="D58" i="9" s="1"/>
  <c r="D56" i="9" s="1"/>
  <c r="M54" i="9" s="1"/>
  <c r="N57" i="9" s="1"/>
  <c r="M69" i="9"/>
  <c r="N69" i="9" s="1"/>
  <c r="C81" i="9"/>
  <c r="C80" i="9"/>
  <c r="E80" i="9" s="1"/>
  <c r="E81" i="9" s="1"/>
  <c r="N58" i="9" l="1"/>
  <c r="P57" i="9"/>
  <c r="N59" i="9"/>
  <c r="N60" i="9" l="1"/>
  <c r="N61" i="9"/>
  <c r="D118" i="82"/>
  <c r="D119" i="82" s="1"/>
  <c r="F118" i="82"/>
  <c r="F119" i="82" s="1"/>
  <c r="H118" i="82"/>
  <c r="H119" i="82" l="1"/>
  <c r="D15" i="74"/>
  <c r="H101" i="82"/>
  <c r="M48" i="82" s="1"/>
  <c r="I118" i="82"/>
  <c r="C105" i="82" s="1"/>
  <c r="G118" i="82"/>
  <c r="E118" i="82" s="1"/>
  <c r="H102" i="82"/>
  <c r="C104" i="82"/>
  <c r="H107" i="82" l="1"/>
  <c r="H108" i="82" s="1"/>
  <c r="D45" i="82"/>
  <c r="E15" i="74"/>
  <c r="F15" i="74"/>
  <c r="D52" i="82"/>
  <c r="C78" i="82"/>
  <c r="C73" i="82" s="1"/>
  <c r="D55" i="82"/>
  <c r="M53" i="82" s="1"/>
  <c r="C85" i="82"/>
  <c r="D53" i="82"/>
  <c r="C93" i="82"/>
  <c r="C86" i="82" s="1"/>
  <c r="C64" i="82"/>
  <c r="C63" i="82" s="1"/>
  <c r="C67" i="82" s="1"/>
  <c r="C72" i="82"/>
  <c r="C79" i="82" s="1"/>
  <c r="M49" i="82" l="1"/>
  <c r="L65" i="82" s="1"/>
  <c r="M65" i="82" s="1"/>
  <c r="D122" i="82"/>
  <c r="D123" i="82" s="1"/>
  <c r="D59" i="82"/>
  <c r="M55" i="82" s="1"/>
  <c r="C68" i="82"/>
  <c r="D54" i="82" s="1"/>
  <c r="C80" i="82"/>
  <c r="E80" i="82" s="1"/>
  <c r="E81" i="82" s="1"/>
  <c r="C95" i="82"/>
  <c r="L66" i="82"/>
  <c r="M66" i="82" s="1"/>
  <c r="L67" i="82"/>
  <c r="M67" i="82" s="1"/>
  <c r="L64" i="82"/>
  <c r="M64" i="82" s="1"/>
  <c r="L63" i="82" l="1"/>
  <c r="M63" i="82" s="1"/>
  <c r="L68" i="82"/>
  <c r="M68" i="82" s="1"/>
  <c r="M69" i="82" s="1"/>
  <c r="N69" i="82" s="1"/>
  <c r="C96" i="82"/>
  <c r="E96" i="82" s="1"/>
  <c r="E97" i="82" s="1"/>
  <c r="C81" i="82"/>
  <c r="C97" i="82" l="1"/>
  <c r="D58" i="82" s="1"/>
  <c r="D56" i="82" s="1"/>
  <c r="M54" i="82" s="1"/>
  <c r="N57" i="82" s="1"/>
  <c r="N58" i="82" s="1"/>
  <c r="P57" i="82" l="1"/>
  <c r="N59" i="82"/>
  <c r="N61" i="82" s="1"/>
  <c r="N60" i="82"/>
  <c r="F118" i="84"/>
  <c r="F119" i="84" s="1"/>
  <c r="D118" i="84"/>
  <c r="D119" i="84" s="1"/>
  <c r="H118" i="84"/>
  <c r="C104" i="84" l="1"/>
  <c r="D16" i="74"/>
  <c r="H119" i="84"/>
  <c r="H101" i="84"/>
  <c r="I118" i="84"/>
  <c r="G118" i="84"/>
  <c r="E16" i="74" l="1"/>
  <c r="F16" i="74"/>
  <c r="B5" i="74"/>
  <c r="C105" i="84"/>
  <c r="H102" i="84"/>
  <c r="E118" i="84"/>
  <c r="M48" i="84"/>
  <c r="H107" i="84"/>
  <c r="D45" i="84"/>
  <c r="D5" i="74" l="1"/>
  <c r="C5" i="74"/>
  <c r="H108" i="84"/>
  <c r="D122" i="84"/>
  <c r="D123" i="84" s="1"/>
  <c r="M49" i="84"/>
  <c r="D53" i="84"/>
  <c r="C93" i="84"/>
  <c r="C86" i="84" s="1"/>
  <c r="C78" i="84"/>
  <c r="C73" i="84" s="1"/>
  <c r="C72" i="84"/>
  <c r="C85" i="84"/>
  <c r="C64" i="84"/>
  <c r="C63" i="84" s="1"/>
  <c r="C67" i="84" s="1"/>
  <c r="D52" i="84"/>
  <c r="D55" i="84"/>
  <c r="M53" i="84" s="1"/>
  <c r="C95" i="84" l="1"/>
  <c r="C96" i="84" s="1"/>
  <c r="E96" i="84" s="1"/>
  <c r="E97" i="84" s="1"/>
  <c r="D59" i="84"/>
  <c r="M55" i="84" s="1"/>
  <c r="C68" i="84"/>
  <c r="D54" i="84" s="1"/>
  <c r="C79" i="84"/>
  <c r="L67" i="84"/>
  <c r="M67" i="84" s="1"/>
  <c r="L64" i="84"/>
  <c r="M64" i="84" s="1"/>
  <c r="L65" i="84"/>
  <c r="M65" i="84" s="1"/>
  <c r="L68" i="84"/>
  <c r="M68" i="84" s="1"/>
  <c r="L66" i="84"/>
  <c r="M66" i="84" s="1"/>
  <c r="L63" i="84"/>
  <c r="M63" i="84" s="1"/>
  <c r="M69" i="84" l="1"/>
  <c r="N69" i="84" s="1"/>
  <c r="C97" i="84"/>
  <c r="D58" i="84" s="1"/>
  <c r="D56" i="84" s="1"/>
  <c r="M54" i="84" s="1"/>
  <c r="N57" i="84" s="1"/>
  <c r="N59" i="84" s="1"/>
  <c r="N60" i="84" s="1"/>
  <c r="C80" i="84"/>
  <c r="E80" i="84" s="1"/>
  <c r="E81" i="84" s="1"/>
  <c r="N58" i="84" l="1"/>
  <c r="N61" i="84"/>
  <c r="P57" i="84"/>
  <c r="C81"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<sst xmlns="http://schemas.openxmlformats.org/spreadsheetml/2006/main" count="9396" uniqueCount="3539">
  <si>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</si>
  <si>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</si>
  <si>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</si>
  <si>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</si>
  <si>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</si>
  <si>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</si>
  <si>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</si>
  <si>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</si>
  <si>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</si>
  <si>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</si>
  <si>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</si>
  <si>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</si>
  <si>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</si>
  <si>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</si>
  <si>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</si>
  <si>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</si>
  <si>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</si>
  <si>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</si>
  <si>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</si>
  <si>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</si>
  <si>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</si>
  <si>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</si>
  <si>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</si>
  <si>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</si>
  <si>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</si>
  <si>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</si>
  <si>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</si>
  <si>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</si>
  <si>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</si>
  <si>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</si>
  <si>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</si>
  <si>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</si>
  <si>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</si>
  <si>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</si>
  <si>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</si>
  <si>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</si>
  <si>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</si>
  <si>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</si>
  <si>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</si>
  <si>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</si>
  <si>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</si>
  <si>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</si>
  <si>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</si>
  <si>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</si>
  <si>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</si>
  <si>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</si>
  <si>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</si>
  <si>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</si>
  <si>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</si>
  <si>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</si>
  <si>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</si>
  <si>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</si>
  <si>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</si>
  <si>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</si>
  <si>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</si>
  <si>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</si>
  <si>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</si>
  <si>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</si>
  <si>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</si>
  <si>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</si>
  <si>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</si>
  <si>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</si>
  <si>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</si>
  <si>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</si>
  <si>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</si>
  <si>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</si>
  <si>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</si>
  <si>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</si>
  <si>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</si>
  <si>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</si>
  <si>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</si>
  <si>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</si>
  <si>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</si>
  <si>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</si>
  <si>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</si>
  <si>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</si>
  <si>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</si>
  <si>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</si>
  <si>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</si>
  <si>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</si>
  <si>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</si>
  <si>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</si>
  <si>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</si>
  <si>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</si>
  <si>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</si>
  <si>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</si>
  <si>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</si>
  <si>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</si>
  <si>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</si>
  <si>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</si>
  <si>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</si>
  <si>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</si>
  <si>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</si>
  <si>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</si>
  <si>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</si>
  <si>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</si>
  <si>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</si>
  <si>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</si>
  <si>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</si>
  <si>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</si>
  <si>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</si>
  <si>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</si>
  <si>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</si>
  <si>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</si>
  <si>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</si>
  <si>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</si>
  <si>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</si>
  <si>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</si>
  <si>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</si>
  <si>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</si>
  <si>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</si>
  <si>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</si>
  <si>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</si>
  <si>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</si>
  <si>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</si>
  <si>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</si>
  <si>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</si>
  <si>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</si>
  <si>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</si>
  <si>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</si>
  <si>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</si>
  <si>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</si>
  <si>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</si>
  <si>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</si>
  <si>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</si>
  <si>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</si>
  <si>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</si>
  <si>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</si>
  <si>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</si>
  <si>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</si>
  <si>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</si>
  <si>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</si>
  <si>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</si>
  <si>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</si>
  <si>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</si>
  <si>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</si>
  <si>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</si>
  <si>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</si>
  <si>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</si>
  <si>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</si>
  <si>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</si>
  <si>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</si>
  <si>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</si>
  <si>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</si>
  <si>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</si>
  <si>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</si>
  <si>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</si>
  <si>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</si>
  <si>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</si>
  <si>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</si>
  <si>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</si>
  <si>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</si>
  <si>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</si>
  <si>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</si>
  <si>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</si>
  <si>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</si>
  <si>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</si>
  <si>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</si>
  <si>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</si>
  <si>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</si>
  <si>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</si>
  <si>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</si>
  <si>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</si>
  <si>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</si>
  <si>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</si>
  <si>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</si>
  <si>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</si>
  <si>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</si>
  <si>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</si>
  <si>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</si>
  <si>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</si>
  <si>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</si>
  <si>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</si>
  <si>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</si>
  <si>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</si>
  <si>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</si>
  <si>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</si>
  <si>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</si>
  <si>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</si>
  <si>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</si>
  <si>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</si>
  <si>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</si>
  <si>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</si>
  <si>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</si>
  <si>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</si>
  <si>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</si>
  <si>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</si>
  <si>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</si>
  <si>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</si>
  <si>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</si>
  <si>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</si>
  <si>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</si>
  <si>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</si>
  <si>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</si>
  <si>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</si>
  <si>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</si>
  <si>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</si>
  <si>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</si>
  <si>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</si>
  <si>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</si>
  <si>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</si>
  <si>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</si>
  <si>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</si>
  <si>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</si>
  <si>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</si>
  <si>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</si>
  <si>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</si>
  <si>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</si>
  <si>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</si>
  <si>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</si>
  <si>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</si>
  <si>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</si>
  <si>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</si>
  <si>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</si>
  <si>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</si>
  <si>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</si>
  <si>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</si>
  <si>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</si>
  <si>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</si>
  <si>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</si>
  <si>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</si>
  <si>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</si>
  <si>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</si>
  <si>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</si>
  <si>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</si>
  <si>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</si>
  <si>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</si>
  <si>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</si>
  <si>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</si>
  <si>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</si>
  <si>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</si>
  <si>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</si>
  <si>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</si>
  <si>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</si>
  <si>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</si>
  <si>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</si>
  <si>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</si>
  <si>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</si>
  <si>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</si>
  <si>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</si>
  <si>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</si>
  <si>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</si>
  <si>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</si>
  <si>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</si>
  <si>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</si>
  <si>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</si>
  <si>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</si>
  <si>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</si>
  <si>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</si>
  <si>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</si>
  <si>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</si>
  <si>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</si>
  <si>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</si>
  <si>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</si>
  <si>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</si>
  <si>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</si>
  <si>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</si>
  <si>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</si>
  <si>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</si>
  <si>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</si>
  <si>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</si>
  <si>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</si>
  <si>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</si>
  <si>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</si>
  <si>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</si>
  <si>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</si>
  <si>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</si>
  <si>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</si>
  <si>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</si>
  <si>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</si>
  <si>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</si>
  <si>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</si>
  <si>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</si>
  <si>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</si>
  <si>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</si>
  <si>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</si>
  <si>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</si>
  <si>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</si>
  <si>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</si>
  <si>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</si>
  <si>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</si>
  <si>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</si>
  <si>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</si>
  <si>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</si>
  <si>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</si>
  <si>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</si>
  <si>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</si>
  <si>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</si>
  <si>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</si>
  <si>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</si>
  <si>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</si>
  <si>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</si>
  <si>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</si>
  <si>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</si>
  <si>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</si>
  <si>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</si>
  <si>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</si>
  <si>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</si>
  <si>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</si>
  <si>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</si>
  <si>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</si>
  <si>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</si>
  <si>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</si>
  <si>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</si>
  <si>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</si>
  <si>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</si>
  <si>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</si>
  <si>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</si>
  <si>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</si>
  <si>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</si>
  <si>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</si>
  <si>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</si>
  <si>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</si>
  <si>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</si>
  <si>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</si>
  <si>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</si>
  <si>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</si>
  <si>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</si>
  <si>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</si>
  <si>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</si>
  <si>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</si>
  <si>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</si>
  <si>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</si>
  <si>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</si>
  <si>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</si>
  <si>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</si>
  <si>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</si>
  <si>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</si>
  <si>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</si>
  <si>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</si>
  <si>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</si>
  <si>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</si>
  <si>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</si>
  <si>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</si>
  <si>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</si>
  <si>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</si>
  <si>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</si>
  <si>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</si>
  <si>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</si>
  <si>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</si>
  <si>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</si>
  <si>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</si>
  <si>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</si>
  <si>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</si>
  <si>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</si>
  <si>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</si>
  <si>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</si>
  <si>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</si>
  <si>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</si>
  <si>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</si>
  <si>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</si>
  <si>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</si>
  <si>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</si>
  <si>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</si>
  <si>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</si>
  <si>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</si>
  <si>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</si>
  <si>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</si>
  <si>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</si>
  <si>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</si>
  <si>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</si>
  <si>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</si>
  <si>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</si>
  <si>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</si>
  <si>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</si>
  <si>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</si>
  <si>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</si>
  <si>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</si>
  <si>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</si>
  <si>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</si>
  <si>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</si>
  <si>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</si>
  <si>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</si>
  <si>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</si>
  <si>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</si>
  <si>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</si>
  <si>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</si>
  <si>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</si>
  <si>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</si>
  <si>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</si>
  <si>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</si>
  <si>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</si>
  <si>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</si>
  <si>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</si>
  <si>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</si>
  <si>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</si>
  <si>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</si>
  <si>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</si>
  <si>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</si>
  <si>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</si>
  <si>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</si>
  <si>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</si>
  <si>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</si>
  <si>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</si>
  <si>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</si>
  <si>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</si>
  <si>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</si>
  <si>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</si>
  <si>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</si>
  <si>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</si>
  <si>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</si>
  <si>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</si>
  <si>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</si>
  <si>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</si>
  <si>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</si>
  <si>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</si>
  <si>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</si>
  <si>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</si>
  <si>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</si>
  <si>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</si>
  <si>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</si>
  <si>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</si>
  <si>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</si>
  <si>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</si>
  <si>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</si>
  <si>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</si>
  <si>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</si>
  <si>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</si>
  <si>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</si>
  <si>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</si>
  <si>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</si>
  <si>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</si>
  <si>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</si>
  <si>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</si>
  <si>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</si>
  <si>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</si>
  <si>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</si>
  <si>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</si>
  <si>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</si>
  <si>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</si>
  <si>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</si>
  <si>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</si>
  <si>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</si>
  <si>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</si>
  <si>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</si>
  <si>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</si>
  <si>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</si>
  <si>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</si>
  <si>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</si>
  <si>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</si>
  <si>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</si>
  <si>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</si>
  <si>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</si>
  <si>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</si>
  <si>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</si>
  <si>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</si>
  <si>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</si>
  <si>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</si>
  <si>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</si>
  <si>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</si>
  <si>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</si>
  <si>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</si>
  <si>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</si>
  <si>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</si>
  <si>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</si>
  <si>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</si>
  <si>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</si>
  <si>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</si>
  <si>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</si>
  <si>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</si>
  <si>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</si>
  <si>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</si>
  <si>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</si>
  <si>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</si>
  <si>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</si>
  <si>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</si>
  <si>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</si>
  <si>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</si>
  <si>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</si>
  <si>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</si>
  <si>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</si>
  <si>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</si>
  <si>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</si>
  <si>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</si>
  <si>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</si>
  <si>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</si>
  <si>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</si>
  <si>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</si>
  <si>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</si>
  <si>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</si>
  <si>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</si>
  <si>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</si>
  <si>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</si>
  <si>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</si>
  <si>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</si>
  <si>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</si>
  <si>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</si>
  <si>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</si>
  <si>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</si>
  <si>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</si>
  <si>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</si>
  <si>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</si>
  <si>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</si>
  <si>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</si>
  <si>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</si>
  <si>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</si>
  <si>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</si>
  <si>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</si>
  <si>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</si>
  <si>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</si>
  <si>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</si>
  <si>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</si>
  <si>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</si>
  <si>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</si>
  <si>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</si>
  <si>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</si>
  <si>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</si>
  <si>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</si>
  <si>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</si>
  <si>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</si>
  <si>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</si>
  <si>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</si>
  <si>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</si>
  <si>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</si>
  <si>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</si>
  <si>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</si>
  <si>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</si>
  <si>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</si>
  <si>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</si>
  <si>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</si>
  <si>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</si>
  <si>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</si>
  <si>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</si>
  <si>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</si>
  <si>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</si>
  <si>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</si>
  <si>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</si>
  <si>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</si>
  <si>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</si>
  <si>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</si>
  <si>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</si>
  <si>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</si>
  <si>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</si>
  <si>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</si>
  <si>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</si>
  <si>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</si>
  <si>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</si>
  <si>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</si>
  <si>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</si>
  <si>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</si>
  <si>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</si>
  <si>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</si>
  <si>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</si>
  <si>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</si>
  <si>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</si>
  <si>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</si>
  <si>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</si>
  <si>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</si>
  <si>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</si>
  <si>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</si>
  <si>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</si>
  <si>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</si>
  <si>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</si>
  <si>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</si>
  <si>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</si>
  <si>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</si>
  <si>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</si>
  <si>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</si>
  <si>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</si>
  <si>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</si>
  <si>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</si>
  <si>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</si>
  <si>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</si>
  <si>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</si>
  <si>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</si>
  <si>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</si>
  <si>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</si>
  <si>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</si>
  <si>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</si>
  <si>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</si>
  <si>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</si>
  <si>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</si>
  <si>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</si>
  <si>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</si>
  <si>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</si>
  <si>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</si>
  <si>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</si>
  <si>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</si>
  <si>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</si>
  <si>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</si>
  <si>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</si>
  <si>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</si>
  <si>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</si>
  <si>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</si>
  <si>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</si>
  <si>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</si>
  <si>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</si>
  <si>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</si>
  <si>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</si>
  <si>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</si>
  <si>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</si>
  <si>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</si>
  <si>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</si>
  <si>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</si>
  <si>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</si>
  <si>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</si>
  <si>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</si>
  <si>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</si>
  <si>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</si>
  <si>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</si>
  <si>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</si>
  <si>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</si>
  <si>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</si>
  <si>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</si>
  <si>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</si>
  <si>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</si>
  <si>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</si>
  <si>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</si>
  <si>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</si>
  <si>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</si>
  <si>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</si>
  <si>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</si>
  <si>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</si>
  <si>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</si>
  <si>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</si>
  <si>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</si>
  <si>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</si>
  <si>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</si>
  <si>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</si>
  <si>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</si>
  <si>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</si>
  <si>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</si>
  <si>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</si>
  <si>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</si>
  <si>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</si>
  <si>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</si>
  <si>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</si>
  <si>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</si>
  <si>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</si>
  <si>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</si>
  <si>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</si>
  <si>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</si>
  <si>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</si>
  <si>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</si>
  <si>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</si>
  <si>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</si>
  <si>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</si>
  <si>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</si>
  <si>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</si>
  <si>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</si>
  <si>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</si>
  <si>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</si>
  <si>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</si>
  <si>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</si>
  <si>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</si>
  <si>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</si>
  <si>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</si>
  <si>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</si>
  <si>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</si>
  <si>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</si>
  <si>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</si>
  <si>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</si>
  <si>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</si>
  <si>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</si>
  <si>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</si>
  <si>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</si>
  <si>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</si>
  <si>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</si>
  <si>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</si>
  <si>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</si>
  <si>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</si>
  <si>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</si>
  <si>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</si>
  <si>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</si>
  <si>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</si>
  <si>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</si>
  <si>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</si>
  <si>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</si>
  <si>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</si>
  <si>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</si>
  <si>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</si>
  <si>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</si>
  <si>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</si>
  <si>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</si>
  <si>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</si>
  <si>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</si>
  <si>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</si>
  <si>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</si>
  <si>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</si>
  <si>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</si>
  <si>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</si>
  <si>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</si>
  <si>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</si>
  <si>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</si>
  <si>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</si>
  <si>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</si>
  <si>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</si>
  <si>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</si>
  <si>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</si>
  <si>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</si>
  <si>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</si>
  <si>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</si>
  <si>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</si>
  <si>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</si>
  <si>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</si>
  <si>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</si>
  <si>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</si>
  <si>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</si>
  <si>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</si>
  <si>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</si>
  <si>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</si>
  <si>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</si>
  <si>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</si>
  <si>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</si>
  <si>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</si>
  <si>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</si>
  <si>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</si>
  <si>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</si>
  <si>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</si>
  <si>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</si>
  <si>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</si>
  <si>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</si>
  <si>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</si>
  <si>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</si>
  <si>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</si>
  <si>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</si>
  <si>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</si>
  <si>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</si>
  <si>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</si>
  <si>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</si>
  <si>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</si>
  <si>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</si>
  <si>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</si>
  <si>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</si>
  <si>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</si>
  <si>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</si>
  <si>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</si>
  <si>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</si>
  <si>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</si>
  <si>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</si>
  <si>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</si>
  <si>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</si>
  <si>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</si>
  <si>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</si>
  <si>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</si>
  <si>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</si>
  <si>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</si>
  <si>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</si>
  <si>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</si>
  <si>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</si>
  <si>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</si>
  <si>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</si>
  <si>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</si>
  <si>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</si>
  <si>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</si>
  <si>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</si>
  <si>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</si>
  <si>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</si>
  <si>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</si>
  <si>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</si>
  <si>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</si>
  <si>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</si>
  <si>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</si>
  <si>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</si>
  <si>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</si>
  <si>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</si>
  <si>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</si>
  <si>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</si>
  <si>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</si>
  <si>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</si>
  <si>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</si>
  <si>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</si>
  <si>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</si>
  <si>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</si>
  <si>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</si>
  <si>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</si>
  <si>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</si>
  <si>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</si>
  <si>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</si>
  <si>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</si>
  <si>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</si>
  <si>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</si>
  <si>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</si>
  <si>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</si>
  <si>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</si>
  <si>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</si>
  <si>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</si>
  <si>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</si>
  <si>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</si>
  <si>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</si>
  <si>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</si>
  <si>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</si>
  <si>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</si>
  <si>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</si>
  <si>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</si>
  <si>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</si>
  <si>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</si>
  <si>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</si>
  <si>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</si>
  <si>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</si>
  <si>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</si>
  <si>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</si>
  <si>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</si>
  <si>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</si>
  <si>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</si>
  <si>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</si>
  <si>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</si>
  <si>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</si>
  <si>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</si>
  <si>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</si>
  <si>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</si>
  <si>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</si>
  <si>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</si>
  <si>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</si>
  <si>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</si>
  <si>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</si>
  <si>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</si>
  <si>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</si>
  <si>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</si>
  <si>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</si>
  <si>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</si>
  <si>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</si>
  <si>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</si>
  <si>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</si>
  <si>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</si>
  <si>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</si>
  <si>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</si>
  <si>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</si>
  <si>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</si>
  <si>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</si>
  <si>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</si>
  <si>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</si>
  <si>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</si>
  <si>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</si>
  <si>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</si>
  <si>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</si>
  <si>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</si>
  <si>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</si>
  <si>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</si>
  <si>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</si>
  <si>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</si>
  <si>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</si>
  <si>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</si>
  <si>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</si>
  <si>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</si>
  <si>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</si>
  <si>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</si>
  <si>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</si>
  <si>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</si>
  <si>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</si>
  <si>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</si>
  <si>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</si>
  <si>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</si>
  <si>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</si>
  <si>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</si>
  <si>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</si>
  <si>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</si>
  <si>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</si>
  <si>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</si>
  <si>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</si>
  <si>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</si>
  <si>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</si>
  <si>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</si>
  <si>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</si>
  <si>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</si>
  <si>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</si>
  <si>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</si>
  <si>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</si>
  <si>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</si>
  <si>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</si>
  <si>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</si>
  <si>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</si>
  <si>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</si>
  <si>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</si>
  <si>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</si>
  <si>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</si>
  <si>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</si>
  <si>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</si>
  <si>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</si>
  <si>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</si>
  <si>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</si>
  <si>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</si>
  <si>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</si>
  <si>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</si>
  <si>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</si>
  <si>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</si>
  <si>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</si>
  <si>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</si>
  <si>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</si>
  <si>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</si>
  <si>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</si>
  <si>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</si>
  <si>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</si>
  <si>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</si>
  <si>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</si>
  <si>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</si>
  <si>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</si>
  <si>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</si>
  <si>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</si>
  <si>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</si>
  <si>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</si>
  <si>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</si>
  <si>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</si>
  <si>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</si>
  <si>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</si>
  <si>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</si>
  <si>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</si>
  <si>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</si>
  <si>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</si>
  <si>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</si>
  <si>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</si>
  <si>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</si>
  <si>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</si>
  <si>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</si>
  <si>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</si>
  <si>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</si>
  <si>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</si>
  <si>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</si>
  <si>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</si>
  <si>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</si>
  <si>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</si>
  <si>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</si>
  <si>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</si>
  <si>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</si>
  <si>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</si>
  <si>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</si>
  <si>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</si>
  <si>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</si>
  <si>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</si>
  <si>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</si>
  <si>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</si>
  <si>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</si>
  <si>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</si>
  <si>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</si>
  <si>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</si>
  <si>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</si>
  <si>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</si>
  <si>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</si>
  <si>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</si>
  <si>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</si>
  <si>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</si>
  <si>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</si>
  <si>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</si>
  <si>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</si>
  <si>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</si>
  <si>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</si>
  <si>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</si>
  <si>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</si>
  <si>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</si>
  <si>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</si>
  <si>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</si>
  <si>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</si>
  <si>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</si>
  <si>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</si>
  <si>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</si>
  <si>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</si>
  <si>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</si>
  <si>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</si>
  <si>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</si>
  <si>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</si>
  <si>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</si>
  <si>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</si>
  <si>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</si>
  <si>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</si>
  <si>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</si>
  <si>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</si>
  <si>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</si>
  <si>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</si>
  <si>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</si>
  <si>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</si>
  <si>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</si>
  <si>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</si>
  <si>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</si>
  <si>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</si>
  <si>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</si>
  <si>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</si>
  <si>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</si>
  <si>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</si>
  <si>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</si>
  <si>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</si>
  <si>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</si>
  <si>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</si>
  <si>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</si>
  <si>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</si>
  <si>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</si>
  <si>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</si>
  <si>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</si>
  <si>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</si>
  <si>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</si>
  <si>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</si>
  <si>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</si>
  <si>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</si>
  <si>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</si>
  <si>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</si>
  <si>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</si>
  <si>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</si>
  <si>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</si>
  <si>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</si>
  <si>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</si>
  <si>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</si>
  <si>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</si>
  <si>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</si>
  <si>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</si>
  <si>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</si>
  <si>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</si>
  <si>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</si>
  <si>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</si>
  <si>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</si>
  <si>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</si>
  <si>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</si>
  <si>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</si>
  <si>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</si>
  <si>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</si>
  <si>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</si>
  <si>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</si>
  <si>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</si>
  <si>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</si>
  <si>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</si>
  <si>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</si>
  <si>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</si>
  <si>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</si>
  <si>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</si>
  <si>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</si>
  <si>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</si>
  <si>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</si>
  <si>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</si>
  <si>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</si>
  <si>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</si>
  <si>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</si>
  <si>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</si>
  <si>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</si>
  <si>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</si>
  <si>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</si>
  <si>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</si>
  <si>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</si>
  <si>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</si>
  <si>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</si>
  <si>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</si>
  <si>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</si>
  <si>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</si>
  <si>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</si>
  <si>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</si>
  <si>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</si>
  <si>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</si>
  <si>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</si>
  <si>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</si>
  <si>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</si>
  <si>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</si>
  <si>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</si>
  <si>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</si>
  <si>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</si>
  <si>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</si>
  <si>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</si>
  <si>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</si>
  <si>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</si>
  <si>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</si>
  <si>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</si>
  <si>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</si>
  <si>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</si>
  <si>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</si>
  <si>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</si>
  <si>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</si>
  <si>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</si>
  <si>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</si>
  <si>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</si>
  <si>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</si>
  <si>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</si>
  <si>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</si>
  <si>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</si>
  <si>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</si>
  <si>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</si>
  <si>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</si>
  <si>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</si>
  <si>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</si>
  <si>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</si>
  <si>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</si>
  <si>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</si>
  <si>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</si>
  <si>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</si>
  <si>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</si>
  <si>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</si>
  <si>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</si>
  <si>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</si>
  <si>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</si>
  <si>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</si>
  <si>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</si>
  <si>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</si>
  <si>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</si>
  <si>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</si>
  <si>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</si>
  <si>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</si>
  <si>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</si>
  <si>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</si>
  <si>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</si>
  <si>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</si>
  <si>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</si>
  <si>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</si>
  <si>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</si>
  <si>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</si>
  <si>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</si>
  <si>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</si>
  <si>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</si>
  <si>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</si>
  <si>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</si>
  <si>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</si>
  <si>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</si>
  <si>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</si>
  <si>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</si>
  <si>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</si>
  <si>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</si>
  <si>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</si>
  <si>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</si>
  <si>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</si>
  <si>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</si>
  <si>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</si>
  <si>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</si>
  <si>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</si>
  <si>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</si>
  <si>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</si>
  <si>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</si>
  <si>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</si>
  <si>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</si>
  <si>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</si>
  <si>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</si>
  <si>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</si>
  <si>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</si>
  <si>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</si>
  <si>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</si>
  <si>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</si>
  <si>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</si>
  <si>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</si>
  <si>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</si>
  <si>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</si>
  <si>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</si>
  <si>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</si>
  <si>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</si>
  <si>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</si>
  <si>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</si>
  <si>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</si>
  <si>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</si>
  <si>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</si>
  <si>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</si>
  <si>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</si>
  <si>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</si>
  <si>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</si>
  <si>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</si>
  <si>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</si>
  <si>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</si>
  <si>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</si>
  <si>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</si>
  <si>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</si>
  <si>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</si>
  <si>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</si>
  <si>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</si>
  <si>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</si>
  <si>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</si>
  <si>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</si>
  <si>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</si>
  <si>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</si>
  <si>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</si>
  <si>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</si>
  <si>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</si>
  <si>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</si>
  <si>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</si>
  <si>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</si>
  <si>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</si>
  <si>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</si>
  <si>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</si>
  <si>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</si>
  <si>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</si>
  <si>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</si>
  <si>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</si>
  <si>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</si>
  <si>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</si>
  <si>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</si>
  <si>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</si>
  <si>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</si>
  <si>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</si>
  <si>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</si>
  <si>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</si>
  <si>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</si>
  <si>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</si>
  <si>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</si>
  <si>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</si>
  <si>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</si>
  <si>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</si>
  <si>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</si>
  <si>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</si>
  <si>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</si>
  <si>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</si>
  <si>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</si>
  <si>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</si>
  <si>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</si>
  <si>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</si>
  <si>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</si>
  <si>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</si>
  <si>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</si>
  <si>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</si>
  <si>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</si>
  <si>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</si>
  <si>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</si>
  <si>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</si>
  <si>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</si>
  <si>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</si>
  <si>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</si>
  <si>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</si>
  <si>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</si>
  <si>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</si>
  <si>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</si>
  <si>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</si>
  <si>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</si>
  <si>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</si>
  <si>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</si>
  <si>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</si>
  <si>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</si>
  <si>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</si>
  <si>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</si>
  <si>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</si>
  <si>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</si>
  <si>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</si>
  <si>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</si>
  <si>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</si>
  <si>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</si>
  <si>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</si>
  <si>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</si>
  <si>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</si>
  <si>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</si>
  <si>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</si>
  <si>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</si>
  <si>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</si>
  <si>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</si>
  <si>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</si>
  <si>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</si>
  <si>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</si>
  <si>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</si>
  <si>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</si>
  <si>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</si>
  <si>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</si>
  <si>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</si>
  <si>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</si>
  <si>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</si>
  <si>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</si>
  <si>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</si>
  <si>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</si>
  <si>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</si>
  <si>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</si>
  <si>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</si>
  <si>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</si>
  <si>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</si>
  <si>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</si>
  <si>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</si>
  <si>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</si>
  <si>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</si>
  <si>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</si>
  <si>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</si>
  <si>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</si>
  <si>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</si>
  <si>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</si>
  <si>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</si>
  <si>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</si>
  <si>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</si>
  <si>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</si>
  <si>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</si>
  <si>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</si>
  <si>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</si>
  <si>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</si>
  <si>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</si>
  <si>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</si>
  <si>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</si>
  <si>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</si>
  <si>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</si>
  <si>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</si>
  <si>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</si>
  <si>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</si>
  <si>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</si>
  <si>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</si>
  <si>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</si>
  <si>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</si>
  <si>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</si>
  <si>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</si>
  <si>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</si>
  <si>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</si>
  <si>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</si>
  <si>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</si>
  <si>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</si>
  <si>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</si>
  <si>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</si>
  <si>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</si>
  <si>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</si>
  <si>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</si>
  <si>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</si>
  <si>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</si>
  <si>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</si>
  <si>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</si>
  <si>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</si>
  <si>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</si>
  <si>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</si>
  <si>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</si>
  <si>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</si>
  <si>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</si>
  <si>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</si>
  <si>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</si>
  <si>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</si>
  <si>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</si>
  <si>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</si>
  <si>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</si>
  <si>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</si>
  <si>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</si>
  <si>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</si>
  <si>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</si>
  <si>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</si>
  <si>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</si>
  <si>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</si>
  <si>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</si>
  <si>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</si>
  <si>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</si>
  <si>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</si>
  <si>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</si>
  <si>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</si>
  <si>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</si>
  <si>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</si>
  <si>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</si>
  <si>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</si>
  <si>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</si>
  <si>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</si>
  <si>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</si>
  <si>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</si>
  <si>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</si>
  <si>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</si>
  <si>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</si>
  <si>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</si>
  <si>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</si>
  <si>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</si>
  <si>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</si>
  <si>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</si>
  <si>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</si>
  <si>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</si>
  <si>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</si>
  <si>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</si>
  <si>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</si>
  <si>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</si>
  <si>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</si>
  <si>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</si>
  <si>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</si>
  <si>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</si>
  <si>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</si>
  <si>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</si>
  <si>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</si>
  <si>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</si>
  <si>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</si>
  <si>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</si>
  <si>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</si>
  <si>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</si>
  <si>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</si>
  <si>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</si>
  <si>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</si>
  <si>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</si>
  <si>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</si>
  <si>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</si>
  <si>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</si>
  <si>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</si>
  <si>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</si>
  <si>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</si>
  <si>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</si>
  <si>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</si>
  <si>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</si>
  <si>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</si>
  <si>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</si>
  <si>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</si>
  <si>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</si>
  <si>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</si>
  <si>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</si>
  <si>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</si>
  <si>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</si>
  <si>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</si>
  <si>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</si>
  <si>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</si>
  <si>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</si>
  <si>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</si>
  <si>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</si>
  <si>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</si>
  <si>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</si>
  <si>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</si>
  <si>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</si>
  <si>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</si>
  <si>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</si>
  <si>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</si>
  <si>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</si>
  <si>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</si>
  <si>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</si>
  <si>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</si>
  <si>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</si>
  <si>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</si>
  <si>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</si>
  <si>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</si>
  <si>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</si>
  <si>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</si>
  <si>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</si>
  <si>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</si>
  <si>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</si>
  <si>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</si>
  <si>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</si>
  <si>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</si>
  <si>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</si>
  <si>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</si>
  <si>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</si>
  <si>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</si>
  <si>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</si>
  <si>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</si>
  <si>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</si>
  <si>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</si>
  <si>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</si>
  <si>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</si>
  <si>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</si>
  <si>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</si>
  <si>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</si>
  <si>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</si>
  <si>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</si>
  <si>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</si>
  <si>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</si>
  <si>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</si>
  <si>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</si>
  <si>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</si>
  <si>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</si>
  <si>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</si>
  <si>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</si>
  <si>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</si>
  <si>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</si>
  <si>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</si>
  <si>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</si>
  <si>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</si>
  <si>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</si>
  <si>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</si>
  <si>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</si>
  <si>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</si>
  <si>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</si>
  <si>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</si>
  <si>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</si>
  <si>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</si>
  <si>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</si>
  <si>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</si>
  <si>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</si>
  <si>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</si>
  <si>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</si>
  <si>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</si>
  <si>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</si>
  <si>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</si>
  <si>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</si>
  <si>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</si>
  <si>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</si>
  <si>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</si>
  <si>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</si>
  <si>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</si>
  <si>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</si>
  <si>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</si>
  <si>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</si>
  <si>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</si>
  <si>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</si>
  <si>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</si>
  <si>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</si>
  <si>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</si>
  <si>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</si>
  <si>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</si>
  <si>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</si>
  <si>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</si>
  <si>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</si>
  <si>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</si>
  <si>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</si>
  <si>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</si>
  <si>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</si>
  <si>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</si>
  <si>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</si>
  <si>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</si>
  <si>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</si>
  <si>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</si>
  <si>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</si>
  <si>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</si>
  <si>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</si>
  <si>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</si>
  <si>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</si>
  <si>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</si>
  <si>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</si>
  <si>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</si>
  <si>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</si>
  <si>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</si>
  <si>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</si>
  <si>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</si>
  <si>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</si>
  <si>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</si>
  <si>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</si>
  <si>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</si>
  <si>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</si>
  <si>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</si>
  <si>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</si>
  <si>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</si>
  <si>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</si>
  <si>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</si>
  <si>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</si>
  <si>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</si>
  <si>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</si>
  <si>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</si>
  <si>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</si>
  <si>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</si>
  <si>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</si>
  <si>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</si>
  <si>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</si>
  <si>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</si>
  <si>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</si>
  <si>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</si>
  <si>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</si>
  <si>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</si>
  <si>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</si>
  <si>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</si>
  <si>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</si>
  <si>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</si>
  <si>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</si>
  <si>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</si>
  <si>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</si>
  <si>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</si>
  <si>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</si>
  <si>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</si>
  <si>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</si>
  <si>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</si>
  <si>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</si>
  <si>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</si>
  <si>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</si>
  <si>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</si>
  <si>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</si>
  <si>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</si>
  <si>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</si>
  <si>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</si>
  <si>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</si>
  <si>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</si>
  <si>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</si>
  <si>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</si>
  <si>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</si>
  <si>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</si>
  <si>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</si>
  <si>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</si>
  <si>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</si>
  <si>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</si>
  <si>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</si>
  <si>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</si>
  <si>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</si>
  <si>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</si>
  <si>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</si>
  <si>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</si>
  <si>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</si>
  <si>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</si>
  <si>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</si>
  <si>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</si>
  <si>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</si>
  <si>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</si>
  <si>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</si>
  <si>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</si>
  <si>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</si>
  <si>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</si>
  <si>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</si>
  <si>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</si>
  <si>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</si>
  <si>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</si>
  <si>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</si>
  <si>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</si>
  <si>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</si>
  <si>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</si>
  <si>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</si>
  <si>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</si>
  <si>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</si>
  <si>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</si>
  <si>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</si>
  <si>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</si>
  <si>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</si>
  <si>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</si>
  <si>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</si>
  <si>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</si>
  <si>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</si>
  <si>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</si>
  <si>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</si>
  <si>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</si>
  <si>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</si>
  <si>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</si>
  <si>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</si>
  <si>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</si>
  <si>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</si>
  <si>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</si>
  <si>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</si>
  <si>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</si>
  <si>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</si>
  <si>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</si>
  <si>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</si>
  <si>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</si>
  <si>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</si>
  <si>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</si>
  <si>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</si>
  <si>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</si>
  <si>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</si>
  <si>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</si>
  <si>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</si>
  <si>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</si>
  <si>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</si>
  <si>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</si>
  <si>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</si>
  <si>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</si>
  <si>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</si>
  <si>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</si>
  <si>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</si>
  <si>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</si>
  <si>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</si>
  <si>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</si>
  <si>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</si>
  <si>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</si>
  <si>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</si>
  <si>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</si>
  <si>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</si>
  <si>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</si>
  <si>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</si>
  <si>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</si>
  <si>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</si>
  <si>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</si>
  <si>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</si>
  <si>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</si>
  <si>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</si>
  <si>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</si>
  <si>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</si>
  <si>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</si>
  <si>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</si>
  <si>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</si>
  <si>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</si>
  <si>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</si>
  <si>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</si>
  <si>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</si>
  <si>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</si>
  <si>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</si>
  <si>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</si>
  <si>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</si>
  <si>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</si>
  <si>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</si>
  <si>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</si>
  <si>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</si>
  <si>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</si>
  <si>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</si>
  <si>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</si>
  <si>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</si>
  <si>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</si>
  <si>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</si>
  <si>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</si>
  <si>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</si>
  <si>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</si>
  <si>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</si>
  <si>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</si>
  <si>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</si>
  <si>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</si>
  <si>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</si>
  <si>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</si>
  <si>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</si>
  <si>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</si>
  <si>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</si>
  <si>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</si>
  <si>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</si>
  <si>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</si>
  <si>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</si>
  <si>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</si>
  <si>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</si>
  <si>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</si>
  <si>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</si>
  <si>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</si>
  <si>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</si>
  <si>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</si>
  <si>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</si>
  <si>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</si>
  <si>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</si>
  <si>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</si>
  <si>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</si>
  <si>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</si>
  <si>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</si>
  <si>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</si>
  <si>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</si>
  <si>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</si>
  <si>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</si>
  <si>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</si>
  <si>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</si>
  <si>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</si>
  <si>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</si>
  <si>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</si>
  <si>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</si>
  <si>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</si>
  <si>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</si>
  <si>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</si>
  <si>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</si>
  <si>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</si>
  <si>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</si>
  <si>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</si>
  <si>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</si>
  <si>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</si>
  <si>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</si>
  <si>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</si>
  <si>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</si>
  <si>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</si>
  <si>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</si>
  <si>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</si>
  <si>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</si>
  <si>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</si>
  <si>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</si>
  <si>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</si>
  <si>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</si>
  <si>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</si>
  <si>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</si>
  <si>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</si>
  <si>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</si>
  <si>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</si>
  <si>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</si>
  <si>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</si>
  <si>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</si>
  <si>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</si>
  <si>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</si>
  <si>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</si>
  <si>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</si>
  <si>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</si>
  <si>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</si>
  <si>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</si>
  <si>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</si>
  <si>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</si>
  <si>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</si>
  <si>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</si>
  <si>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</si>
  <si>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</si>
  <si>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</si>
  <si>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</si>
  <si>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</si>
  <si>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</si>
  <si>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</si>
  <si>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</si>
  <si>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</si>
  <si>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</si>
  <si>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</si>
  <si>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</si>
  <si>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</si>
  <si>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</si>
  <si>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</si>
  <si>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</si>
  <si>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</si>
  <si>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</si>
  <si>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</si>
  <si>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</si>
  <si>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</si>
  <si>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</si>
  <si>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</si>
  <si>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</si>
  <si>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</si>
  <si>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</si>
  <si>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</si>
  <si>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</si>
  <si>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</si>
  <si>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</si>
  <si>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</si>
  <si>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</si>
  <si>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</si>
  <si>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</si>
  <si>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</si>
  <si>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</si>
  <si>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</si>
  <si>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</si>
  <si>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</si>
  <si>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</si>
  <si>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</si>
  <si>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</si>
  <si>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</si>
  <si>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</si>
  <si>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</si>
  <si>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</si>
  <si>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</si>
  <si>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</si>
  <si>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</si>
  <si>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</si>
  <si>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</si>
  <si>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</si>
  <si>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</si>
  <si>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</si>
  <si>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</si>
  <si>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</si>
  <si>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</si>
  <si>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</si>
  <si>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</si>
  <si>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</si>
  <si>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</si>
  <si>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</si>
  <si>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</si>
  <si>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</si>
  <si>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</si>
  <si>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</si>
  <si>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</si>
  <si>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</si>
  <si>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</si>
  <si>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</si>
  <si>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</si>
  <si>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</si>
  <si>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</si>
  <si>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</si>
  <si>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</si>
  <si>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</si>
  <si>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</si>
  <si>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</si>
  <si>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</si>
  <si>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</si>
  <si>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</si>
  <si>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</si>
  <si>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</si>
  <si>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</si>
  <si>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</si>
  <si>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</si>
  <si>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</si>
  <si>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</si>
  <si>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</si>
  <si>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</si>
  <si>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</si>
  <si>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</si>
  <si>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</si>
  <si>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</si>
  <si>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</si>
  <si>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</si>
  <si>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</si>
  <si>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</si>
  <si>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</si>
  <si>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</si>
  <si>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</si>
  <si>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</si>
  <si>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</si>
  <si>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</si>
  <si>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</si>
  <si>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</si>
  <si>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</si>
  <si>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</si>
  <si>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</si>
  <si>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</si>
  <si>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</si>
  <si>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</si>
  <si>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</si>
  <si>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</si>
  <si>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</si>
  <si>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</si>
  <si>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</si>
  <si>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</si>
  <si>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</si>
  <si>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</si>
  <si>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</si>
  <si>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</si>
  <si>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</si>
  <si>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</si>
  <si>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</si>
  <si>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</si>
  <si>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</si>
  <si>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</si>
  <si>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</si>
  <si>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</si>
  <si>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</si>
  <si>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</si>
  <si>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</si>
  <si>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</si>
  <si>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</si>
  <si>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</si>
  <si>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</si>
  <si>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</si>
  <si>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</si>
  <si>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</si>
  <si>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</si>
  <si>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</si>
  <si>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</si>
  <si>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</si>
  <si>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</si>
  <si>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</si>
  <si>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</si>
  <si>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</si>
  <si>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</si>
  <si>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</si>
  <si>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</si>
  <si>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</si>
  <si>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</si>
  <si>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</si>
  <si>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</si>
  <si>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</si>
  <si>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</si>
  <si>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</si>
  <si>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</si>
  <si>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</si>
  <si>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</si>
  <si>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</si>
  <si>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</si>
  <si>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</si>
  <si>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</si>
  <si>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</si>
  <si>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</si>
  <si>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</si>
  <si>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</si>
  <si>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</si>
  <si>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</si>
  <si>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</si>
  <si>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</si>
  <si>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</si>
  <si>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</si>
  <si>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</si>
  <si>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</si>
  <si>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</si>
  <si>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</si>
  <si>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</si>
  <si>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</si>
  <si>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</si>
  <si>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</si>
  <si>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</si>
  <si>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</si>
  <si>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</si>
  <si>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</si>
  <si>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</si>
  <si>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</si>
  <si>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</si>
  <si>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</si>
  <si>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</si>
  <si>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</si>
  <si>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</si>
  <si>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</si>
  <si>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</si>
  <si>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</si>
  <si>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</si>
  <si>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</si>
  <si>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</si>
  <si>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</si>
  <si>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</si>
  <si>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</si>
  <si>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</si>
  <si>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</si>
  <si>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</si>
  <si>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</si>
  <si>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</si>
  <si>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</si>
  <si>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</si>
  <si>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</si>
  <si>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</si>
  <si>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</si>
  <si>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</si>
  <si>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</si>
  <si>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</si>
  <si>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</si>
  <si>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</si>
  <si>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</si>
  <si>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</si>
  <si>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</si>
  <si>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</si>
  <si>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</si>
  <si>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</si>
  <si>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</si>
  <si>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</si>
  <si>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</si>
  <si>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</si>
  <si>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</si>
  <si>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</si>
  <si>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</si>
  <si>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</si>
  <si>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</si>
  <si>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</si>
  <si>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</si>
  <si>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</si>
  <si>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</si>
  <si>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</si>
  <si>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</si>
  <si>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</si>
  <si>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</si>
  <si>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</si>
  <si>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</si>
  <si>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</si>
  <si>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</si>
  <si>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</si>
  <si>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</si>
  <si>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</si>
  <si>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</si>
  <si>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</si>
  <si>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</si>
  <si>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</si>
  <si>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</si>
  <si>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</si>
  <si>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</si>
  <si>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</si>
  <si>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</si>
  <si>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</si>
  <si>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</si>
  <si>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</si>
  <si>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</si>
  <si>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</si>
  <si>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</si>
  <si>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</si>
  <si>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</si>
  <si>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</si>
  <si>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</si>
  <si>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</si>
  <si>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</si>
  <si>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</si>
  <si>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</si>
  <si>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</si>
  <si>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</si>
  <si>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</si>
  <si>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</si>
  <si>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</si>
  <si>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</si>
  <si>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</si>
  <si>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</si>
  <si>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</si>
  <si>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</si>
  <si>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</si>
  <si>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</si>
  <si>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</si>
  <si>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</si>
  <si>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</si>
  <si>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</si>
  <si>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</si>
  <si>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</si>
  <si>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</si>
  <si>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</si>
  <si>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</si>
  <si>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</si>
  <si>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</si>
  <si>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</si>
  <si>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</si>
  <si>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</si>
  <si>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</si>
  <si>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</si>
  <si>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</si>
  <si>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</si>
  <si>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</si>
  <si>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</si>
  <si>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</si>
  <si>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</si>
  <si>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</si>
  <si>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</si>
  <si>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</si>
  <si>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</si>
  <si>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</si>
  <si>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</si>
  <si>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</si>
  <si>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</si>
  <si>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</si>
  <si>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</si>
  <si>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</si>
  <si>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</si>
  <si>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</si>
  <si>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</si>
  <si>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</si>
  <si>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</si>
  <si>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</si>
  <si>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</si>
  <si>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</si>
  <si>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</si>
  <si>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</si>
  <si>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</si>
  <si>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</si>
  <si>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</si>
  <si>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</si>
  <si>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</si>
  <si>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</si>
  <si>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</si>
  <si>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</si>
  <si>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</si>
  <si>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</si>
  <si>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</si>
  <si>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</si>
  <si>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</si>
  <si>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</si>
  <si>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</si>
  <si>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</si>
  <si>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</si>
  <si>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</si>
  <si>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</si>
  <si>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</si>
  <si>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</si>
  <si>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</si>
  <si>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</si>
  <si>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</si>
  <si>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</si>
  <si>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</si>
  <si>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</si>
  <si>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</si>
  <si>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</si>
  <si>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</si>
  <si>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</si>
  <si>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</si>
  <si>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</si>
  <si>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</si>
  <si>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</si>
  <si>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</si>
  <si>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</si>
  <si>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</si>
  <si>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</si>
  <si>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</si>
  <si>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</si>
  <si>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</si>
  <si>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</si>
  <si>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</si>
  <si>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</si>
  <si>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</si>
  <si>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</si>
  <si>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</si>
  <si>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</si>
  <si>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</si>
  <si>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</si>
  <si>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</si>
  <si>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</si>
  <si>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</si>
  <si>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</si>
  <si>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</si>
  <si>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</si>
  <si>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</si>
  <si>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</si>
  <si>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</si>
  <si>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</si>
  <si>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</si>
  <si>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</si>
  <si>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</si>
  <si>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</si>
  <si>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</si>
  <si>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</si>
  <si>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</si>
  <si>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</si>
  <si>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</si>
  <si>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</si>
  <si>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</si>
  <si>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</si>
  <si>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</si>
  <si>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</si>
  <si>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</si>
  <si>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</si>
  <si>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</si>
  <si>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</si>
  <si>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</si>
  <si>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</si>
  <si>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</si>
  <si>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</si>
  <si>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</si>
  <si>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</si>
  <si>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</si>
  <si>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</si>
  <si>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</si>
  <si>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</si>
  <si>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</si>
  <si>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</si>
  <si>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</si>
  <si>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</si>
  <si>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</si>
  <si>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</si>
  <si>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</si>
  <si>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</si>
  <si>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</si>
  <si>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</si>
  <si>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</si>
  <si>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</si>
  <si>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</si>
  <si>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</si>
  <si>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</si>
  <si>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</si>
  <si>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</si>
  <si>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</si>
  <si>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</si>
  <si>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</si>
  <si>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</si>
  <si>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</si>
  <si>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</si>
  <si>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</si>
  <si>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</si>
  <si>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</si>
  <si>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</si>
  <si>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</si>
  <si>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</si>
  <si>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</si>
  <si>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</si>
  <si>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</si>
  <si>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</si>
  <si>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</si>
  <si>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</si>
  <si>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</si>
  <si>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</si>
  <si>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</si>
  <si>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</si>
  <si>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</si>
  <si>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</si>
  <si>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</si>
  <si>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</si>
  <si>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</si>
  <si>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</si>
  <si>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</si>
  <si>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</si>
  <si>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</si>
  <si>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</si>
  <si>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</si>
  <si>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</si>
  <si>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</si>
  <si>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</si>
  <si>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</si>
  <si>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</si>
  <si>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</si>
  <si>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</si>
  <si>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</si>
  <si>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</si>
  <si>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</si>
  <si>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</si>
  <si>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</si>
  <si>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</si>
  <si>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</si>
  <si>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</si>
  <si>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</si>
  <si>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</si>
  <si>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</si>
  <si>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</si>
  <si>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</si>
  <si>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</si>
  <si>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</si>
  <si>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</si>
  <si>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</si>
  <si>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</si>
  <si>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</si>
  <si>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</si>
  <si>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</si>
  <si>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</si>
  <si>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</si>
  <si>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</si>
  <si>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</si>
  <si>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</si>
  <si>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</si>
  <si>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</si>
  <si>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</si>
  <si>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</si>
  <si>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</si>
  <si>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</si>
  <si>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</si>
  <si>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</si>
  <si>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</si>
  <si>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</si>
  <si>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</si>
  <si>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</si>
  <si>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</si>
  <si>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</si>
  <si>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</si>
  <si>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</si>
  <si>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</si>
  <si>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</si>
  <si>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</si>
  <si>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</si>
  <si>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</si>
  <si>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</si>
  <si>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</si>
  <si>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</si>
  <si>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</si>
  <si>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</si>
  <si>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</si>
  <si>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</si>
  <si>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</si>
  <si>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</si>
  <si>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</si>
  <si>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</si>
  <si>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</si>
  <si>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</si>
  <si>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</si>
  <si>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</si>
  <si>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</si>
  <si>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</si>
  <si>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</si>
  <si>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</si>
  <si>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</si>
  <si>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</si>
  <si>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</si>
  <si>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</si>
  <si>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</si>
  <si>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</si>
  <si>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</si>
  <si>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</si>
  <si>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</si>
  <si>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</si>
  <si>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</si>
  <si>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</si>
  <si>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</si>
  <si>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</si>
  <si>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</si>
  <si>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</si>
  <si>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</si>
  <si>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</si>
  <si>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</si>
  <si>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</si>
  <si>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</si>
  <si>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</si>
  <si>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</si>
  <si>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</si>
  <si>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</si>
  <si>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</si>
  <si>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</si>
  <si>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</si>
  <si>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</si>
  <si>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</si>
  <si>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</si>
  <si>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</si>
  <si>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</si>
  <si>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</si>
  <si>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</si>
  <si>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</si>
  <si>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</si>
  <si>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</si>
  <si>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</si>
  <si>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</si>
  <si>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</si>
  <si>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</si>
  <si>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</si>
  <si>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</si>
  <si>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</si>
  <si>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</si>
  <si>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</si>
  <si>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</si>
  <si>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</si>
  <si>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</si>
  <si>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</si>
  <si>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</si>
  <si>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</si>
  <si>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</si>
  <si>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</si>
  <si>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</si>
  <si>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</si>
  <si>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</si>
  <si>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</si>
  <si>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</si>
  <si>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</si>
  <si>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</si>
  <si>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</si>
  <si>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</si>
  <si>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</si>
  <si>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</si>
  <si>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</si>
  <si>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</si>
  <si>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</si>
  <si>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</si>
  <si>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</si>
  <si>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</si>
  <si>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</si>
  <si>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</si>
  <si>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</si>
  <si>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</si>
  <si>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</si>
  <si>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</si>
  <si>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</si>
  <si>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</si>
  <si>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</si>
  <si>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</si>
  <si>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</si>
  <si>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</si>
  <si>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</si>
  <si>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</si>
  <si>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</si>
  <si>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</si>
  <si>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</si>
  <si>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</si>
  <si>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</si>
  <si>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</si>
  <si>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</si>
  <si>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</si>
  <si>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</si>
  <si>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</si>
  <si>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</si>
  <si>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</si>
  <si>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</si>
  <si>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</si>
  <si>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</si>
  <si>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</si>
  <si>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</si>
  <si>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</si>
  <si>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</si>
  <si>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</si>
  <si>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</si>
  <si>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</si>
  <si>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</si>
  <si>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</si>
  <si>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</si>
  <si>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</si>
  <si>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</si>
  <si>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</si>
  <si>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</si>
  <si>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</si>
  <si>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</si>
  <si>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</si>
  <si>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</si>
  <si>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</si>
  <si>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</si>
  <si>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</si>
  <si>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</si>
  <si>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</si>
  <si>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</si>
  <si>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</si>
  <si>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</si>
  <si>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</si>
  <si>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</si>
  <si>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</si>
  <si>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</si>
  <si>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</si>
  <si>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</si>
  <si>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</si>
  <si>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</si>
  <si>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</si>
  <si>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</si>
  <si>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</si>
  <si>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</si>
  <si>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</si>
  <si>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</si>
  <si>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</si>
  <si>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</si>
  <si>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</si>
  <si>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</si>
  <si>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</si>
  <si>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</si>
  <si>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</si>
  <si>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</si>
  <si>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</si>
  <si>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</si>
  <si>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</si>
  <si>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</si>
  <si>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</si>
  <si>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</si>
  <si>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</si>
  <si>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</si>
  <si>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</si>
  <si>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</si>
  <si>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</si>
  <si>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</si>
  <si>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</si>
  <si>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</si>
  <si>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</si>
  <si>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</si>
  <si>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</si>
  <si>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</si>
  <si>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</si>
  <si>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</si>
  <si>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</si>
  <si>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</si>
  <si>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</si>
  <si>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</si>
  <si>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</si>
  <si>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</si>
  <si>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</si>
  <si>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</si>
  <si>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</si>
  <si>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</si>
  <si>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</si>
  <si>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</si>
  <si>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</si>
  <si>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</si>
  <si>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</si>
  <si>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</si>
  <si>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</si>
  <si>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</si>
  <si>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</si>
  <si>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</si>
  <si>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</si>
  <si>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</si>
  <si>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</si>
  <si>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</si>
  <si>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</si>
  <si>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</si>
  <si>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</si>
  <si>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</si>
  <si>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</si>
  <si>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</si>
  <si>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</si>
  <si>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</si>
  <si>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</si>
  <si>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</si>
  <si>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</si>
  <si>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</si>
  <si>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</si>
  <si>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</si>
  <si>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</si>
  <si>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</si>
  <si>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</si>
  <si>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</si>
  <si>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</si>
  <si>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</si>
  <si>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</si>
  <si>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</si>
  <si>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</si>
  <si>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</si>
  <si>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</si>
  <si>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</si>
  <si>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</si>
  <si>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</si>
  <si>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</si>
  <si>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</si>
  <si>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</si>
  <si>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</si>
  <si>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</si>
  <si>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</si>
  <si>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</si>
  <si>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</si>
  <si>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</si>
  <si>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</si>
  <si>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</si>
  <si>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</si>
  <si>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</si>
  <si>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</si>
  <si>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</si>
  <si>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</si>
  <si>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</si>
  <si>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</si>
  <si>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</si>
  <si>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</si>
  <si>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</si>
  <si>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</si>
  <si>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</si>
  <si>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</si>
  <si>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</si>
  <si>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</si>
  <si>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</si>
  <si>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</si>
  <si>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</si>
  <si>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</si>
  <si>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</si>
  <si>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</si>
  <si>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</si>
  <si>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</si>
  <si>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</si>
  <si>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</si>
  <si>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</si>
  <si>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</si>
  <si>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</si>
  <si>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</si>
  <si>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</si>
  <si>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</si>
  <si>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</si>
  <si>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</si>
  <si>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</si>
  <si>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</si>
  <si>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</si>
  <si>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</si>
  <si>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</si>
  <si>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</si>
  <si>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</si>
  <si>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</si>
  <si>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</si>
  <si>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</si>
  <si>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</si>
  <si>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</si>
  <si>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</si>
  <si>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</si>
  <si>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</si>
  <si>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</si>
  <si>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</si>
  <si>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</si>
  <si>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</si>
  <si>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</si>
  <si>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</si>
  <si>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</si>
  <si>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</si>
  <si>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</si>
  <si>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</si>
  <si>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</si>
  <si>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</si>
  <si>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</si>
  <si>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</si>
  <si>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</si>
  <si>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</si>
  <si>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</si>
  <si>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</si>
  <si>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</si>
  <si>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</si>
  <si>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</si>
  <si>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</si>
  <si>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</si>
  <si>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</si>
  <si>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</si>
  <si>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</si>
  <si>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</si>
  <si>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</si>
  <si>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</si>
  <si>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</si>
  <si>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</si>
  <si>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</si>
  <si>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</si>
  <si>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</si>
  <si>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</si>
  <si>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</si>
  <si>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</si>
  <si>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</si>
  <si>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</si>
  <si>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</si>
  <si>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</si>
  <si>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</si>
  <si>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</si>
  <si>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</si>
  <si>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</si>
  <si>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</si>
  <si>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</si>
  <si>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</si>
  <si>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</si>
  <si>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</si>
  <si>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</si>
  <si>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</si>
  <si>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</si>
  <si>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</si>
  <si>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</si>
  <si>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</si>
  <si>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</si>
  <si>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</si>
  <si>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</si>
  <si>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</si>
  <si>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</si>
  <si>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</si>
  <si>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</si>
  <si>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</si>
  <si>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</si>
  <si>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</si>
  <si>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</si>
  <si>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</si>
  <si>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</si>
  <si>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</si>
  <si>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</si>
  <si>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</si>
  <si>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</si>
  <si>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</si>
  <si>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</si>
  <si>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</si>
  <si>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</si>
  <si>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</si>
  <si>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</si>
  <si>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</si>
  <si>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</si>
  <si>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</si>
  <si>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</si>
  <si>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</si>
  <si>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</si>
  <si>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</si>
  <si>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</si>
  <si>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</si>
  <si>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</si>
  <si>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</si>
  <si>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</si>
  <si>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</si>
  <si>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</si>
  <si>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</si>
  <si>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</si>
  <si>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</si>
  <si>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</si>
  <si>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</si>
  <si>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</si>
  <si>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</si>
  <si>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</si>
  <si>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</si>
  <si>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</si>
  <si>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</si>
  <si>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</si>
  <si>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</si>
  <si>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</si>
  <si>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</si>
  <si>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</si>
  <si>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</si>
  <si>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</si>
  <si>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</si>
  <si>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</si>
  <si>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</si>
  <si>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</si>
  <si>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</si>
  <si>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</si>
  <si>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</si>
  <si>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</si>
  <si>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</si>
  <si>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</si>
  <si>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</si>
  <si>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</si>
  <si>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</si>
  <si>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</si>
  <si>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</si>
  <si>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</si>
  <si>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</si>
  <si>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</si>
  <si>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</si>
  <si>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</si>
  <si>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</si>
  <si>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</si>
  <si>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</si>
  <si>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</si>
  <si>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</si>
  <si>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</si>
  <si>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</si>
  <si>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</si>
  <si>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</si>
  <si>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</si>
  <si>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</si>
  <si>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</si>
  <si>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</si>
  <si>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</si>
  <si>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</si>
  <si>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</si>
  <si>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</si>
  <si>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</si>
  <si>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</si>
  <si>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</si>
  <si>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</si>
  <si>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</si>
  <si>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</si>
  <si>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</si>
  <si>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</si>
  <si>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</si>
  <si>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</si>
  <si>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</si>
  <si>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</si>
  <si>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</si>
  <si>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</si>
  <si>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</si>
  <si>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</si>
  <si>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</si>
  <si>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</si>
  <si>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</si>
  <si>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</si>
  <si>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</si>
  <si>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</si>
  <si>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</si>
  <si>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</si>
  <si>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</si>
  <si>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</si>
  <si>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</si>
  <si>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</si>
  <si>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</si>
  <si>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</si>
  <si>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</si>
  <si>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</si>
  <si>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</si>
  <si>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</si>
  <si>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</si>
  <si>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</si>
  <si>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</si>
  <si>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</si>
  <si>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</si>
  <si>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</si>
  <si>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</si>
  <si>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</si>
  <si>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</si>
  <si>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</si>
  <si>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</si>
  <si>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</si>
  <si>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</si>
  <si>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</si>
  <si>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</si>
  <si>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</si>
  <si>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</si>
  <si>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</si>
  <si>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</si>
  <si>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</si>
  <si>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</si>
  <si>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</si>
  <si>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</si>
  <si>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</si>
  <si>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</si>
  <si>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</si>
  <si>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</si>
  <si>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</si>
  <si>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</si>
  <si>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</si>
  <si>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</si>
  <si>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</si>
  <si>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</si>
  <si>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</si>
  <si>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</si>
  <si>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</si>
  <si>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</si>
  <si>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</si>
  <si>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</si>
  <si>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</si>
  <si>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</si>
  <si>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</si>
  <si>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</si>
  <si>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</si>
  <si>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</si>
  <si>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</si>
  <si>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</si>
  <si>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</si>
  <si>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</si>
  <si>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</si>
  <si>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</si>
  <si>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</si>
  <si>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</si>
  <si>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</si>
  <si>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</si>
  <si>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</si>
  <si>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</si>
  <si>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</si>
  <si>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</si>
  <si>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</si>
  <si>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</si>
  <si>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</si>
  <si>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</si>
  <si>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</si>
  <si>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</si>
  <si>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</si>
  <si>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</si>
  <si>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</si>
  <si>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</si>
  <si>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</si>
  <si>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</si>
  <si>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</si>
  <si>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</si>
  <si>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</si>
  <si>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</si>
  <si>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</si>
  <si>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</si>
  <si>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</si>
  <si>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</si>
  <si>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</si>
  <si>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</si>
  <si>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</si>
  <si>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</si>
  <si>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</si>
  <si>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</si>
  <si>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</si>
  <si>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</si>
  <si>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</si>
  <si>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</si>
  <si>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</si>
  <si>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</si>
  <si>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</si>
  <si>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</si>
  <si>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</si>
  <si>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</si>
  <si>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</si>
  <si>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</si>
  <si>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</si>
  <si>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</si>
  <si>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</si>
  <si>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</si>
  <si>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</si>
  <si>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</si>
  <si>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</si>
  <si>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</si>
  <si>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</si>
  <si>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</si>
  <si>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</si>
  <si>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</si>
  <si>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</si>
  <si>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</si>
  <si>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</si>
  <si>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</si>
  <si>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</si>
  <si>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</si>
  <si>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</si>
  <si>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</si>
  <si>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</si>
  <si>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</si>
  <si>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</si>
  <si>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</si>
  <si>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</si>
  <si>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</si>
  <si>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</si>
  <si>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</si>
  <si>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</si>
  <si>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</si>
  <si>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</si>
  <si>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</si>
  <si>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</si>
  <si>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</si>
  <si>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</si>
  <si>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</si>
  <si>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</si>
  <si>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</si>
  <si>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</si>
  <si>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</si>
  <si>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</si>
  <si>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</si>
  <si>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</si>
  <si>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</si>
  <si>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</si>
  <si>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</si>
  <si>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</si>
  <si>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</si>
  <si>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</si>
  <si>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</si>
  <si>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</si>
  <si>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</si>
  <si>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</si>
  <si>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</si>
  <si>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</si>
  <si>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</si>
  <si>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</si>
  <si>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</si>
  <si>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</si>
  <si>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</si>
  <si>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</si>
  <si>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</si>
  <si>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</si>
  <si>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</si>
  <si>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</si>
  <si>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</si>
  <si>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</si>
  <si>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</si>
  <si>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</si>
  <si>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</si>
  <si>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</si>
  <si>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</si>
  <si>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</si>
  <si>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</si>
  <si>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</si>
  <si>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</si>
  <si>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</si>
  <si>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</si>
  <si>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</si>
  <si>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</si>
  <si>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</si>
  <si>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</si>
  <si>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</si>
  <si>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</si>
  <si>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</si>
  <si>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</si>
  <si>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</si>
  <si>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</si>
  <si>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</si>
  <si>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</si>
  <si>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</si>
  <si>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</si>
  <si>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</si>
  <si>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</si>
  <si>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</si>
  <si>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</si>
  <si>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</si>
  <si>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</si>
  <si>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</si>
  <si>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</si>
  <si>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</si>
  <si>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</si>
  <si>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</si>
  <si>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</si>
  <si>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</si>
  <si>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</si>
  <si>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</si>
  <si>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</si>
  <si>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</si>
  <si>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</si>
  <si>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</si>
  <si>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</si>
  <si>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</si>
  <si>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</si>
  <si>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</si>
  <si>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</si>
  <si>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</si>
  <si>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</si>
  <si>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</si>
  <si>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</si>
  <si>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</si>
  <si>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</si>
  <si>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</si>
  <si>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</si>
  <si>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</si>
  <si>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</si>
  <si>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</si>
  <si>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</si>
  <si>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</si>
  <si>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</si>
  <si>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</si>
  <si>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</si>
  <si>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</si>
  <si>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</si>
  <si>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</si>
  <si>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</si>
  <si>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</si>
  <si>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</si>
  <si>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</si>
  <si>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</si>
  <si>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</si>
  <si>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</si>
  <si>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</si>
  <si>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</si>
  <si>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</si>
  <si>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</si>
  <si>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</si>
  <si>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</si>
  <si>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</si>
  <si>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</si>
  <si>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</si>
  <si>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</si>
  <si>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</si>
  <si>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</si>
  <si>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</si>
  <si>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</si>
  <si>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</si>
  <si>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</si>
  <si>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</si>
  <si>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</si>
  <si>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</si>
  <si>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</si>
  <si>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</si>
  <si>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</si>
  <si>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</si>
  <si>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</si>
  <si>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</si>
  <si>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</si>
  <si>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</si>
  <si>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</si>
  <si>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</si>
  <si>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</si>
  <si>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</si>
  <si>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</si>
  <si>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</si>
  <si>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</si>
  <si>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</si>
  <si>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</si>
  <si>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</si>
  <si>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</si>
  <si>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</si>
  <si>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</si>
  <si>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</si>
  <si>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</si>
  <si>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</si>
  <si>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</si>
  <si>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</si>
  <si>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</si>
  <si>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</si>
  <si>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</si>
  <si>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</si>
  <si>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</si>
  <si>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</si>
  <si>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</si>
  <si>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</si>
  <si>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</si>
  <si>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</si>
  <si>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</si>
  <si>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</si>
  <si>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</si>
  <si>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</si>
  <si>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</si>
  <si>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</si>
  <si>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</si>
  <si>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</si>
  <si>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</si>
  <si>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</si>
  <si>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</si>
  <si>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</si>
  <si>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</si>
  <si>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</si>
  <si>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</si>
  <si>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</si>
  <si>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</si>
  <si>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</si>
  <si>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</si>
  <si>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</si>
  <si>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</si>
  <si>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</si>
  <si>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</si>
  <si>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</si>
  <si>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</si>
  <si>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</si>
  <si>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</si>
  <si>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</si>
  <si>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</si>
  <si>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</si>
  <si>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</si>
  <si>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</si>
  <si>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</si>
  <si>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</si>
  <si>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</si>
  <si>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</si>
  <si>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</si>
  <si>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</si>
  <si>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</si>
  <si>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</si>
  <si>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</si>
  <si>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</si>
  <si>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</si>
  <si>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</si>
  <si>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</si>
  <si>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</si>
  <si>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</si>
  <si>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</si>
  <si>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</si>
  <si>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</si>
  <si>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</si>
  <si>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</si>
  <si>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</si>
  <si>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</si>
  <si>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</si>
  <si>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</si>
  <si>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</si>
  <si>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</si>
  <si>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</si>
  <si>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</si>
  <si>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</si>
  <si>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</si>
  <si>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</si>
  <si>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</si>
  <si>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</si>
  <si>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</si>
  <si>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</si>
  <si>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</si>
  <si>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</si>
  <si>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</si>
  <si>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</si>
  <si>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</si>
  <si>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</si>
  <si>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</si>
  <si>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</si>
  <si>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</si>
  <si>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</si>
  <si>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</si>
  <si>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</si>
  <si>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</si>
  <si>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</si>
  <si>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</si>
  <si>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</si>
  <si>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</si>
  <si>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</si>
  <si>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</si>
  <si>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</si>
  <si>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</si>
  <si>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</si>
  <si>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</si>
  <si>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</si>
  <si>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</si>
  <si>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</si>
  <si>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</si>
  <si>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</si>
  <si>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</si>
  <si>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</si>
  <si>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</si>
  <si>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</si>
  <si>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</si>
  <si>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</si>
  <si>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</si>
  <si>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</si>
  <si>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</si>
  <si>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</si>
  <si>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</si>
  <si>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</si>
  <si>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</si>
  <si>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</si>
  <si>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</si>
  <si>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</si>
  <si>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</si>
  <si>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</si>
  <si>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</si>
  <si>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</si>
  <si>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</si>
  <si>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</si>
  <si>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</si>
  <si>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</si>
  <si>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</si>
  <si>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</si>
  <si>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</si>
  <si>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</si>
  <si>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</si>
  <si>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</si>
  <si>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</si>
  <si>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</si>
  <si>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</si>
  <si>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</si>
  <si>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</si>
  <si>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</si>
  <si>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</si>
  <si>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</si>
  <si>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</si>
  <si>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</si>
  <si>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</si>
  <si>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</si>
  <si>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</si>
  <si>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</si>
  <si>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</si>
  <si>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</si>
  <si>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</si>
  <si>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</si>
  <si>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</si>
  <si>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</si>
  <si>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</si>
  <si>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</si>
  <si>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</si>
  <si>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</si>
  <si>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</si>
  <si>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</si>
  <si>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</si>
  <si>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</si>
  <si>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</si>
  <si>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</si>
  <si>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</si>
  <si>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</si>
  <si>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</si>
  <si>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</si>
  <si>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</si>
  <si>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</si>
  <si>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</si>
  <si>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</si>
  <si>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</si>
  <si>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</si>
  <si>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</si>
  <si>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</si>
  <si>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</si>
  <si>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</si>
  <si>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</si>
  <si>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</si>
  <si>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</si>
  <si>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</si>
  <si>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</si>
  <si>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</si>
  <si>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</si>
  <si>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</si>
  <si>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</si>
  <si>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</si>
  <si>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</si>
  <si>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</si>
  <si>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</si>
  <si>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</si>
  <si>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</si>
  <si>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</si>
  <si>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</si>
  <si>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</si>
  <si>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</si>
  <si>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</si>
  <si>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</si>
  <si>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</si>
  <si>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</si>
  <si>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</si>
  <si>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</si>
  <si>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</si>
  <si>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</si>
  <si>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</si>
  <si>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</si>
  <si>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</si>
  <si>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</si>
  <si>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</si>
  <si>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</si>
  <si>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</si>
  <si>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</si>
  <si>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</si>
  <si>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</si>
  <si>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</si>
  <si>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</si>
  <si>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</si>
  <si>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</si>
  <si>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</si>
  <si>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</si>
  <si>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</si>
  <si>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</si>
  <si>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</si>
  <si>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</si>
  <si>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</si>
  <si>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</si>
  <si>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</si>
  <si>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</si>
  <si>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</si>
  <si>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</si>
  <si>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</si>
  <si>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</si>
  <si>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</si>
  <si>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</si>
  <si>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</si>
  <si>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</si>
  <si>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</si>
  <si>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</si>
  <si>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</si>
  <si>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</si>
  <si>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</si>
  <si>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</si>
  <si>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</si>
  <si>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</si>
  <si>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</si>
  <si>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</si>
  <si>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</si>
  <si>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</si>
  <si>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</si>
  <si>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</si>
  <si>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</si>
  <si>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</si>
  <si>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</si>
  <si>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</si>
  <si>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</si>
  <si>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</si>
  <si>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</si>
  <si>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</si>
  <si>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</si>
  <si>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</si>
  <si>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</si>
  <si>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</si>
  <si>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</si>
  <si>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</si>
  <si>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</si>
  <si>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</si>
  <si>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</si>
  <si>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</si>
  <si>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</si>
  <si>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</si>
  <si>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</si>
  <si>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</si>
  <si>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</si>
  <si>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</si>
  <si>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</si>
  <si>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</si>
  <si>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</si>
  <si>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</si>
  <si>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</si>
  <si>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</si>
  <si>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</si>
  <si>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</si>
  <si>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</si>
  <si>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</si>
  <si>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</si>
  <si>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</si>
  <si>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</si>
  <si>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</si>
  <si>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</si>
  <si>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</si>
  <si>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</si>
  <si>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</si>
  <si>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</si>
  <si>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</si>
  <si>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</si>
  <si>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</si>
  <si>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</si>
  <si>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</si>
  <si>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</si>
  <si>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</si>
  <si>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</si>
  <si>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</si>
  <si>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</si>
  <si>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</si>
  <si>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</si>
  <si>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</si>
  <si>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</si>
  <si>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</si>
  <si>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</si>
  <si>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</si>
  <si>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</si>
  <si>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</si>
  <si>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</si>
  <si>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</si>
  <si>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</si>
  <si>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</si>
  <si>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</si>
  <si>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</si>
  <si>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</si>
  <si>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</si>
  <si>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</si>
  <si>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</si>
  <si>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</si>
  <si>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</si>
  <si>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</si>
  <si>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</si>
  <si>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</si>
  <si>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</si>
  <si>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</si>
  <si>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</si>
  <si>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</si>
  <si>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</si>
  <si>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</si>
  <si>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</si>
  <si>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</si>
  <si>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</si>
  <si>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</si>
  <si>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</si>
  <si>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</si>
  <si>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</si>
  <si>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</si>
  <si>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</si>
  <si>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</si>
  <si>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</si>
  <si>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</si>
  <si>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</si>
  <si>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</si>
  <si>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</si>
  <si>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</si>
  <si>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</si>
  <si>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</si>
  <si>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</si>
  <si>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</si>
  <si>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</si>
  <si>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</si>
  <si>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</si>
  <si>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</si>
  <si>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</si>
  <si>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</si>
  <si>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</si>
  <si>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</si>
  <si>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</si>
  <si>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</si>
  <si>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</si>
  <si>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</si>
  <si>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</si>
  <si>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</si>
  <si>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</si>
  <si>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</si>
  <si>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</si>
  <si>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</si>
  <si>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</si>
  <si>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</si>
  <si>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</si>
  <si>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</si>
  <si>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</si>
  <si>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</si>
  <si>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</si>
  <si>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</si>
  <si>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</si>
  <si>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房号</t>
    <phoneticPr fontId="134" type="noConversion"/>
  </si>
  <si>
    <t>建筑面积</t>
    <phoneticPr fontId="134" type="noConversion"/>
  </si>
  <si>
    <t>楼层</t>
    <phoneticPr fontId="134" type="noConversion"/>
  </si>
  <si>
    <t>用途</t>
    <phoneticPr fontId="134" type="noConversion"/>
  </si>
  <si>
    <r>
      <t>-</t>
    </r>
    <r>
      <rPr>
        <sz val="11"/>
        <color theme="1"/>
        <rFont val="宋体"/>
        <family val="3"/>
        <charset val="134"/>
        <scheme val="minor"/>
      </rPr>
      <t>3层</t>
    </r>
    <phoneticPr fontId="134" type="noConversion"/>
  </si>
  <si>
    <r>
      <t>0</t>
    </r>
    <r>
      <rPr>
        <sz val="11"/>
        <color theme="1"/>
        <rFont val="宋体"/>
        <family val="3"/>
        <charset val="134"/>
        <scheme val="minor"/>
      </rPr>
      <t>1</t>
    </r>
    <phoneticPr fontId="134" type="noConversion"/>
  </si>
  <si>
    <t>02</t>
    <phoneticPr fontId="134" type="noConversion"/>
  </si>
  <si>
    <t>汽车库</t>
    <phoneticPr fontId="134" type="noConversion"/>
  </si>
  <si>
    <t>-2层</t>
    <phoneticPr fontId="134" type="noConversion"/>
  </si>
  <si>
    <t>03</t>
    <phoneticPr fontId="134" type="noConversion"/>
  </si>
  <si>
    <t>-1层</t>
    <phoneticPr fontId="134" type="noConversion"/>
  </si>
  <si>
    <t>0001</t>
    <phoneticPr fontId="134" type="noConversion"/>
  </si>
  <si>
    <t>0002</t>
  </si>
  <si>
    <t>0003</t>
  </si>
  <si>
    <t>0004</t>
  </si>
  <si>
    <t>0005</t>
  </si>
  <si>
    <t>0006</t>
  </si>
  <si>
    <t>0007</t>
  </si>
  <si>
    <t>0008</t>
  </si>
  <si>
    <t>0009</t>
  </si>
  <si>
    <t>0010</t>
  </si>
  <si>
    <t>0011</t>
  </si>
  <si>
    <t>0012</t>
  </si>
  <si>
    <t>0015</t>
  </si>
  <si>
    <t>0016</t>
  </si>
  <si>
    <t>0017</t>
  </si>
  <si>
    <t>0018</t>
  </si>
  <si>
    <t>0019</t>
  </si>
  <si>
    <t>0020</t>
  </si>
  <si>
    <t>0021</t>
  </si>
  <si>
    <t>0022</t>
  </si>
  <si>
    <t>0023</t>
  </si>
  <si>
    <t>0025</t>
  </si>
  <si>
    <t>0026</t>
  </si>
  <si>
    <t>0027</t>
  </si>
  <si>
    <t>0028</t>
  </si>
  <si>
    <t>0029</t>
  </si>
  <si>
    <t>0030</t>
  </si>
  <si>
    <t>0031</t>
  </si>
  <si>
    <t>0032</t>
  </si>
  <si>
    <t>0033</t>
  </si>
  <si>
    <t>0035</t>
  </si>
  <si>
    <t>0036</t>
  </si>
  <si>
    <t>0037</t>
  </si>
  <si>
    <t>0038</t>
  </si>
  <si>
    <t>0039</t>
  </si>
  <si>
    <t>0040</t>
  </si>
  <si>
    <t>0041</t>
  </si>
  <si>
    <t>0042</t>
  </si>
  <si>
    <t>0043</t>
  </si>
  <si>
    <t>0045</t>
  </si>
  <si>
    <t>0046</t>
  </si>
  <si>
    <t>0047</t>
  </si>
  <si>
    <t>0048</t>
  </si>
  <si>
    <t>0049</t>
  </si>
  <si>
    <t>0050</t>
  </si>
  <si>
    <t>0051</t>
  </si>
  <si>
    <t>0052</t>
  </si>
  <si>
    <t>0053</t>
  </si>
  <si>
    <t>0055</t>
  </si>
  <si>
    <t>0056</t>
  </si>
  <si>
    <t>0057</t>
  </si>
  <si>
    <t>0058</t>
  </si>
  <si>
    <t>0059</t>
  </si>
  <si>
    <t>0060</t>
  </si>
  <si>
    <t>0061</t>
  </si>
  <si>
    <t>0062</t>
  </si>
  <si>
    <t>0063</t>
  </si>
  <si>
    <t>0065</t>
  </si>
  <si>
    <t>0066</t>
  </si>
  <si>
    <t>0067</t>
  </si>
  <si>
    <t>0068</t>
  </si>
  <si>
    <t>0069</t>
  </si>
  <si>
    <t>0070</t>
  </si>
  <si>
    <t>0071</t>
  </si>
  <si>
    <t>0072</t>
  </si>
  <si>
    <t>0073</t>
  </si>
  <si>
    <t>0075</t>
  </si>
  <si>
    <t>0076</t>
  </si>
  <si>
    <t>0077</t>
  </si>
  <si>
    <t>0078</t>
  </si>
  <si>
    <t>0079</t>
  </si>
  <si>
    <t>0080</t>
  </si>
  <si>
    <t>0081</t>
  </si>
  <si>
    <t>0082</t>
  </si>
  <si>
    <t>0083</t>
  </si>
  <si>
    <t>0084</t>
  </si>
  <si>
    <t>0085</t>
  </si>
  <si>
    <t>0086</t>
  </si>
  <si>
    <t>0087</t>
  </si>
  <si>
    <t>0088</t>
  </si>
  <si>
    <t>0089</t>
  </si>
  <si>
    <t>0090</t>
  </si>
  <si>
    <t>0091</t>
  </si>
  <si>
    <t>0092</t>
  </si>
  <si>
    <t>车库</t>
    <phoneticPr fontId="134" type="noConversion"/>
  </si>
  <si>
    <t>商业</t>
    <phoneticPr fontId="134" type="noConversion"/>
  </si>
  <si>
    <t>地下</t>
  </si>
  <si>
    <t>地下</t>
    <phoneticPr fontId="134" type="noConversion"/>
  </si>
  <si>
    <t>地下1层</t>
    <phoneticPr fontId="134" type="noConversion"/>
  </si>
  <si>
    <t>地上</t>
  </si>
  <si>
    <t>地上1层</t>
    <phoneticPr fontId="134" type="noConversion"/>
  </si>
  <si>
    <t>办公（商业）</t>
    <phoneticPr fontId="134" type="noConversion"/>
  </si>
  <si>
    <t>1层</t>
    <phoneticPr fontId="134" type="noConversion"/>
  </si>
  <si>
    <t>2层</t>
    <phoneticPr fontId="134" type="noConversion"/>
  </si>
  <si>
    <t>办公</t>
    <phoneticPr fontId="134" type="noConversion"/>
  </si>
  <si>
    <t>3层</t>
    <phoneticPr fontId="134" type="noConversion"/>
  </si>
  <si>
    <t>4层</t>
    <phoneticPr fontId="134" type="noConversion"/>
  </si>
  <si>
    <t>5层</t>
    <phoneticPr fontId="134" type="noConversion"/>
  </si>
  <si>
    <t>6层</t>
    <phoneticPr fontId="134" type="noConversion"/>
  </si>
  <si>
    <t>公寓</t>
  </si>
  <si>
    <t>公寓（北座）</t>
    <phoneticPr fontId="134" type="noConversion"/>
  </si>
  <si>
    <t>办公（南座）</t>
    <phoneticPr fontId="134" type="noConversion"/>
  </si>
  <si>
    <t>面积</t>
    <phoneticPr fontId="134" type="noConversion"/>
  </si>
  <si>
    <t>楼层</t>
    <phoneticPr fontId="134" type="noConversion"/>
  </si>
  <si>
    <t>南座办公</t>
    <phoneticPr fontId="134" type="noConversion"/>
  </si>
  <si>
    <t>办公</t>
    <phoneticPr fontId="7" type="noConversion"/>
  </si>
  <si>
    <t>地下商业</t>
  </si>
  <si>
    <t>地下商业</t>
    <phoneticPr fontId="7" type="noConversion"/>
  </si>
  <si>
    <t>1层商业（办公）</t>
  </si>
  <si>
    <t>1层商业（办公）</t>
    <phoneticPr fontId="7" type="noConversion"/>
  </si>
  <si>
    <t>公寓</t>
    <phoneticPr fontId="7" type="noConversion"/>
  </si>
  <si>
    <t>车库</t>
    <phoneticPr fontId="7" type="noConversion"/>
  </si>
  <si>
    <t>否</t>
  </si>
  <si>
    <t>成新度</t>
  </si>
  <si>
    <t>直线</t>
    <phoneticPr fontId="3" type="noConversion"/>
  </si>
  <si>
    <t>观察</t>
    <phoneticPr fontId="3" type="noConversion"/>
  </si>
  <si>
    <t>押一</t>
  </si>
  <si>
    <t>钢混</t>
  </si>
  <si>
    <t>非生产用房</t>
  </si>
  <si>
    <t>收益法</t>
  </si>
  <si>
    <t>比较法-办公</t>
  </si>
  <si>
    <t>项目模式</t>
  </si>
  <si>
    <t>售价</t>
  </si>
  <si>
    <t>收益法(商业)</t>
  </si>
  <si>
    <t>收益法(商业)</t>
    <phoneticPr fontId="16" type="noConversion"/>
  </si>
  <si>
    <t>比较法-商业</t>
  </si>
  <si>
    <t>收益法(地下商业)</t>
  </si>
  <si>
    <t>收益法(地下商业)</t>
    <phoneticPr fontId="16" type="noConversion"/>
  </si>
  <si>
    <t>商务金融用地</t>
  </si>
  <si>
    <t>宗地容积率</t>
  </si>
  <si>
    <t>与级别开发程度不一致</t>
  </si>
  <si>
    <t>通路</t>
  </si>
  <si>
    <t>通电</t>
  </si>
  <si>
    <t>通讯</t>
  </si>
  <si>
    <t>通下水</t>
  </si>
  <si>
    <t>平整</t>
  </si>
  <si>
    <t>较好</t>
  </si>
  <si>
    <t>好</t>
  </si>
  <si>
    <t>未包含在土地购买价格中</t>
  </si>
  <si>
    <t>全部缴纳</t>
  </si>
  <si>
    <t>已包含在土地取得成本中</t>
  </si>
  <si>
    <t>成本法</t>
  </si>
  <si>
    <t>总价</t>
  </si>
  <si>
    <t>办公</t>
    <phoneticPr fontId="134" type="noConversion"/>
  </si>
  <si>
    <t>1层商业（办公）</t>
    <phoneticPr fontId="134" type="noConversion"/>
  </si>
  <si>
    <t>地下商业</t>
    <phoneticPr fontId="134" type="noConversion"/>
  </si>
  <si>
    <t>车库</t>
    <phoneticPr fontId="134" type="noConversion"/>
  </si>
  <si>
    <t>公寓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</si>
</sst>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估价对象为北京市房地产，为所有。根据《国有土地使用证》[]，估价对象（分摊）出让国有建设用地使用权面积为9623.18平方米，建筑面积为67265.71平方米。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估价对象为北京市房地产,属开发建设的，该项目尚在开发建设中。根据《国有土地使用证》[]，估价对象（分摊）出让国有建设用地使用权面积为9623.18平方米，规划建筑面积为67265.71平方米。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2023年8月4日</v>
      </c>
    </row>
    <row r="13" spans="1:2" s="1203" customFormat="1">
      <c r="A13" s="1201" t="s">
        <v>529</v>
      </c>
      <c r="B13" s="1202" t="str">
        <f>'预评函-1'!A18</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286836</v>
      </c>
    </row>
    <row r="21" spans="1:2" s="1203" customFormat="1">
      <c r="A21" s="1201" t="s">
        <v>537</v>
      </c>
      <c r="B21" s="1202">
        <f ca="1">'预评函-2'!D7</f>
        <v>60942</v>
      </c>
    </row>
    <row r="22" spans="1:2" s="1203" customFormat="1">
      <c r="A22" s="1201" t="s">
        <v>538</v>
      </c>
      <c r="B22" s="1202" t="str">
        <f ca="1">'预评函-2'!D6</f>
        <v>贰拾捌亿陆仟捌佰叁拾陆万元整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286836</v>
      </c>
    </row>
    <row r="31" spans="1:2" s="1203" customFormat="1">
      <c r="A31" s="1201" t="s">
        <v>576</v>
      </c>
      <c r="B31" s="1202">
        <f ca="1">'预评函-2'!D15</f>
        <v>60942</v>
      </c>
    </row>
    <row r="32" spans="1:2" s="1203" customFormat="1">
      <c r="A32" s="1201" t="s">
        <v>543</v>
      </c>
      <c r="B32" s="1202" t="str">
        <f ca="1">'预评函-2'!D14</f>
        <v>贰拾捌亿陆仟捌佰叁拾陆万元整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67265.709999999992</v>
      </c>
    </row>
    <row r="44" spans="1:2" s="1203" customFormat="1">
      <c r="A44" s="1201" t="s">
        <v>575</v>
      </c>
      <c r="B44" s="1202" t="str">
        <f>'预评函-3'!C2</f>
        <v>(分摊)土地面积</v>
      </c>
    </row>
    <row r="45" spans="1:2" s="1203" customFormat="1">
      <c r="A45" s="1201" t="s">
        <v>547</v>
      </c>
      <c r="B45" s="1202">
        <f>'预评函-3'!C4</f>
        <v>9623.18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3352</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3338</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3339</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3340</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3341</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3342</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3343</v>
      </c>
    </row>
    <row r="8" spans="1:23">
      <c r="A8" s="1546" t="s">
        <v>1021</v>
      </c>
      <c r="B8" s="1546" t="s">
        <v>1022</v>
      </c>
      <c r="C8" s="1547" t="s">
        <v>319</v>
      </c>
      <c r="F8" s="1548" t="s">
        <v>1023</v>
      </c>
      <c r="H8" s="1548" t="s">
        <v>2576</v>
      </c>
      <c r="I8" s="1548" t="s">
        <v>3344</v>
      </c>
    </row>
    <row r="9" spans="1:23">
      <c r="A9" s="1546" t="s">
        <v>1024</v>
      </c>
      <c r="B9" s="1546" t="s">
        <v>1025</v>
      </c>
      <c r="C9" s="1547" t="s">
        <v>320</v>
      </c>
      <c r="F9" s="1548" t="s">
        <v>1026</v>
      </c>
      <c r="H9" s="1548"/>
      <c r="I9" s="1551" t="s">
        <v>3345</v>
      </c>
    </row>
    <row r="10" spans="1:23">
      <c r="A10" s="1546" t="s">
        <v>1027</v>
      </c>
      <c r="B10" s="1546" t="s">
        <v>1028</v>
      </c>
      <c r="C10" s="1547" t="s">
        <v>321</v>
      </c>
      <c r="F10" s="1548" t="s">
        <v>2577</v>
      </c>
      <c r="I10" s="1551" t="s">
        <v>3346</v>
      </c>
    </row>
    <row r="11" spans="1:23">
      <c r="A11" s="1546" t="s">
        <v>1029</v>
      </c>
      <c r="B11" s="1546" t="s">
        <v>1030</v>
      </c>
      <c r="C11" s="1547" t="s">
        <v>322</v>
      </c>
      <c r="F11" s="1548" t="s">
        <v>13</v>
      </c>
      <c r="I11" s="1551" t="s">
        <v>3347</v>
      </c>
    </row>
    <row r="12" spans="1:23">
      <c r="A12" s="1546" t="s">
        <v>1031</v>
      </c>
      <c r="B12" s="1546" t="s">
        <v>1032</v>
      </c>
      <c r="C12" s="1547" t="s">
        <v>323</v>
      </c>
      <c r="I12" s="1551" t="s">
        <v>3348</v>
      </c>
    </row>
    <row r="13" spans="1:23">
      <c r="A13" s="1546" t="s">
        <v>1033</v>
      </c>
      <c r="B13" s="1546" t="s">
        <v>1034</v>
      </c>
      <c r="C13" s="1547" t="s">
        <v>324</v>
      </c>
      <c r="I13" s="1551" t="s">
        <v>3349</v>
      </c>
    </row>
    <row r="14" spans="1:23">
      <c r="A14" s="1546" t="s">
        <v>1035</v>
      </c>
      <c r="B14" s="1546" t="s">
        <v>1036</v>
      </c>
      <c r="C14" s="1548" t="s">
        <v>13</v>
      </c>
      <c r="I14" s="1551" t="s">
        <v>3350</v>
      </c>
    </row>
    <row r="15" spans="1:23">
      <c r="A15" s="1546" t="s">
        <v>1037</v>
      </c>
      <c r="B15" s="1546" t="s">
        <v>1038</v>
      </c>
      <c r="C15" s="1547"/>
      <c r="I15" s="1551" t="s">
        <v>3351</v>
      </c>
    </row>
    <row r="16" spans="1:23">
      <c r="A16" s="1546" t="s">
        <v>1039</v>
      </c>
      <c r="B16" s="1546" t="s">
        <v>312</v>
      </c>
      <c r="C16" s="1547"/>
    </row>
    <row r="17" spans="1:3">
      <c r="A17" s="1546" t="s">
        <v>1040</v>
      </c>
      <c r="B17" s="1546" t="s">
        <v>2288</v>
      </c>
      <c r="C17" s="1547"/>
    </row>
    <row r="18" spans="1:3">
      <c r="A18" s="1546" t="s">
        <v>1041</v>
      </c>
      <c r="B18" s="1546" t="s">
        <v>2432</v>
      </c>
      <c r="C18" s="1547"/>
    </row>
    <row r="19" spans="1:3">
      <c r="A19" s="1546" t="s">
        <v>1042</v>
      </c>
      <c r="B19" s="1546" t="s">
        <v>3515</v>
      </c>
      <c r="C19" s="1547"/>
    </row>
    <row r="20" spans="1:3">
      <c r="A20" s="1546" t="s">
        <v>1043</v>
      </c>
      <c r="B20" s="1546" t="s">
        <v>3518</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16" t="s">
        <v>2579</v>
      </c>
      <c r="J2" s="3516"/>
      <c r="K2" s="3516"/>
      <c r="L2" s="3516"/>
      <c r="M2" s="3516"/>
      <c r="N2" s="3516"/>
      <c r="O2" s="3516"/>
      <c r="P2" s="3516"/>
      <c r="Q2" s="3516"/>
      <c r="R2" s="3516"/>
    </row>
    <row r="3" spans="1:18">
      <c r="A3" s="3018" t="s">
        <v>2500</v>
      </c>
      <c r="B3" s="3019">
        <f>项目基本情况!D3</f>
        <v>45142</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3.37</v>
      </c>
      <c r="D5" s="3023">
        <f>IF(ISERROR(ROUND(POWER(1+E5,A5-C5)*(POWER(1+E5,C5)-1)/(POWER(1+E5,A5)-1),3)),0,ROUND(POWER(1+E5,A5-C5)*(POWER(1+E5,C5)-1)/(POWER(1+E5,A5)-1),4))</f>
        <v>0.15640000000000001</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13.38</v>
      </c>
      <c r="D6" s="3023">
        <f>IF(ISERROR(ROUND(POWER(1+E6,A6-C6)*(POWER(1+E6,C6)-1)/(POWER(1+E6,A6)-1),3)),0,ROUND(POWER(1+E6,A6-C6)*(POWER(1+E6,C6)-1)/(POWER(1+E6,A6)-1),4))</f>
        <v>0.47520000000000001</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33.4</v>
      </c>
      <c r="D7" s="3023">
        <f>IF(ISERROR(ROUND(POWER(1+E7,A7-C7)*(POWER(1+E7,C7)-1)/(POWER(1+E7,A7)-1),3)),0,ROUND(POWER(1+E7,A7-C7)*(POWER(1+E7,C7)-1)/(POWER(1+E7,A7)-1),4))</f>
        <v>0.78029999999999999</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2163</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2164</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2165</v>
      </c>
      <c r="B3" s="2373"/>
      <c r="C3" s="2374" t="s">
        <v>2166</v>
      </c>
      <c r="D3" s="2373">
        <v>45142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2167</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2168</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2169</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2170</v>
      </c>
      <c r="B7" s="2387"/>
      <c r="C7" s="2385"/>
      <c r="D7" s="2386"/>
      <c r="E7" s="2662"/>
      <c r="F7" s="2664"/>
      <c r="G7" s="2664"/>
      <c r="H7" s="2664"/>
      <c r="I7" s="2664"/>
      <c r="J7" s="2439"/>
      <c r="K7" s="2616"/>
      <c r="L7" s="2613"/>
      <c r="M7" s="2613"/>
      <c r="N7" s="2439"/>
      <c r="O7" s="2450"/>
      <c r="P7" s="2439"/>
      <c r="Q7" s="2439"/>
      <c r="R7" s="2439"/>
    </row>
    <row r="8" spans="1:30">
      <c r="A8" s="2388" t="s">
        <v>2171</v>
      </c>
      <c r="B8" s="2389" t="s">
        <v>3375</v>
      </c>
      <c r="C8" s="2390"/>
      <c r="D8" s="3520" t="s">
        <v>2172</v>
      </c>
      <c r="E8" s="2391" t="s">
        <v>3376</v>
      </c>
      <c r="F8" s="2392"/>
      <c r="G8" s="2663"/>
      <c r="H8" s="2663"/>
      <c r="I8" s="2663"/>
      <c r="J8" s="2439"/>
      <c r="K8" s="2614"/>
      <c r="L8" s="2613"/>
      <c r="M8" s="2613"/>
      <c r="N8" s="2439"/>
      <c r="O8" s="2450"/>
      <c r="P8" s="2439"/>
      <c r="Q8" s="2439"/>
      <c r="R8" s="2439"/>
    </row>
    <row r="9" spans="1:30" ht="13.5" thickBot="1">
      <c r="A9" s="2393" t="s">
        <v>2173</v>
      </c>
      <c r="B9" s="2394" t="s">
        <v>3376</v>
      </c>
      <c r="C9" s="2395"/>
      <c r="D9" s="3521"/>
      <c r="E9" s="2394"/>
      <c r="F9" s="2396"/>
      <c r="G9" s="2665"/>
      <c r="H9" s="2665"/>
      <c r="I9" s="2665"/>
      <c r="J9" s="2439"/>
      <c r="K9" s="2616"/>
      <c r="L9" s="2613"/>
      <c r="M9" s="2613"/>
      <c r="N9" s="2439"/>
      <c r="O9" s="2450"/>
      <c r="P9" s="2439"/>
      <c r="Q9" s="2439"/>
      <c r="R9" s="2439"/>
    </row>
    <row r="10" spans="1:30" ht="13.5" thickTop="1">
      <c r="A10" s="2397" t="s">
        <v>2174</v>
      </c>
      <c r="B10" s="2398" t="s">
        <v>3377</v>
      </c>
      <c r="C10" s="2399"/>
      <c r="D10" s="2382"/>
      <c r="E10" s="2400" t="s">
        <v>2175</v>
      </c>
      <c r="F10" s="2666"/>
      <c r="G10" s="2667"/>
      <c r="H10" s="2668"/>
      <c r="I10" s="2669"/>
      <c r="J10" s="2439"/>
      <c r="K10" s="2616"/>
      <c r="L10" s="2613"/>
      <c r="M10" s="2613"/>
      <c r="N10" s="2439"/>
      <c r="O10" s="2450"/>
      <c r="P10" s="2439"/>
      <c r="Q10" s="2439"/>
      <c r="R10" s="2439"/>
    </row>
    <row r="11" spans="1:30">
      <c r="A11" s="2401" t="s">
        <v>2176</v>
      </c>
      <c r="B11" s="2402" t="s">
        <v>3378</v>
      </c>
      <c r="C11" s="2403"/>
      <c r="D11" s="2404"/>
      <c r="E11" s="2370"/>
      <c r="F11" s="2370"/>
      <c r="G11" s="2370"/>
      <c r="H11" s="2370"/>
      <c r="I11" s="2370"/>
      <c r="J11" s="3059"/>
      <c r="K11" s="3058"/>
      <c r="L11" s="2613"/>
      <c r="M11" s="2613"/>
      <c r="N11" s="2439"/>
      <c r="O11" s="2450"/>
      <c r="P11" s="2439"/>
      <c r="Q11" s="2439"/>
      <c r="R11" s="2439"/>
    </row>
    <row r="12" spans="1:30">
      <c r="A12" s="2405" t="s">
        <v>2177</v>
      </c>
      <c r="B12" s="323" t="s">
        <v>2178</v>
      </c>
      <c r="C12" s="2406" t="s">
        <v>2179</v>
      </c>
      <c r="D12" s="2406" t="s">
        <v>2180</v>
      </c>
      <c r="E12" s="2406" t="s">
        <v>2181</v>
      </c>
      <c r="F12" s="2406" t="s">
        <v>2182</v>
      </c>
      <c r="G12" s="2406" t="s">
        <v>2183</v>
      </c>
      <c r="H12" s="2406" t="s">
        <v>2184</v>
      </c>
      <c r="I12" s="3057" t="s">
        <v>2575</v>
      </c>
      <c r="J12" s="3060"/>
      <c r="K12" s="2613"/>
      <c r="L12" s="2613"/>
      <c r="M12" s="2439"/>
      <c r="N12" s="2450"/>
      <c r="O12" s="2439"/>
      <c r="P12" s="2439"/>
      <c r="Q12" s="2439"/>
      <c r="AD12" s="1745"/>
    </row>
    <row r="13" spans="1:30">
      <c r="A13" s="3421" t="s">
        <v>3333</v>
      </c>
      <c r="B13" s="2407" t="s">
        <v>2185</v>
      </c>
      <c r="C13" s="856"/>
      <c r="D13" s="856">
        <v>52318</v>
      </c>
      <c r="E13" s="856">
        <v>55971</v>
      </c>
      <c r="F13" s="856">
        <f>E13</f>
        <v>55971</v>
      </c>
      <c r="G13" s="856"/>
      <c r="H13" s="856"/>
      <c r="I13" s="856"/>
      <c r="J13" s="3060"/>
      <c r="K13" s="2613"/>
      <c r="L13" s="2613"/>
      <c r="M13" s="2439"/>
      <c r="N13" s="2450"/>
      <c r="O13" s="2439"/>
      <c r="P13" s="2439"/>
      <c r="Q13" s="2439"/>
      <c r="AD13" s="1745"/>
    </row>
    <row r="14" spans="1:30">
      <c r="A14" s="1081"/>
      <c r="B14" s="2407" t="s">
        <v>2186</v>
      </c>
      <c r="C14" s="2408"/>
      <c r="D14" s="2408">
        <v>40</v>
      </c>
      <c r="E14" s="2408">
        <v>50</v>
      </c>
      <c r="F14" s="2408">
        <v>50</v>
      </c>
      <c r="G14" s="2408"/>
      <c r="H14" s="2408"/>
      <c r="I14" s="2408"/>
      <c r="J14" s="3061"/>
      <c r="K14" s="2613"/>
      <c r="L14" s="2613"/>
      <c r="M14" s="2439"/>
      <c r="N14" s="2450"/>
      <c r="O14" s="2439"/>
      <c r="P14" s="2439"/>
      <c r="Q14" s="2439"/>
      <c r="AD14" s="1745"/>
    </row>
    <row r="15" spans="1:30">
      <c r="A15" s="320"/>
      <c r="B15" s="2409" t="s">
        <v>2187</v>
      </c>
      <c r="C15" s="2410" t="str">
        <f>IF(A13="出让",IF(C13="","",ROUNDDOWN(MIN((C13-$D$3)/365,C14),2)),C14)</f>
        <v/>
      </c>
      <c r="D15" s="2410">
        <f>IF(A13="出让",IF(D13="","",ROUNDDOWN(MIN((D13-$D$3)/365,D14),2)),D14)</f>
        <v>19.66</v>
      </c>
      <c r="E15" s="2410">
        <f>IF(A13="出让",IF(E13="","",ROUNDDOWN(MIN((E13-$D$3)/365,E14),2)),E14)</f>
        <v>29.66</v>
      </c>
      <c r="F15" s="2410">
        <f>IF(A13="出让",IF(F13="","",ROUNDDOWN(MIN((F13-$D$3)/365,F14),2)),F14)</f>
        <v>29.66</v>
      </c>
      <c r="G15" s="2410" t="str">
        <f>IF(A13="出让",IF(G13="","",ROUNDDOWN(MIN((G13-$D$3)/365,G14),2)),G14)</f>
        <v/>
      </c>
      <c r="H15" s="2410" t="str">
        <f>IF(A13="出让",IF(H13="","",ROUNDDOWN(MIN((H13-$D$3)/365,H14),2)),H14)</f>
        <v/>
      </c>
      <c r="I15" s="2410" t="str">
        <f>IF(A13="出让",IF(I13="","",ROUNDDOWN(MIN((I13-$D$3)/365,I14),2)),I14)</f>
        <v/>
      </c>
      <c r="J15" s="3062"/>
      <c r="K15" s="2451"/>
      <c r="L15" s="2451"/>
      <c r="M15" s="2509"/>
      <c r="N15" s="2451"/>
      <c r="O15" s="2509"/>
      <c r="P15" s="2439"/>
      <c r="Q15" s="2439"/>
      <c r="AD15" s="1745"/>
    </row>
    <row r="16" spans="1:30">
      <c r="A16" s="2400" t="s">
        <v>2188</v>
      </c>
      <c r="B16" s="3527"/>
      <c r="C16" s="3528"/>
      <c r="D16" s="3529"/>
      <c r="E16" s="2413" t="s">
        <v>2189</v>
      </c>
      <c r="F16" s="3530"/>
      <c r="G16" s="3531"/>
      <c r="H16" s="3531"/>
      <c r="I16" s="3532"/>
      <c r="J16" s="2439"/>
      <c r="K16" s="2617"/>
      <c r="L16" s="2451"/>
      <c r="M16" s="2451"/>
      <c r="N16" s="2509"/>
      <c r="O16" s="2451"/>
      <c r="P16" s="2509"/>
      <c r="Q16" s="2439"/>
      <c r="R16" s="2439"/>
    </row>
    <row r="17" spans="1:28">
      <c r="A17" s="313" t="s">
        <v>2190</v>
      </c>
      <c r="B17" s="302" t="s">
        <v>2191</v>
      </c>
      <c r="C17" s="8">
        <f>'数据-汇总表'!E3</f>
        <v>67265.709999999992</v>
      </c>
      <c r="D17" s="2322" t="s">
        <v>2192</v>
      </c>
      <c r="E17" s="3533" t="s">
        <v>2193</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2194</v>
      </c>
      <c r="B18" s="1090" t="s">
        <v>2195</v>
      </c>
      <c r="C18" s="2415">
        <f>'数据-汇总表'!D3</f>
        <v>9623.18</v>
      </c>
      <c r="D18" s="1092" t="s">
        <v>2196</v>
      </c>
      <c r="E18" s="3536" t="s">
        <v>2197</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1050</v>
      </c>
      <c r="B19" s="307" t="s">
        <v>2198</v>
      </c>
      <c r="C19" s="1563"/>
      <c r="D19" s="1564" t="s">
        <v>2199</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2200</v>
      </c>
      <c r="B20" s="3523" t="s">
        <v>2201</v>
      </c>
      <c r="C20" s="3524"/>
      <c r="D20" s="3525" t="s">
        <v>2202</v>
      </c>
      <c r="E20" s="3526"/>
      <c r="F20" s="2647" t="s">
        <v>1051</v>
      </c>
      <c r="G20" s="2664"/>
      <c r="H20" s="2664"/>
      <c r="I20" s="2664"/>
      <c r="J20" s="2439"/>
      <c r="K20" s="3522"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2204</v>
      </c>
      <c r="C21" s="2634" t="s">
        <v>1052</v>
      </c>
      <c r="D21" s="1568" t="s">
        <v>2205</v>
      </c>
      <c r="E21" s="2635" t="s">
        <v>1052</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2206</v>
      </c>
      <c r="C22" s="2634" t="s">
        <v>1053</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2207</v>
      </c>
      <c r="B23" s="2502" t="s">
        <v>2208</v>
      </c>
      <c r="C23" s="2638"/>
      <c r="D23" s="2639" t="s">
        <v>2208</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1054</v>
      </c>
      <c r="C24" s="2641"/>
      <c r="D24" s="2637" t="s">
        <v>1054</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1055</v>
      </c>
      <c r="C25" s="2641"/>
      <c r="D25" s="2637" t="s">
        <v>1055</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1056</v>
      </c>
      <c r="C26" s="2645"/>
      <c r="D26" s="2643" t="s">
        <v>1056</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0" t="s">
        <v>2209</v>
      </c>
      <c r="B27" s="320" t="s">
        <v>2210</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0"/>
      <c r="B28" s="302" t="s">
        <v>2211</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0"/>
      <c r="B29" s="302" t="s">
        <v>2212</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1"/>
      <c r="B30" s="302" t="s">
        <v>2213</v>
      </c>
      <c r="C30" s="3542"/>
      <c r="D30" s="3543"/>
      <c r="E30" s="2664"/>
      <c r="F30" s="2664"/>
      <c r="G30" s="2664"/>
      <c r="H30" s="2664"/>
      <c r="I30" s="2664"/>
      <c r="J30" s="2439"/>
      <c r="K30" s="2616"/>
      <c r="L30" s="2613"/>
      <c r="M30" s="2613"/>
      <c r="N30" s="2439"/>
      <c r="O30" s="2450"/>
      <c r="P30" s="2439"/>
      <c r="Q30" s="2439"/>
      <c r="R30" s="2439"/>
      <c r="S30" s="2439"/>
      <c r="T30" s="2439"/>
      <c r="U30" s="2439"/>
      <c r="V30" s="2439"/>
    </row>
    <row r="31" spans="1:28">
      <c r="A31" s="3544" t="s">
        <v>2214</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2215</v>
      </c>
      <c r="B34" s="2026"/>
      <c r="C34" s="2026"/>
      <c r="D34" s="2026"/>
      <c r="E34" s="2026"/>
      <c r="F34" s="2026"/>
      <c r="G34" s="2026"/>
      <c r="H34" s="2026"/>
      <c r="I34" s="2664"/>
      <c r="J34" s="2439"/>
      <c r="K34" s="2427">
        <f>COUNTIF(B34:H34,"——")</f>
        <v>0</v>
      </c>
      <c r="L34" s="323" t="s">
        <v>2216</v>
      </c>
      <c r="M34" s="323" t="s">
        <v>2217</v>
      </c>
      <c r="N34" s="323" t="s">
        <v>2218</v>
      </c>
      <c r="O34" s="323" t="s">
        <v>2219</v>
      </c>
      <c r="P34" s="323" t="s">
        <v>2220</v>
      </c>
      <c r="Q34" s="323" t="s">
        <v>2221</v>
      </c>
      <c r="R34" s="323" t="s">
        <v>2222</v>
      </c>
      <c r="S34" s="3539" t="s">
        <v>2223</v>
      </c>
      <c r="T34" s="2428" t="str">
        <f>NUMBERSTRING(7-K34,1)&amp;"通"</f>
        <v>七通</v>
      </c>
      <c r="U34" s="2439"/>
      <c r="V34" s="2439"/>
    </row>
    <row r="35" spans="1:30">
      <c r="A35" s="2429"/>
      <c r="B35" s="3546" t="s">
        <v>2224</v>
      </c>
      <c r="C35" s="3546"/>
      <c r="D35" s="3546"/>
      <c r="E35" s="354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9"/>
      <c r="V35" s="2439"/>
    </row>
    <row r="36" spans="1:30">
      <c r="A36" s="2430"/>
      <c r="B36" s="664" t="s">
        <v>2180</v>
      </c>
      <c r="C36" s="664" t="s">
        <v>2181</v>
      </c>
      <c r="D36" s="664" t="s">
        <v>2179</v>
      </c>
      <c r="E36" s="664" t="s">
        <v>2184</v>
      </c>
      <c r="F36" s="3063" t="s">
        <v>2578</v>
      </c>
      <c r="G36" s="2664"/>
      <c r="H36" s="2664"/>
      <c r="I36" s="2664"/>
      <c r="J36" s="2439"/>
      <c r="K36" s="2616"/>
      <c r="L36" s="2613"/>
      <c r="M36" s="2613"/>
      <c r="N36" s="2439"/>
      <c r="O36" s="2450"/>
      <c r="P36" s="2439"/>
      <c r="Q36" s="2439"/>
      <c r="R36" s="2439"/>
      <c r="S36" s="2439"/>
      <c r="T36" s="2439"/>
      <c r="U36" s="2439"/>
      <c r="V36" s="2439"/>
    </row>
    <row r="37" spans="1:30">
      <c r="A37" s="2630" t="s">
        <v>2225</v>
      </c>
      <c r="B37" s="2431" t="s">
        <v>144</v>
      </c>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2226</v>
      </c>
      <c r="B38" s="2432" t="s">
        <v>137</v>
      </c>
      <c r="C38" s="2432" t="s">
        <v>145</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2228</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6" t="s">
        <v>2238</v>
      </c>
      <c r="K42" s="2627" t="s">
        <v>2239</v>
      </c>
      <c r="L42" s="2627" t="s">
        <v>2240</v>
      </c>
      <c r="M42" s="2627" t="s">
        <v>2241</v>
      </c>
      <c r="N42" s="2620" t="s">
        <v>2242</v>
      </c>
      <c r="O42" s="2620" t="s">
        <v>2243</v>
      </c>
      <c r="P42" s="2620" t="s">
        <v>2244</v>
      </c>
      <c r="Q42" s="2621" t="s">
        <v>2245</v>
      </c>
      <c r="R42" s="2621"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1057</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1058</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1059</v>
      </c>
      <c r="B2" s="8" t="s">
        <v>1060</v>
      </c>
      <c r="C2" s="8" t="s">
        <v>1061</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1062</v>
      </c>
      <c r="AZ2" s="1049" t="s">
        <v>1063</v>
      </c>
      <c r="BA2" s="8" t="s">
        <v>1064</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9623.18</v>
      </c>
      <c r="B3" s="11">
        <f>IF(C3="否",G5-AT5,G5)</f>
        <v>67265.709999999992</v>
      </c>
      <c r="C3" s="1580" t="s">
        <v>1065</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67265.709999999992</v>
      </c>
      <c r="H5" s="13">
        <f t="shared" ref="H5:AT5" si="0">SUM(H13:H656)</f>
        <v>67265.709999999992</v>
      </c>
      <c r="I5" s="13">
        <f t="shared" si="0"/>
        <v>3962.1600000000008</v>
      </c>
      <c r="J5" s="13">
        <f t="shared" si="0"/>
        <v>0</v>
      </c>
      <c r="K5" s="13">
        <f t="shared" si="0"/>
        <v>52105.659999999996</v>
      </c>
      <c r="L5" s="13">
        <f t="shared" si="0"/>
        <v>0</v>
      </c>
      <c r="M5" s="13">
        <f t="shared" si="0"/>
        <v>4793.3200000000015</v>
      </c>
      <c r="N5" s="13">
        <f t="shared" si="0"/>
        <v>0</v>
      </c>
      <c r="O5" s="13">
        <f t="shared" si="0"/>
        <v>6092.7899999999991</v>
      </c>
      <c r="P5" s="13">
        <f t="shared" si="0"/>
        <v>0</v>
      </c>
      <c r="Q5" s="13">
        <f t="shared" si="0"/>
        <v>311.78000000000003</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1066</v>
      </c>
      <c r="AW5" s="1347"/>
      <c r="AX5" s="1347"/>
      <c r="AY5" s="14" t="s">
        <v>2</v>
      </c>
      <c r="AZ5" s="15">
        <f t="shared" ref="AZ5:BT5" si="1">SUM(AZ13:AZ656)</f>
        <v>67265.709999999992</v>
      </c>
      <c r="BA5" s="15">
        <f t="shared" si="1"/>
        <v>67265.709999999992</v>
      </c>
      <c r="BB5" s="15">
        <f t="shared" si="1"/>
        <v>3962.1600000000008</v>
      </c>
      <c r="BC5" s="15">
        <f t="shared" si="1"/>
        <v>52105.659999999996</v>
      </c>
      <c r="BD5" s="15">
        <f t="shared" si="1"/>
        <v>4793.3200000000015</v>
      </c>
      <c r="BE5" s="15">
        <f t="shared" si="1"/>
        <v>6092.7899999999991</v>
      </c>
      <c r="BF5" s="15">
        <f t="shared" si="1"/>
        <v>311.78000000000003</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1067</v>
      </c>
      <c r="B6" s="1586"/>
      <c r="C6" s="1586"/>
      <c r="D6" s="1587"/>
      <c r="E6" s="13">
        <f>H6+AC6+AT6</f>
        <v>9623.18</v>
      </c>
      <c r="F6" s="13" t="s">
        <v>0</v>
      </c>
      <c r="G6" s="13" t="s">
        <v>1</v>
      </c>
      <c r="H6" s="17">
        <f>SUMIF(I$12:AB$12,"总值",I6:AB6)</f>
        <v>9623.18</v>
      </c>
      <c r="I6" s="13">
        <f t="shared" ref="I6:AB6" si="2">ROUND($A$3*I5/$B$3,2)</f>
        <v>566.84</v>
      </c>
      <c r="J6" s="13">
        <f t="shared" si="2"/>
        <v>0</v>
      </c>
      <c r="K6" s="13">
        <f t="shared" si="2"/>
        <v>7454.35</v>
      </c>
      <c r="L6" s="13">
        <f t="shared" si="2"/>
        <v>0</v>
      </c>
      <c r="M6" s="13">
        <f t="shared" si="2"/>
        <v>685.74</v>
      </c>
      <c r="N6" s="13">
        <f t="shared" si="2"/>
        <v>0</v>
      </c>
      <c r="O6" s="13">
        <f t="shared" si="2"/>
        <v>871.65</v>
      </c>
      <c r="P6" s="13">
        <f t="shared" si="2"/>
        <v>0</v>
      </c>
      <c r="Q6" s="13">
        <f t="shared" si="2"/>
        <v>44.6</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1067</v>
      </c>
      <c r="AW6" s="1586"/>
      <c r="AX6" s="1586"/>
      <c r="AY6" s="18">
        <f>IF(AY3&gt;0,AY3,ROUND($A$3*AZ5/$B$3,2))</f>
        <v>9623.18</v>
      </c>
      <c r="AZ6" s="13" t="s">
        <v>2</v>
      </c>
      <c r="BA6" s="13">
        <f>ROUND($AY$6*BA5/$AZ$5,2)</f>
        <v>9623.18</v>
      </c>
      <c r="BB6" s="13">
        <f>ROUND($AY$6*BB5/$AZ$5,2)</f>
        <v>566.84</v>
      </c>
      <c r="BC6" s="13">
        <f t="shared" ref="BC6:BH6" si="4">ROUND($AY$6*BC5/$AZ$5,2)</f>
        <v>7454.35</v>
      </c>
      <c r="BD6" s="13">
        <f t="shared" si="4"/>
        <v>685.74</v>
      </c>
      <c r="BE6" s="13">
        <f t="shared" si="4"/>
        <v>871.65</v>
      </c>
      <c r="BF6" s="13">
        <f t="shared" si="4"/>
        <v>44.6</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1603" t="s">
        <v>3477</v>
      </c>
      <c r="J9" s="809"/>
      <c r="K9" s="1603" t="s">
        <v>3480</v>
      </c>
      <c r="L9" s="809"/>
      <c r="M9" s="1603" t="s">
        <v>3480</v>
      </c>
      <c r="N9" s="809"/>
      <c r="O9" s="1603" t="s">
        <v>3477</v>
      </c>
      <c r="P9" s="809"/>
      <c r="Q9" s="1603" t="s">
        <v>3480</v>
      </c>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1603" t="s">
        <v>668</v>
      </c>
      <c r="J10" s="809"/>
      <c r="K10" s="1609" t="s">
        <v>21</v>
      </c>
      <c r="L10" s="809"/>
      <c r="M10" s="1609" t="s">
        <v>21</v>
      </c>
      <c r="N10" s="809"/>
      <c r="O10" s="1609" t="s">
        <v>3334</v>
      </c>
      <c r="P10" s="809"/>
      <c r="Q10" s="1609" t="s">
        <v>3334</v>
      </c>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地下</v>
      </c>
      <c r="BC10" s="26" t="str">
        <f>K9</f>
        <v>地上</v>
      </c>
      <c r="BD10" s="26" t="str">
        <f>M9</f>
        <v>地上</v>
      </c>
      <c r="BE10" s="26" t="str">
        <f>O9</f>
        <v>地下</v>
      </c>
      <c r="BF10" s="26" t="str">
        <f>Q9</f>
        <v>地上</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t="s">
        <v>3490</v>
      </c>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办公</v>
      </c>
      <c r="BE11" s="1599" t="str">
        <f>O10</f>
        <v>车库</v>
      </c>
      <c r="BF11" s="1599" t="str">
        <f>Q10</f>
        <v>车库</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f>I11</f>
        <v>0</v>
      </c>
      <c r="BC12" s="1624">
        <f>K11</f>
        <v>0</v>
      </c>
      <c r="BD12" s="1624" t="str">
        <f>M11</f>
        <v>公寓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9623.18</v>
      </c>
      <c r="F13" s="29"/>
      <c r="G13" s="30">
        <f>H13+AC13+AT13</f>
        <v>67265.709999999992</v>
      </c>
      <c r="H13" s="17">
        <f>SUMIF(I$12:AB$12,"总值",I13:AB13)</f>
        <v>67265.709999999992</v>
      </c>
      <c r="I13" s="1626">
        <f>面积表!K4</f>
        <v>3962.1600000000008</v>
      </c>
      <c r="J13" s="1626"/>
      <c r="K13" s="1626">
        <f>SUM(面积表!K5:K10)+面积表!K12+面积表!K23</f>
        <v>52105.659999999996</v>
      </c>
      <c r="L13" s="1626"/>
      <c r="M13" s="1626">
        <f>面积表!K11</f>
        <v>4793.3200000000015</v>
      </c>
      <c r="N13" s="1626"/>
      <c r="O13" s="1626">
        <f>面积表!K2</f>
        <v>6092.7899999999991</v>
      </c>
      <c r="P13" s="1626"/>
      <c r="Q13" s="1626">
        <f>面积表!K3</f>
        <v>311.78000000000003</v>
      </c>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9623.18</v>
      </c>
      <c r="AZ13" s="13">
        <f>BA13+BL13</f>
        <v>67265.709999999992</v>
      </c>
      <c r="BA13" s="13">
        <f>SUM(BB13:BK13)</f>
        <v>67265.709999999992</v>
      </c>
      <c r="BB13" s="13">
        <f>IF($D13="是",I13-J13,0)</f>
        <v>3962.1600000000008</v>
      </c>
      <c r="BC13" s="13">
        <f>IF($D13="是",K13-L13,0)</f>
        <v>52105.659999999996</v>
      </c>
      <c r="BD13" s="13">
        <f>IF($D13="是",M13-N13,0)</f>
        <v>4793.3200000000015</v>
      </c>
      <c r="BE13" s="13">
        <f>IF($D13="是",O13-P13,0)</f>
        <v>6092.7899999999991</v>
      </c>
      <c r="BF13" s="13">
        <f>IF($D13="是",Q13-R13,0)</f>
        <v>311.78000000000003</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92"/>
  <sheetViews>
    <sheetView workbookViewId="0">
      <selection activeCell="K25" sqref="K25"/>
    </sheetView>
  </sheetViews>
  <sheetFormatPr defaultRowHeight="13.5"/>
  <cols>
    <col min="10" max="10" width="12.125" customWidth="1"/>
    <col min="11" max="11" width="11.75" customWidth="1"/>
  </cols>
  <sheetData>
    <row r="1" spans="2:12">
      <c r="K1" s="3472" t="s">
        <v>3493</v>
      </c>
      <c r="L1" s="3472" t="s">
        <v>3494</v>
      </c>
    </row>
    <row r="2" spans="2:12">
      <c r="B2" s="3472" t="s">
        <v>3382</v>
      </c>
      <c r="C2" s="3472" t="s">
        <v>3380</v>
      </c>
      <c r="D2" s="3472" t="s">
        <v>3381</v>
      </c>
      <c r="E2" s="3472" t="s">
        <v>3383</v>
      </c>
      <c r="J2" s="3472" t="s">
        <v>3475</v>
      </c>
      <c r="K2">
        <f>SUM(D3:D8)</f>
        <v>6092.7899999999991</v>
      </c>
      <c r="L2" s="3472" t="s">
        <v>3478</v>
      </c>
    </row>
    <row r="3" spans="2:12">
      <c r="B3" s="3473" t="s">
        <v>3384</v>
      </c>
      <c r="C3" s="3473" t="s">
        <v>3385</v>
      </c>
      <c r="D3">
        <v>272.64</v>
      </c>
      <c r="E3" s="3472" t="s">
        <v>3387</v>
      </c>
      <c r="K3">
        <f>54.45+54.06+93.85+109.42</f>
        <v>311.78000000000003</v>
      </c>
      <c r="L3" s="3472" t="s">
        <v>3481</v>
      </c>
    </row>
    <row r="4" spans="2:12">
      <c r="C4" s="3473" t="s">
        <v>3386</v>
      </c>
      <c r="D4">
        <v>161.18</v>
      </c>
      <c r="E4" s="3472" t="s">
        <v>3387</v>
      </c>
      <c r="J4" s="3472" t="s">
        <v>3476</v>
      </c>
      <c r="K4">
        <f>6841.22-K2+802.19+834.73+914.91+1179.44-K3-54.62-49.17-49.17-52.8</f>
        <v>3962.1600000000008</v>
      </c>
      <c r="L4" s="3472" t="s">
        <v>3479</v>
      </c>
    </row>
    <row r="5" spans="2:12">
      <c r="B5" s="3473" t="s">
        <v>3388</v>
      </c>
      <c r="C5" s="3473" t="s">
        <v>3389</v>
      </c>
      <c r="D5">
        <v>4935.59</v>
      </c>
      <c r="E5" s="3472" t="s">
        <v>3387</v>
      </c>
      <c r="J5" s="3472" t="s">
        <v>3482</v>
      </c>
      <c r="K5">
        <f>54.62+49.17+49.17+52.8+1517.62+1605.89+1562.13+45.53+52.51+49.46</f>
        <v>5038.8999999999996</v>
      </c>
      <c r="L5" s="3472" t="s">
        <v>3483</v>
      </c>
    </row>
    <row r="6" spans="2:12">
      <c r="C6">
        <v>11</v>
      </c>
      <c r="D6">
        <v>62.73</v>
      </c>
      <c r="E6" s="3472" t="s">
        <v>3387</v>
      </c>
      <c r="J6" s="3472" t="s">
        <v>3485</v>
      </c>
      <c r="K6">
        <f>1486.31-45.53-52.51-49.46+1527.54+1565.36+2028.5+67.89+67.89+67.89+67.89+67.89+67.89+68.72+71.1+78.13+85.49+107.73</f>
        <v>7278.7200000000021</v>
      </c>
      <c r="L6" s="3472" t="s">
        <v>3484</v>
      </c>
    </row>
    <row r="7" spans="2:12">
      <c r="C7">
        <v>12</v>
      </c>
      <c r="D7">
        <v>606.55999999999995</v>
      </c>
      <c r="E7" s="3472" t="s">
        <v>3387</v>
      </c>
      <c r="K7">
        <f>1735.67-(67.89+67.89+67.89+67.89+67.89+67.89+68.72+71.1+78.13+85.49+107.73)+1474.73+1574.74+1882.94+1885.93-(50.25+50.25+50.25+50.25+50.31+34.55+34.55)</f>
        <v>7415.09</v>
      </c>
      <c r="L7" s="3472" t="s">
        <v>3486</v>
      </c>
    </row>
    <row r="8" spans="2:12">
      <c r="C8">
        <v>13</v>
      </c>
      <c r="D8">
        <v>54.09</v>
      </c>
      <c r="E8" s="3472" t="s">
        <v>3387</v>
      </c>
      <c r="K8">
        <f>50.25+50.25+50.25+50.25+50.31+34.55+34.55+1548.3+1504.57+1731.34+2039.12+78.13+85.49+107.73</f>
        <v>7415.0899999999992</v>
      </c>
      <c r="L8" s="3472" t="s">
        <v>3487</v>
      </c>
    </row>
    <row r="9" spans="2:12">
      <c r="B9" s="3473" t="s">
        <v>3390</v>
      </c>
      <c r="C9" s="3473" t="s">
        <v>3391</v>
      </c>
      <c r="D9">
        <v>32</v>
      </c>
      <c r="K9">
        <f>1216.69-(78.13+85.49+107.73)+1173.37+1312.53+1109.64+52.49</f>
        <v>4593.37</v>
      </c>
      <c r="L9" s="3472" t="s">
        <v>3488</v>
      </c>
    </row>
    <row r="10" spans="2:12">
      <c r="C10" s="3473" t="s">
        <v>3392</v>
      </c>
      <c r="D10">
        <v>31.23</v>
      </c>
      <c r="K10" s="3472">
        <f>2602.67-52.49+(48.86+90.13+150.6+150.6+147.82+188.35+188.33+78.74+104.7+104.7+52.67+126.61+93.45+93.45+126.61)</f>
        <v>4295.8</v>
      </c>
      <c r="L10" s="3472" t="s">
        <v>3489</v>
      </c>
    </row>
    <row r="11" spans="2:12">
      <c r="C11" s="3473" t="s">
        <v>3393</v>
      </c>
      <c r="D11">
        <v>31.61</v>
      </c>
      <c r="J11" s="3472" t="s">
        <v>3491</v>
      </c>
      <c r="K11">
        <f>2748.34-(48.86+90.13+150.6+150.6+147.82+188.35+188.33+78.74+104.7+104.7+52.67+126.61+93.45+93.45+126.61)+2063+58.3+58.24+58.3+58.24+56.85+58.61+74.5+58.24+586.85+119.89+74.5+119.89+56.05+119.89+56.05+56.05+57.15</f>
        <v>4793.3200000000015</v>
      </c>
      <c r="L11" s="3472"/>
    </row>
    <row r="12" spans="2:12">
      <c r="C12" s="3473" t="s">
        <v>3394</v>
      </c>
      <c r="D12">
        <v>31.61</v>
      </c>
      <c r="J12" s="3472" t="s">
        <v>3492</v>
      </c>
      <c r="K12">
        <f>3125.39-(58.3+58.24+58.3+58.24+56.85+58.61+74.5+58.24+586.85+119.89+74.5+119.89+56.05+119.89+56.05+56.05+57.15)+5354.09+5525.48+2659.23</f>
        <v>14936.589999999998</v>
      </c>
    </row>
    <row r="13" spans="2:12">
      <c r="C13" s="3473" t="s">
        <v>3395</v>
      </c>
      <c r="D13">
        <v>31.61</v>
      </c>
      <c r="K13">
        <f>SUM(K2:K12)</f>
        <v>66133.61</v>
      </c>
    </row>
    <row r="14" spans="2:12">
      <c r="C14" s="3473" t="s">
        <v>3396</v>
      </c>
      <c r="D14">
        <v>31.61</v>
      </c>
    </row>
    <row r="15" spans="2:12">
      <c r="C15" s="3473" t="s">
        <v>3397</v>
      </c>
      <c r="D15">
        <v>31.61</v>
      </c>
      <c r="J15" s="3472" t="s">
        <v>3495</v>
      </c>
    </row>
    <row r="16" spans="2:12">
      <c r="C16" s="3473" t="s">
        <v>3398</v>
      </c>
      <c r="D16">
        <v>31.61</v>
      </c>
      <c r="J16">
        <v>801</v>
      </c>
      <c r="K16">
        <v>184.66</v>
      </c>
    </row>
    <row r="17" spans="3:11">
      <c r="C17" s="3473" t="s">
        <v>3399</v>
      </c>
      <c r="D17">
        <v>28.88</v>
      </c>
      <c r="J17">
        <v>802</v>
      </c>
      <c r="K17">
        <v>117.16</v>
      </c>
    </row>
    <row r="18" spans="3:11">
      <c r="C18" s="3473" t="s">
        <v>3400</v>
      </c>
      <c r="D18">
        <v>34.15</v>
      </c>
      <c r="J18">
        <v>805</v>
      </c>
      <c r="K18">
        <v>111.29</v>
      </c>
    </row>
    <row r="19" spans="3:11">
      <c r="C19" s="3473" t="s">
        <v>3401</v>
      </c>
      <c r="D19">
        <v>31.81</v>
      </c>
      <c r="J19">
        <v>808</v>
      </c>
      <c r="K19">
        <v>131.47999999999999</v>
      </c>
    </row>
    <row r="20" spans="3:11">
      <c r="C20" s="3473" t="s">
        <v>3402</v>
      </c>
      <c r="D20">
        <v>44.68</v>
      </c>
      <c r="J20">
        <v>809</v>
      </c>
      <c r="K20">
        <v>211.79</v>
      </c>
    </row>
    <row r="21" spans="3:11">
      <c r="C21" s="3473" t="s">
        <v>3403</v>
      </c>
      <c r="D21">
        <v>78.58</v>
      </c>
      <c r="J21">
        <v>810</v>
      </c>
      <c r="K21">
        <v>145.41999999999999</v>
      </c>
    </row>
    <row r="22" spans="3:11">
      <c r="C22" s="3473" t="s">
        <v>3404</v>
      </c>
      <c r="D22">
        <v>32.65</v>
      </c>
      <c r="J22">
        <v>817</v>
      </c>
      <c r="K22">
        <v>230.3</v>
      </c>
    </row>
    <row r="23" spans="3:11">
      <c r="C23" s="3473" t="s">
        <v>3405</v>
      </c>
      <c r="D23">
        <v>34.549999999999997</v>
      </c>
      <c r="K23">
        <f>SUM(K16:K22)</f>
        <v>1132.0999999999999</v>
      </c>
    </row>
    <row r="24" spans="3:11">
      <c r="C24" s="3473" t="s">
        <v>3406</v>
      </c>
      <c r="D24">
        <v>34.549999999999997</v>
      </c>
    </row>
    <row r="25" spans="3:11">
      <c r="C25" s="3473" t="s">
        <v>3407</v>
      </c>
      <c r="D25">
        <v>34.549999999999997</v>
      </c>
      <c r="K25">
        <f>K13+K23</f>
        <v>67265.710000000006</v>
      </c>
    </row>
    <row r="26" spans="3:11">
      <c r="C26" s="3473" t="s">
        <v>3408</v>
      </c>
      <c r="D26">
        <v>34.549999999999997</v>
      </c>
    </row>
    <row r="27" spans="3:11">
      <c r="C27" s="3473" t="s">
        <v>3409</v>
      </c>
      <c r="D27">
        <v>34.549999999999997</v>
      </c>
    </row>
    <row r="28" spans="3:11">
      <c r="C28" s="3473" t="s">
        <v>3410</v>
      </c>
      <c r="D28">
        <v>34.549999999999997</v>
      </c>
    </row>
    <row r="29" spans="3:11">
      <c r="C29" s="3473" t="s">
        <v>3411</v>
      </c>
      <c r="D29">
        <v>34.549999999999997</v>
      </c>
    </row>
    <row r="30" spans="3:11">
      <c r="C30" s="3473" t="s">
        <v>3412</v>
      </c>
      <c r="D30">
        <v>34.549999999999997</v>
      </c>
    </row>
    <row r="31" spans="3:11">
      <c r="C31" s="3473" t="s">
        <v>3413</v>
      </c>
      <c r="D31">
        <v>34.549999999999997</v>
      </c>
    </row>
    <row r="32" spans="3:11">
      <c r="C32" s="3473" t="s">
        <v>3414</v>
      </c>
      <c r="D32">
        <v>34.549999999999997</v>
      </c>
    </row>
    <row r="33" spans="3:4">
      <c r="C33" s="3473" t="s">
        <v>3415</v>
      </c>
      <c r="D33">
        <v>34.549999999999997</v>
      </c>
    </row>
    <row r="34" spans="3:4">
      <c r="C34" s="3473" t="s">
        <v>3416</v>
      </c>
      <c r="D34">
        <v>34.15</v>
      </c>
    </row>
    <row r="35" spans="3:4">
      <c r="C35" s="3473" t="s">
        <v>3417</v>
      </c>
      <c r="D35">
        <v>31.99</v>
      </c>
    </row>
    <row r="36" spans="3:4">
      <c r="C36" s="3473" t="s">
        <v>3418</v>
      </c>
      <c r="D36">
        <v>34.15</v>
      </c>
    </row>
    <row r="37" spans="3:4">
      <c r="C37" s="3473" t="s">
        <v>3419</v>
      </c>
      <c r="D37">
        <v>31.99</v>
      </c>
    </row>
    <row r="38" spans="3:4">
      <c r="C38" s="3473" t="s">
        <v>3420</v>
      </c>
      <c r="D38">
        <v>31.99</v>
      </c>
    </row>
    <row r="39" spans="3:4">
      <c r="C39" s="3473" t="s">
        <v>3421</v>
      </c>
      <c r="D39">
        <v>32.78</v>
      </c>
    </row>
    <row r="40" spans="3:4">
      <c r="C40" s="3473" t="s">
        <v>3422</v>
      </c>
      <c r="D40">
        <v>31.59</v>
      </c>
    </row>
    <row r="41" spans="3:4">
      <c r="C41" s="3473" t="s">
        <v>3423</v>
      </c>
      <c r="D41">
        <v>31.59</v>
      </c>
    </row>
    <row r="42" spans="3:4">
      <c r="C42" s="3473" t="s">
        <v>3424</v>
      </c>
      <c r="D42">
        <v>31.59</v>
      </c>
    </row>
    <row r="43" spans="3:4">
      <c r="C43" s="3473" t="s">
        <v>3425</v>
      </c>
      <c r="D43">
        <v>33.950000000000003</v>
      </c>
    </row>
    <row r="44" spans="3:4">
      <c r="C44" s="3473" t="s">
        <v>3426</v>
      </c>
      <c r="D44">
        <v>32.19</v>
      </c>
    </row>
    <row r="45" spans="3:4">
      <c r="C45" s="3473" t="s">
        <v>3427</v>
      </c>
      <c r="D45">
        <v>29.23</v>
      </c>
    </row>
    <row r="46" spans="3:4">
      <c r="C46" s="3473" t="s">
        <v>3428</v>
      </c>
      <c r="D46">
        <v>31.99</v>
      </c>
    </row>
    <row r="47" spans="3:4">
      <c r="C47" s="3473" t="s">
        <v>3429</v>
      </c>
      <c r="D47">
        <v>31.99</v>
      </c>
    </row>
    <row r="48" spans="3:4">
      <c r="C48" s="3473" t="s">
        <v>3430</v>
      </c>
      <c r="D48">
        <v>31.99</v>
      </c>
    </row>
    <row r="49" spans="3:4">
      <c r="C49" s="3473" t="s">
        <v>3431</v>
      </c>
      <c r="D49">
        <v>31.99</v>
      </c>
    </row>
    <row r="50" spans="3:4">
      <c r="C50" s="3473" t="s">
        <v>3432</v>
      </c>
      <c r="D50">
        <v>17.47</v>
      </c>
    </row>
    <row r="51" spans="3:4">
      <c r="C51" s="3473" t="s">
        <v>3433</v>
      </c>
      <c r="D51">
        <v>18.2</v>
      </c>
    </row>
    <row r="52" spans="3:4">
      <c r="C52" s="3473" t="s">
        <v>3434</v>
      </c>
      <c r="D52">
        <v>12.27</v>
      </c>
    </row>
    <row r="53" spans="3:4">
      <c r="C53" s="3473" t="s">
        <v>3435</v>
      </c>
      <c r="D53">
        <v>12.27</v>
      </c>
    </row>
    <row r="54" spans="3:4">
      <c r="C54" s="3473" t="s">
        <v>3436</v>
      </c>
      <c r="D54">
        <v>18.2</v>
      </c>
    </row>
    <row r="55" spans="3:4">
      <c r="C55" s="3473" t="s">
        <v>3437</v>
      </c>
      <c r="D55">
        <v>17.47</v>
      </c>
    </row>
    <row r="56" spans="3:4">
      <c r="C56" s="3473" t="s">
        <v>3438</v>
      </c>
      <c r="D56">
        <v>16.66</v>
      </c>
    </row>
    <row r="57" spans="3:4">
      <c r="C57" s="3473" t="s">
        <v>3439</v>
      </c>
      <c r="D57">
        <v>17.53</v>
      </c>
    </row>
    <row r="58" spans="3:4">
      <c r="C58" s="3473" t="s">
        <v>3440</v>
      </c>
      <c r="D58">
        <v>17.64</v>
      </c>
    </row>
    <row r="59" spans="3:4">
      <c r="C59" s="3473" t="s">
        <v>3441</v>
      </c>
      <c r="D59">
        <v>17.64</v>
      </c>
    </row>
    <row r="60" spans="3:4">
      <c r="C60" s="3473" t="s">
        <v>3442</v>
      </c>
      <c r="D60">
        <v>17.64</v>
      </c>
    </row>
    <row r="61" spans="3:4">
      <c r="C61" s="3473" t="s">
        <v>3443</v>
      </c>
      <c r="D61">
        <v>17.489999999999998</v>
      </c>
    </row>
    <row r="62" spans="3:4">
      <c r="C62" s="3473" t="s">
        <v>3444</v>
      </c>
      <c r="D62">
        <v>20.87</v>
      </c>
    </row>
    <row r="63" spans="3:4">
      <c r="C63" s="3473" t="s">
        <v>3445</v>
      </c>
      <c r="D63">
        <v>21.03</v>
      </c>
    </row>
    <row r="64" spans="3:4">
      <c r="C64" s="3473" t="s">
        <v>3446</v>
      </c>
      <c r="D64">
        <v>21.03</v>
      </c>
    </row>
    <row r="65" spans="3:4">
      <c r="C65" s="3473" t="s">
        <v>3447</v>
      </c>
      <c r="D65">
        <v>17.04</v>
      </c>
    </row>
    <row r="66" spans="3:4">
      <c r="C66" s="3473" t="s">
        <v>3448</v>
      </c>
      <c r="D66">
        <v>27.91</v>
      </c>
    </row>
    <row r="67" spans="3:4">
      <c r="C67" s="3473" t="s">
        <v>3449</v>
      </c>
      <c r="D67">
        <v>32.75</v>
      </c>
    </row>
    <row r="68" spans="3:4">
      <c r="C68" s="3473" t="s">
        <v>3450</v>
      </c>
      <c r="D68">
        <v>32.75</v>
      </c>
    </row>
    <row r="69" spans="3:4">
      <c r="C69" s="3473" t="s">
        <v>3451</v>
      </c>
      <c r="D69">
        <v>31.97</v>
      </c>
    </row>
    <row r="70" spans="3:4">
      <c r="C70" s="3473" t="s">
        <v>3452</v>
      </c>
      <c r="D70">
        <v>27.22</v>
      </c>
    </row>
    <row r="71" spans="3:4">
      <c r="C71" s="3473" t="s">
        <v>3453</v>
      </c>
      <c r="D71">
        <v>27.58</v>
      </c>
    </row>
    <row r="72" spans="3:4">
      <c r="C72" s="3473" t="s">
        <v>3454</v>
      </c>
      <c r="D72">
        <v>28.68</v>
      </c>
    </row>
    <row r="73" spans="3:4">
      <c r="C73" s="3473" t="s">
        <v>3455</v>
      </c>
      <c r="D73">
        <v>28.68</v>
      </c>
    </row>
    <row r="74" spans="3:4">
      <c r="C74" s="3473" t="s">
        <v>3456</v>
      </c>
      <c r="D74">
        <v>28.68</v>
      </c>
    </row>
    <row r="75" spans="3:4">
      <c r="C75" s="3473" t="s">
        <v>3457</v>
      </c>
      <c r="D75">
        <v>28.68</v>
      </c>
    </row>
    <row r="76" spans="3:4">
      <c r="C76" s="3473" t="s">
        <v>3458</v>
      </c>
      <c r="D76">
        <v>26.21</v>
      </c>
    </row>
    <row r="77" spans="3:4">
      <c r="C77" s="3473" t="s">
        <v>3459</v>
      </c>
    </row>
    <row r="78" spans="3:4">
      <c r="C78" s="3473" t="s">
        <v>3460</v>
      </c>
    </row>
    <row r="79" spans="3:4">
      <c r="C79" s="3473" t="s">
        <v>3461</v>
      </c>
    </row>
    <row r="80" spans="3:4">
      <c r="C80" s="3473" t="s">
        <v>3462</v>
      </c>
    </row>
    <row r="81" spans="3:3">
      <c r="C81" s="3473" t="s">
        <v>3463</v>
      </c>
    </row>
    <row r="82" spans="3:3">
      <c r="C82" s="3473" t="s">
        <v>3464</v>
      </c>
    </row>
    <row r="83" spans="3:3">
      <c r="C83" s="3473" t="s">
        <v>3465</v>
      </c>
    </row>
    <row r="84" spans="3:3">
      <c r="C84" s="3473" t="s">
        <v>3466</v>
      </c>
    </row>
    <row r="85" spans="3:3">
      <c r="C85" s="3473" t="s">
        <v>3467</v>
      </c>
    </row>
    <row r="86" spans="3:3">
      <c r="C86" s="3473" t="s">
        <v>3468</v>
      </c>
    </row>
    <row r="87" spans="3:3">
      <c r="C87" s="3473" t="s">
        <v>3469</v>
      </c>
    </row>
    <row r="88" spans="3:3">
      <c r="C88" s="3473" t="s">
        <v>3470</v>
      </c>
    </row>
    <row r="89" spans="3:3">
      <c r="C89" s="3473" t="s">
        <v>3471</v>
      </c>
    </row>
    <row r="90" spans="3:3">
      <c r="C90" s="3473" t="s">
        <v>3472</v>
      </c>
    </row>
    <row r="91" spans="3:3">
      <c r="C91" s="3473" t="s">
        <v>3473</v>
      </c>
    </row>
    <row r="92" spans="3:3">
      <c r="C92" s="3473" t="s">
        <v>3474</v>
      </c>
    </row>
  </sheetData>
  <phoneticPr fontId="134" type="noConversion"/>
  <pageMargins left="0.7" right="0.7" top="0.75" bottom="0.75" header="0.3" footer="0.3"/>
  <ignoredErrors>
    <ignoredError sqref="K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1125</v>
      </c>
      <c r="B1" s="1139"/>
      <c r="C1" s="1139"/>
      <c r="D1" s="1139"/>
      <c r="E1" s="1139"/>
      <c r="F1" s="1139"/>
      <c r="G1" s="1139"/>
      <c r="H1" s="1139"/>
      <c r="I1" s="1139"/>
      <c r="J1" s="1139"/>
      <c r="K1" s="1139"/>
      <c r="L1" s="1139"/>
      <c r="M1" s="1139"/>
      <c r="N1" s="1139"/>
      <c r="O1" s="1139"/>
      <c r="P1" s="1139"/>
    </row>
    <row r="2" spans="1:16" ht="15">
      <c r="A2" s="3556" t="s">
        <v>1126</v>
      </c>
      <c r="B2" s="3556"/>
      <c r="C2" s="3556"/>
      <c r="D2" s="796" t="s">
        <v>1102</v>
      </c>
      <c r="E2" s="1639" t="s">
        <v>1103</v>
      </c>
      <c r="F2" s="2659"/>
      <c r="G2" s="2650"/>
      <c r="H2" s="2651"/>
      <c r="I2" s="2325" t="s">
        <v>1127</v>
      </c>
      <c r="J2" s="2659"/>
      <c r="K2" s="2659"/>
      <c r="L2" s="2659"/>
      <c r="M2" s="2659"/>
      <c r="N2" s="2661"/>
      <c r="O2" s="2659"/>
      <c r="P2" s="2659"/>
    </row>
    <row r="3" spans="1:16" ht="15.75" thickBot="1">
      <c r="A3" s="3557" t="s">
        <v>1100</v>
      </c>
      <c r="B3" s="3557"/>
      <c r="C3" s="3557"/>
      <c r="D3" s="43">
        <f>'数据-基础表'!AY6</f>
        <v>9623.18</v>
      </c>
      <c r="E3" s="43">
        <f>'数据-基础表'!AZ5</f>
        <v>67265.709999999992</v>
      </c>
      <c r="F3" s="2659"/>
      <c r="G3" s="1145"/>
      <c r="H3" s="1026" t="s">
        <v>1101</v>
      </c>
      <c r="I3" s="855">
        <f>ROUND('数据-基础表'!B3/'数据-基础表'!A3,2)</f>
        <v>6.99</v>
      </c>
      <c r="J3" s="2659"/>
      <c r="K3" s="2659"/>
      <c r="L3" s="2659"/>
      <c r="M3" s="2659"/>
      <c r="N3" s="2661"/>
      <c r="O3" s="2659"/>
      <c r="P3" s="2659"/>
    </row>
    <row r="4" spans="1:16" ht="15">
      <c r="A4" s="3558"/>
      <c r="B4" s="3559"/>
      <c r="C4" s="3560"/>
      <c r="D4" s="1641" t="s">
        <v>1102</v>
      </c>
      <c r="E4" s="1642" t="s">
        <v>1103</v>
      </c>
      <c r="F4" s="2659"/>
      <c r="G4" s="2652" t="s">
        <v>1128</v>
      </c>
      <c r="H4" s="1026" t="s">
        <v>1108</v>
      </c>
      <c r="I4" s="855">
        <f>ROUND(SUMIF('数据-基础表'!I9:AS9,"地上",'数据-基础表'!I5:AS5)/'数据-基础表'!A3,2)</f>
        <v>5.95</v>
      </c>
      <c r="J4" s="2659"/>
      <c r="K4" s="2659"/>
      <c r="L4" s="2659"/>
      <c r="M4" s="2659"/>
      <c r="N4" s="2661"/>
      <c r="O4" s="2659"/>
      <c r="P4" s="2659"/>
    </row>
    <row r="5" spans="1:16">
      <c r="A5" s="44" t="s">
        <v>1104</v>
      </c>
      <c r="B5" s="3561" t="s">
        <v>1105</v>
      </c>
      <c r="C5" s="3561"/>
      <c r="D5" s="45">
        <f>ROUND($D$3*E5/$E$3,2)</f>
        <v>0</v>
      </c>
      <c r="E5" s="46">
        <f>SUMIF('数据-基础表'!$11:$11,"住宅",'数据-基础表'!$5:$5)</f>
        <v>0</v>
      </c>
      <c r="F5" s="2659"/>
      <c r="G5" s="1145"/>
      <c r="H5" s="1026" t="s">
        <v>1101</v>
      </c>
      <c r="I5" s="855">
        <f>ROUND(E31/D31,2)</f>
        <v>6.99</v>
      </c>
      <c r="J5" s="2659"/>
      <c r="K5" s="2659"/>
      <c r="L5" s="2659"/>
      <c r="M5" s="2659"/>
      <c r="N5" s="2659"/>
      <c r="O5" s="2659"/>
      <c r="P5" s="2659"/>
    </row>
    <row r="6" spans="1:16" ht="15" thickBot="1">
      <c r="A6" s="1644"/>
      <c r="B6" s="3561" t="s">
        <v>1106</v>
      </c>
      <c r="C6" s="3561"/>
      <c r="D6" s="45">
        <f>ROUND($D$3*E6/$E$3,2)</f>
        <v>9623.18</v>
      </c>
      <c r="E6" s="46">
        <f>E3-E5</f>
        <v>67265.709999999992</v>
      </c>
      <c r="F6" s="2659"/>
      <c r="G6" s="2653" t="s">
        <v>1107</v>
      </c>
      <c r="H6" s="1146" t="s">
        <v>1108</v>
      </c>
      <c r="I6" s="2654">
        <f>ROUND(F31/D31,2)</f>
        <v>5.95</v>
      </c>
      <c r="J6" s="2659"/>
      <c r="K6" s="2659"/>
      <c r="L6" s="2659"/>
      <c r="M6" s="2659"/>
      <c r="N6" s="2659"/>
      <c r="O6" s="2659"/>
      <c r="P6" s="2659"/>
    </row>
    <row r="7" spans="1:16" ht="15.75" thickBot="1">
      <c r="A7" s="3553"/>
      <c r="B7" s="3554"/>
      <c r="C7" s="3555"/>
      <c r="D7" s="1641" t="s">
        <v>1102</v>
      </c>
      <c r="E7" s="1645" t="s">
        <v>1109</v>
      </c>
      <c r="F7" s="2659"/>
      <c r="G7" s="2655" t="s">
        <v>1110</v>
      </c>
      <c r="H7" s="2656"/>
      <c r="I7" s="2657"/>
      <c r="J7" s="2659"/>
      <c r="K7" s="2659"/>
      <c r="L7" s="2659"/>
      <c r="M7" s="2659"/>
      <c r="N7" s="2659"/>
      <c r="O7" s="2659"/>
      <c r="P7" s="2659"/>
    </row>
    <row r="8" spans="1:16">
      <c r="A8" s="44" t="s">
        <v>1111</v>
      </c>
      <c r="B8" s="47" t="s">
        <v>1112</v>
      </c>
      <c r="C8" s="45" t="s">
        <v>1113</v>
      </c>
      <c r="D8" s="45">
        <f t="shared" ref="D8:D15" si="0">ROUND($D$3*E8/$E$3,2)</f>
        <v>8184.7</v>
      </c>
      <c r="E8" s="48">
        <f>SUMIF('数据-基础表'!BB10:BK10,"地上",'数据-基础表'!BB5:BK5)</f>
        <v>57210.759999999995</v>
      </c>
      <c r="F8" s="2659"/>
      <c r="G8" s="2660"/>
      <c r="H8" s="2660"/>
      <c r="I8" s="2659"/>
      <c r="J8" s="2659"/>
      <c r="K8" s="2659"/>
      <c r="L8" s="2659"/>
      <c r="M8" s="2659"/>
      <c r="N8" s="2659"/>
      <c r="O8" s="2659"/>
      <c r="P8" s="2659"/>
    </row>
    <row r="9" spans="1:16">
      <c r="A9" s="1646"/>
      <c r="B9" s="1647"/>
      <c r="C9" s="45" t="s">
        <v>1114</v>
      </c>
      <c r="D9" s="45">
        <f t="shared" si="0"/>
        <v>0</v>
      </c>
      <c r="E9" s="49">
        <v>0</v>
      </c>
      <c r="F9" s="2659"/>
      <c r="G9" s="2660"/>
      <c r="H9" s="2660"/>
      <c r="I9" s="2659"/>
      <c r="J9" s="2659"/>
      <c r="K9" s="2659"/>
      <c r="L9" s="2659"/>
      <c r="M9" s="2659"/>
      <c r="N9" s="2659"/>
      <c r="O9" s="2659"/>
      <c r="P9" s="2659"/>
    </row>
    <row r="10" spans="1:16">
      <c r="A10" s="1646"/>
      <c r="B10" s="1647"/>
      <c r="C10" s="45" t="s">
        <v>1123</v>
      </c>
      <c r="D10" s="45">
        <f t="shared" si="0"/>
        <v>566.84</v>
      </c>
      <c r="E10" s="48">
        <f>SUMPRODUCT(('数据-基础表'!BB10:BK10="地下")*('数据-基础表'!BB11:BK11="商业")*('数据-基础表'!BB5:BK5))</f>
        <v>3962.1600000000008</v>
      </c>
      <c r="F10" s="2659"/>
      <c r="G10" s="2660"/>
      <c r="H10" s="2660"/>
      <c r="I10" s="2659"/>
      <c r="J10" s="2659"/>
      <c r="K10" s="2659"/>
      <c r="L10" s="2659"/>
      <c r="M10" s="2659"/>
      <c r="N10" s="2659"/>
      <c r="O10" s="2659"/>
      <c r="P10" s="2659"/>
    </row>
    <row r="11" spans="1:16">
      <c r="A11" s="1646"/>
      <c r="B11" s="1647"/>
      <c r="C11" s="45" t="s">
        <v>1115</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1116</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1117</v>
      </c>
      <c r="D13" s="45">
        <f t="shared" si="0"/>
        <v>871.65</v>
      </c>
      <c r="E13" s="48">
        <f>SUMPRODUCT(('数据-基础表'!BB10:BK10="地下")*('数据-基础表'!BB11:BK11="车库")*('数据-基础表'!BB5:BK5))</f>
        <v>6092.7899999999991</v>
      </c>
      <c r="F13" s="2659"/>
      <c r="G13" s="2660"/>
      <c r="H13" s="2660"/>
      <c r="I13" s="2659"/>
      <c r="J13" s="2659"/>
      <c r="K13" s="2659"/>
      <c r="L13" s="2659"/>
      <c r="M13" s="2659"/>
      <c r="N13" s="2659"/>
      <c r="O13" s="2659"/>
      <c r="P13" s="2659"/>
    </row>
    <row r="14" spans="1:16">
      <c r="A14" s="1646"/>
      <c r="B14" s="1647"/>
      <c r="C14" s="45" t="s">
        <v>1129</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1124</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1118</v>
      </c>
      <c r="D16" s="47">
        <f>SUM(D8:D15)</f>
        <v>9623.1899999999987</v>
      </c>
      <c r="E16" s="50">
        <f>SUM(E8:E15)</f>
        <v>67265.709999999992</v>
      </c>
      <c r="F16" s="2659"/>
      <c r="G16" s="2660"/>
      <c r="H16" s="1648" t="s">
        <v>1130</v>
      </c>
      <c r="I16" s="1649"/>
      <c r="J16" s="1139"/>
      <c r="K16" s="3550" t="s">
        <v>1130</v>
      </c>
      <c r="L16" s="3551"/>
      <c r="M16" s="3551"/>
      <c r="N16" s="3551"/>
      <c r="O16" s="3551"/>
      <c r="P16" s="3552"/>
    </row>
    <row r="17" spans="1:19" ht="15">
      <c r="A17" s="1650" t="s">
        <v>1131</v>
      </c>
      <c r="B17" s="1651" t="s">
        <v>1132</v>
      </c>
      <c r="C17" s="1652" t="s">
        <v>1133</v>
      </c>
      <c r="D17" s="1653" t="s">
        <v>1121</v>
      </c>
      <c r="E17" s="1654" t="s">
        <v>1122</v>
      </c>
      <c r="F17" s="1655"/>
      <c r="G17" s="1656"/>
      <c r="H17" s="1657" t="s">
        <v>1134</v>
      </c>
      <c r="I17" s="1658" t="s">
        <v>1119</v>
      </c>
      <c r="J17" s="1139"/>
      <c r="K17" s="3547" t="s">
        <v>1135</v>
      </c>
      <c r="L17" s="3548"/>
      <c r="M17" s="3549"/>
      <c r="N17" s="3547" t="s">
        <v>1136</v>
      </c>
      <c r="O17" s="3548"/>
      <c r="P17" s="3549"/>
      <c r="R17" s="1640" t="s">
        <v>1137</v>
      </c>
      <c r="S17" s="56"/>
    </row>
    <row r="18" spans="1:19" ht="15">
      <c r="A18" s="1646"/>
      <c r="B18" s="1659"/>
      <c r="C18" s="1660"/>
      <c r="D18" s="1661"/>
      <c r="E18" s="1662" t="s">
        <v>1138</v>
      </c>
      <c r="F18" s="1663" t="s">
        <v>1139</v>
      </c>
      <c r="G18" s="1664" t="s">
        <v>1140</v>
      </c>
      <c r="H18" s="1041" t="s">
        <v>1141</v>
      </c>
      <c r="I18" s="1665" t="s">
        <v>1142</v>
      </c>
      <c r="J18" s="1139"/>
      <c r="K18" s="1041" t="s">
        <v>1143</v>
      </c>
      <c r="L18" s="1666" t="s">
        <v>1144</v>
      </c>
      <c r="M18" s="855" t="s">
        <v>1145</v>
      </c>
      <c r="N18" s="1041" t="s">
        <v>1143</v>
      </c>
      <c r="O18" s="1666" t="s">
        <v>1144</v>
      </c>
      <c r="P18" s="855" t="s">
        <v>1145</v>
      </c>
      <c r="R18" s="1026" t="s">
        <v>1146</v>
      </c>
      <c r="S18" s="1026" t="s">
        <v>1147</v>
      </c>
    </row>
    <row r="19" spans="1:19">
      <c r="A19" s="1667"/>
      <c r="B19" s="47" t="s">
        <v>1120</v>
      </c>
      <c r="C19" s="3415" t="s">
        <v>3498</v>
      </c>
      <c r="D19" s="45">
        <f>ROUND($D$3*E19/$E$3,2)</f>
        <v>566.84</v>
      </c>
      <c r="E19" s="53">
        <f t="shared" ref="E19:E26" si="1">SUM(F19:G19)</f>
        <v>3962.1600000000008</v>
      </c>
      <c r="F19" s="2795"/>
      <c r="G19" s="2795">
        <f>'数据-基础表'!I13</f>
        <v>3962.1600000000008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566.84</v>
      </c>
      <c r="S19" s="1027">
        <f t="shared" si="5"/>
        <v>3962.1600000000008</v>
      </c>
    </row>
    <row r="20" spans="1:19">
      <c r="A20" s="1670"/>
      <c r="B20" s="47" t="s">
        <v>1148</v>
      </c>
      <c r="C20" s="3415" t="s">
        <v>3500</v>
      </c>
      <c r="D20" s="45">
        <f t="shared" ref="D20:D26" si="6">ROUND($D$3*E20/$E$3,2)</f>
        <v>720.88</v>
      </c>
      <c r="E20" s="53">
        <f t="shared" si="1"/>
        <v>5038.8999999999996</v>
      </c>
      <c r="F20" s="2795">
        <f>面积表!K5</f>
        <v>5038.8999999999996</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720.88</v>
      </c>
      <c r="S20" s="1027">
        <f t="shared" si="5"/>
        <v>5038.8999999999996</v>
      </c>
    </row>
    <row r="21" spans="1:19">
      <c r="A21" s="1670"/>
      <c r="B21" s="47" t="s">
        <v>1148</v>
      </c>
      <c r="C21" s="3415" t="s">
        <v>3496</v>
      </c>
      <c r="D21" s="45">
        <f t="shared" si="6"/>
        <v>6733.47</v>
      </c>
      <c r="E21" s="53">
        <f t="shared" si="1"/>
        <v>47066.759999999995</v>
      </c>
      <c r="F21" s="2795">
        <f>'数据-基础表'!K13-'数据-汇总表'!F20</f>
        <v>47066.759999999995</v>
      </c>
      <c r="G21" s="2795"/>
      <c r="H21" s="670">
        <f t="shared" si="7"/>
        <v>0</v>
      </c>
      <c r="I21" s="48">
        <f t="shared" si="2"/>
        <v>0</v>
      </c>
      <c r="J21" s="1139"/>
      <c r="K21" s="1138">
        <f t="shared" si="3"/>
        <v>0</v>
      </c>
      <c r="L21" s="1026">
        <f t="shared" si="4"/>
        <v>0</v>
      </c>
      <c r="M21" s="1150">
        <f t="shared" si="8"/>
        <v>0</v>
      </c>
      <c r="N21" s="1668"/>
      <c r="O21" s="1669"/>
      <c r="P21" s="1150">
        <f t="shared" si="9"/>
        <v>0</v>
      </c>
      <c r="R21" s="1026">
        <f t="shared" si="5"/>
        <v>6733.47</v>
      </c>
      <c r="S21" s="1027">
        <f t="shared" si="5"/>
        <v>47066.759999999995</v>
      </c>
    </row>
    <row r="22" spans="1:19">
      <c r="A22" s="1670"/>
      <c r="B22" s="47" t="s">
        <v>1148</v>
      </c>
      <c r="C22" s="3416" t="s">
        <v>3501</v>
      </c>
      <c r="D22" s="45">
        <f t="shared" si="6"/>
        <v>685.74</v>
      </c>
      <c r="E22" s="53">
        <f t="shared" si="1"/>
        <v>4793.3200000000015</v>
      </c>
      <c r="F22" s="2795">
        <f>'数据-基础表'!M13</f>
        <v>4793.3200000000015</v>
      </c>
      <c r="G22" s="2795"/>
      <c r="H22" s="670">
        <f t="shared" si="7"/>
        <v>0</v>
      </c>
      <c r="I22" s="48">
        <f t="shared" si="2"/>
        <v>0</v>
      </c>
      <c r="J22" s="1139"/>
      <c r="K22" s="1138">
        <f t="shared" si="3"/>
        <v>0</v>
      </c>
      <c r="L22" s="1026">
        <f t="shared" si="4"/>
        <v>0</v>
      </c>
      <c r="M22" s="1150">
        <f t="shared" si="8"/>
        <v>0</v>
      </c>
      <c r="N22" s="1668"/>
      <c r="O22" s="1669"/>
      <c r="P22" s="1150">
        <f t="shared" si="9"/>
        <v>0</v>
      </c>
      <c r="R22" s="1026">
        <f t="shared" si="5"/>
        <v>685.74</v>
      </c>
      <c r="S22" s="1027">
        <f t="shared" si="5"/>
        <v>4793.3200000000015</v>
      </c>
    </row>
    <row r="23" spans="1:19">
      <c r="A23" s="1670"/>
      <c r="B23" s="47" t="s">
        <v>1148</v>
      </c>
      <c r="C23" s="3416" t="s">
        <v>3502</v>
      </c>
      <c r="D23" s="45">
        <f>ROUND($D$3*E23/$E$3,2)</f>
        <v>916.25</v>
      </c>
      <c r="E23" s="53">
        <f>SUM(F23:G23)</f>
        <v>6404.5699999999988</v>
      </c>
      <c r="F23" s="2795">
        <f>'数据-基础表'!Q13</f>
        <v>311.78000000000003</v>
      </c>
      <c r="G23" s="2795">
        <f>'数据-基础表'!O13</f>
        <v>6092.7899999999991</v>
      </c>
      <c r="H23" s="670">
        <f>ROUND($D$3*I23/$E$3,2)</f>
        <v>0</v>
      </c>
      <c r="I23" s="48">
        <f t="shared" si="2"/>
        <v>0</v>
      </c>
      <c r="J23" s="1139"/>
      <c r="K23" s="1138">
        <f t="shared" si="3"/>
        <v>0</v>
      </c>
      <c r="L23" s="1026">
        <f t="shared" si="4"/>
        <v>0</v>
      </c>
      <c r="M23" s="1150">
        <f t="shared" si="8"/>
        <v>0</v>
      </c>
      <c r="N23" s="1668"/>
      <c r="O23" s="1669"/>
      <c r="P23" s="1150">
        <f t="shared" si="9"/>
        <v>0</v>
      </c>
      <c r="R23" s="1026">
        <f t="shared" si="5"/>
        <v>916.25</v>
      </c>
      <c r="S23" s="1027">
        <f t="shared" si="5"/>
        <v>6404.5699999999988</v>
      </c>
    </row>
    <row r="24" spans="1:19">
      <c r="A24" s="1670"/>
      <c r="B24" s="47" t="s">
        <v>1148</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1148</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1149</v>
      </c>
      <c r="D27" s="1140">
        <f>SUM(D19:D26)</f>
        <v>9623.18</v>
      </c>
      <c r="E27" s="1141">
        <f>IF(SUM(E19:E26)='数据-基础表'!BA5,SUM(E19:E26),IF(F27="地上面积有误","面积有误","地下面积有误"))</f>
        <v>67265.709999999992</v>
      </c>
      <c r="F27" s="1140">
        <f>IF(SUM(F19:F26)=E8,SUM(F19:F26),"地上面积有误")</f>
        <v>57210.759999999995</v>
      </c>
      <c r="G27" s="1142">
        <f>SUM(G19:G26)</f>
        <v>10054.950000000001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9623.18</v>
      </c>
      <c r="S27" s="1026">
        <f>IF(SUM(S19:S26)=$E$3,SUM(S19:S26),SUM(S19:S26)&amp;"误差"&amp;ROUND(SUM(S19:S26)-E3,2))</f>
        <v>67265.709999999992</v>
      </c>
    </row>
    <row r="28" spans="1:19">
      <c r="A28" s="1670"/>
      <c r="B28" s="47" t="s">
        <v>1150</v>
      </c>
      <c r="C28" s="1038" t="s">
        <v>1151</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1150</v>
      </c>
      <c r="C29" s="1674" t="s">
        <v>1152</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1149</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1153</v>
      </c>
      <c r="D31" s="676">
        <f>D27+D30</f>
        <v>9623.18</v>
      </c>
      <c r="E31" s="676">
        <f>E27+E30</f>
        <v>67265.709999999992</v>
      </c>
      <c r="F31" s="677">
        <f>F27+F30</f>
        <v>57210.759999999995</v>
      </c>
      <c r="G31" s="678">
        <f>G27+G30</f>
        <v>10054.950000000001</v>
      </c>
      <c r="H31" s="2659"/>
      <c r="I31" s="2659"/>
      <c r="J31" s="2659"/>
      <c r="K31" s="2659"/>
      <c r="L31" s="2659"/>
      <c r="M31" s="2659"/>
      <c r="N31" s="2659"/>
      <c r="O31" s="2659"/>
      <c r="P31" s="2659"/>
    </row>
    <row r="32" spans="1:19">
      <c r="A32" s="1643"/>
      <c r="B32" s="1643" t="s">
        <v>1154</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1155</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1156</v>
      </c>
      <c r="B2" s="1045">
        <f>项目基本情况!D3</f>
        <v>45142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1157</v>
      </c>
      <c r="B4" s="1688"/>
      <c r="C4" s="1689"/>
      <c r="D4" s="1690"/>
      <c r="E4" s="1689" t="s">
        <v>1158</v>
      </c>
      <c r="F4" s="1689"/>
      <c r="G4" s="1689"/>
      <c r="H4" s="1689"/>
      <c r="I4" s="1689"/>
      <c r="J4" s="1691"/>
      <c r="K4" s="1692"/>
      <c r="L4" s="1693"/>
      <c r="M4" s="1689"/>
      <c r="N4" s="1689" t="s">
        <v>1159</v>
      </c>
      <c r="O4" s="1689"/>
      <c r="P4" s="1689"/>
      <c r="Q4" s="1689"/>
      <c r="R4" s="1689"/>
      <c r="S4" s="1691"/>
      <c r="T4" s="2658" t="str">
        <f>'数据-汇总表'!I17</f>
        <v>按面积比例</v>
      </c>
      <c r="U4" s="1688" t="s">
        <v>1160</v>
      </c>
      <c r="V4" s="1689"/>
      <c r="W4" s="1689"/>
      <c r="X4" s="1689"/>
      <c r="Y4" s="1691"/>
      <c r="Z4" s="1652" t="s">
        <v>1161</v>
      </c>
      <c r="AA4" s="1652"/>
      <c r="AB4" s="1652"/>
      <c r="AC4" s="1652"/>
      <c r="AD4" s="1652"/>
      <c r="AE4" s="1650" t="s">
        <v>1162</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1163</v>
      </c>
      <c r="B5" s="1696" t="s">
        <v>1164</v>
      </c>
      <c r="C5" s="1697" t="s">
        <v>1165</v>
      </c>
      <c r="D5" s="1698" t="s">
        <v>1166</v>
      </c>
      <c r="E5" s="1047" t="s">
        <v>1167</v>
      </c>
      <c r="F5" s="1699" t="s">
        <v>1168</v>
      </c>
      <c r="G5" s="1047" t="s">
        <v>1169</v>
      </c>
      <c r="H5" s="1047" t="s">
        <v>1170</v>
      </c>
      <c r="I5" s="1047" t="s">
        <v>1171</v>
      </c>
      <c r="J5" s="1700" t="s">
        <v>1172</v>
      </c>
      <c r="K5" s="1701" t="s">
        <v>1173</v>
      </c>
      <c r="L5" s="1702" t="s">
        <v>1174</v>
      </c>
      <c r="M5" s="1703" t="s">
        <v>1175</v>
      </c>
      <c r="N5" s="1704" t="s">
        <v>3504</v>
      </c>
      <c r="O5" s="1702" t="s">
        <v>1176</v>
      </c>
      <c r="P5" s="1705" t="s">
        <v>1177</v>
      </c>
      <c r="Q5" s="61" t="s">
        <v>1178</v>
      </c>
      <c r="R5" s="1706" t="s">
        <v>1179</v>
      </c>
      <c r="S5" s="1707" t="s">
        <v>1180</v>
      </c>
      <c r="T5" s="1708" t="s">
        <v>1181</v>
      </c>
      <c r="U5" s="1046" t="s">
        <v>1182</v>
      </c>
      <c r="V5" s="1047" t="s">
        <v>1183</v>
      </c>
      <c r="W5" s="1047" t="s">
        <v>1184</v>
      </c>
      <c r="X5" s="63"/>
      <c r="Y5" s="62" t="s">
        <v>1185</v>
      </c>
      <c r="Z5" s="1709" t="s">
        <v>1182</v>
      </c>
      <c r="AA5" s="1047" t="s">
        <v>1183</v>
      </c>
      <c r="AB5" s="1047" t="s">
        <v>1184</v>
      </c>
      <c r="AC5" s="63"/>
      <c r="AD5" s="63" t="s">
        <v>1185</v>
      </c>
      <c r="AE5" s="1046" t="s">
        <v>1186</v>
      </c>
      <c r="AF5" s="1047" t="s">
        <v>1187</v>
      </c>
      <c r="AG5" s="62" t="s">
        <v>1188</v>
      </c>
      <c r="AH5" s="1046" t="s">
        <v>1189</v>
      </c>
      <c r="AI5" s="1709" t="s">
        <v>1190</v>
      </c>
      <c r="AJ5" s="1709" t="s">
        <v>1191</v>
      </c>
      <c r="AK5" s="1047" t="s">
        <v>1192</v>
      </c>
      <c r="AL5" s="1047" t="s">
        <v>1193</v>
      </c>
      <c r="AM5" s="62" t="s">
        <v>1194</v>
      </c>
      <c r="AN5" s="1710" t="s">
        <v>1195</v>
      </c>
      <c r="AO5" s="1562" t="s">
        <v>1196</v>
      </c>
      <c r="AP5" s="1028" t="s">
        <v>1197</v>
      </c>
      <c r="AQ5" s="1711" t="s">
        <v>1198</v>
      </c>
      <c r="AR5" s="1711"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地下商业</v>
      </c>
      <c r="B6" s="1713" t="str">
        <f>IF(A6=0,"","经营性")</f>
        <v>经营性</v>
      </c>
      <c r="C6" s="1714" t="s">
        <v>668</v>
      </c>
      <c r="D6" s="858">
        <f>SUMIF(项目基本情况!C$12:I$12,C6,项目基本情况!C$14:I$14)</f>
        <v>40</v>
      </c>
      <c r="E6" s="857">
        <f>IF(B6="","",SUMIF(项目基本情况!C$12:I$12,C6,项目基本情况!C$13:I$13))</f>
        <v>52318</v>
      </c>
      <c r="F6" s="64">
        <f>SUMIF(项目基本情况!C$12:I$12,C6,项目基本情况!C$15:I$15)</f>
        <v>19.66</v>
      </c>
      <c r="G6" s="65">
        <f>IF(ISERROR(ROUND(POWER(1+H6,D6-F6)*(POWER(1+H6,F6)-1)/(POWER(1+H6,D6)-1),3)),0,ROUND(POWER(1+H6,D6-F6)*(POWER(1+H6,F6)-1)/(POWER(1+H6,D6)-1),3))</f>
        <v>0.71899999999999997</v>
      </c>
      <c r="H6" s="732">
        <v>0.05</v>
      </c>
      <c r="I6" s="732">
        <v>5.5E-2</v>
      </c>
      <c r="J6" s="66">
        <v>7.0000000000000007E-2</v>
      </c>
      <c r="K6" s="1030">
        <f>SUMIF('数据-汇总表'!C$19:C$33,A6,'数据-汇总表'!E$19:E$33)</f>
        <v>3962.1600000000008</v>
      </c>
      <c r="L6" s="733">
        <v>5500</v>
      </c>
      <c r="M6" s="67">
        <f t="shared" ref="M6:M14" si="0">ROUND(K6*L6/10000,0)</f>
        <v>2179</v>
      </c>
      <c r="N6" s="731">
        <f>N21</f>
        <v>0.8</v>
      </c>
      <c r="O6" s="67" t="str">
        <f>IF($N$5="成新度","——",ROUND(M6*N6,0))</f>
        <v>——</v>
      </c>
      <c r="P6" s="68" t="str">
        <f>IF($N$5="成新度","——",M6-O6)</f>
        <v>——</v>
      </c>
      <c r="Q6" s="734">
        <v>0.2</v>
      </c>
      <c r="R6" s="69">
        <f ca="1">SUMIF('数据-汇总表'!C$19:C$33,A6,'数据-汇总表'!R$19:R$27)</f>
        <v>566.84</v>
      </c>
      <c r="S6" s="51">
        <f>IF('数据-汇总表'!$I$17="按面积比例",SUMIF('数据-汇总表'!C$19:C$33,A6,'数据-汇总表'!K$19:K$33),SUMIF('数据-汇总表'!C$19:C$33,A6,'数据-汇总表'!N$19:N$33))</f>
        <v>0</v>
      </c>
      <c r="T6" s="1172">
        <f>ROUND($L$14*S6/10000,0)</f>
        <v>0</v>
      </c>
      <c r="U6" s="3426">
        <v>6</v>
      </c>
      <c r="V6" s="70">
        <v>2.5000000000000001E-2</v>
      </c>
      <c r="W6" s="70">
        <v>0.1</v>
      </c>
      <c r="X6" s="1040"/>
      <c r="Y6" s="71">
        <f>N6</f>
        <v>0.8</v>
      </c>
      <c r="Z6" s="72"/>
      <c r="AA6" s="66"/>
      <c r="AB6" s="66"/>
      <c r="AC6" s="1040"/>
      <c r="AD6" s="73"/>
      <c r="AE6" s="1041">
        <f ca="1">IF(AN6="",0,SUMIF(INDIRECT("'"&amp;AN6&amp;"'"&amp;"!E:E"),$AE$5,INDIRECT("'"&amp;AN6&amp;"'"&amp;"!F:F")))</f>
        <v>19.66</v>
      </c>
      <c r="AF6" s="1348"/>
      <c r="AG6" s="138">
        <f>IF(AF6="",0,AE6-AF6)</f>
        <v>0</v>
      </c>
      <c r="AH6" s="74"/>
      <c r="AI6" s="76">
        <v>365</v>
      </c>
      <c r="AJ6" s="77"/>
      <c r="AK6" s="78">
        <v>5.0000000000000001E-3</v>
      </c>
      <c r="AL6" s="79">
        <v>1E-3</v>
      </c>
      <c r="AM6" s="80">
        <v>5.0000000000000001E-3</v>
      </c>
      <c r="AN6" s="1715" t="s">
        <v>3517</v>
      </c>
      <c r="AO6" s="52">
        <f ca="1">SUMIF(INDIRECT("'"&amp;AN6&amp;"'"&amp;"!A:A"),"总价",INDIRECT("'"&amp;AN6&amp;"'"&amp;"!B:B"))</f>
        <v>9572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1层商业（办公）</v>
      </c>
      <c r="B7" s="1713" t="str">
        <f t="shared" ref="B7:B13" si="1">IF(A7=0,"","经营性")</f>
        <v>经营性</v>
      </c>
      <c r="C7" s="1714" t="s">
        <v>21</v>
      </c>
      <c r="D7" s="858">
        <f>SUMIF(项目基本情况!C$12:I$12,C7,项目基本情况!C$14:I$14)</f>
        <v>50</v>
      </c>
      <c r="E7" s="857">
        <f>IF(B7="","",SUMIF(项目基本情况!C$12:I$12,C7,项目基本情况!C$13:I$13))</f>
        <v>55971</v>
      </c>
      <c r="F7" s="64">
        <f>SUMIF(项目基本情况!C$12:I$12,C7,项目基本情况!C$15:I$15)</f>
        <v>29.66</v>
      </c>
      <c r="G7" s="65">
        <f t="shared" ref="G7:G11" si="2">IF(ISERROR(ROUND(POWER(1+H7,D7-F7)*(POWER(1+H7,F7)-1)/(POWER(1+H7,D7)-1),3)),0,ROUND(POWER(1+H7,D7-F7)*(POWER(1+H7,F7)-1)/(POWER(1+H7,D7)-1),3))</f>
        <v>0.83799999999999997</v>
      </c>
      <c r="H7" s="732">
        <v>0.05</v>
      </c>
      <c r="I7" s="732">
        <v>0.06</v>
      </c>
      <c r="J7" s="66">
        <v>7.0000000000000007E-2</v>
      </c>
      <c r="K7" s="1030">
        <f>SUMIF('数据-汇总表'!C$19:C$33,A7,'数据-汇总表'!E$19:E$33)</f>
        <v>5038.8999999999996</v>
      </c>
      <c r="L7" s="733">
        <v>5500</v>
      </c>
      <c r="M7" s="67">
        <f t="shared" si="0"/>
        <v>2771</v>
      </c>
      <c r="N7" s="731">
        <f>N6</f>
        <v>0.8</v>
      </c>
      <c r="O7" s="67" t="str">
        <f t="shared" ref="O7:O14" si="3">IF($N$5="成新度","——",ROUND(M7*N7,0))</f>
        <v>——</v>
      </c>
      <c r="P7" s="68" t="str">
        <f t="shared" ref="P7:P14" si="4">IF($N$5="成新度","——",M7-O7)</f>
        <v>——</v>
      </c>
      <c r="Q7" s="734">
        <v>0.25</v>
      </c>
      <c r="R7" s="69">
        <f ca="1">SUMIF('数据-汇总表'!C$19:C$33,A7,'数据-汇总表'!R$19:R$27)</f>
        <v>720.88</v>
      </c>
      <c r="S7" s="51">
        <f>IF('数据-汇总表'!$I$17="按面积比例",SUMIF('数据-汇总表'!C$19:C$33,A7,'数据-汇总表'!K$19:K$33),SUMIF('数据-汇总表'!C$19:C$33,A7,'数据-汇总表'!N$19:N$33))</f>
        <v>0</v>
      </c>
      <c r="T7" s="1172">
        <f t="shared" ref="T7:T13" si="5">ROUND($L$14*S7/10000,0)</f>
        <v>0</v>
      </c>
      <c r="U7" s="3426">
        <v>13</v>
      </c>
      <c r="V7" s="70">
        <v>2.5000000000000001E-2</v>
      </c>
      <c r="W7" s="70">
        <v>0.1</v>
      </c>
      <c r="X7" s="1040"/>
      <c r="Y7" s="71">
        <f t="shared" ref="Y7:Y10" si="6">N7</f>
        <v>0.8</v>
      </c>
      <c r="Z7" s="72"/>
      <c r="AA7" s="66"/>
      <c r="AB7" s="66"/>
      <c r="AC7" s="1040"/>
      <c r="AD7" s="73"/>
      <c r="AE7" s="1041">
        <f t="shared" ref="AE7:AE13" ca="1" si="7">IF(AN7="",0,SUMIF(INDIRECT("'"&amp;AN7&amp;"'"&amp;"!E:E"),$AE$5,INDIRECT("'"&amp;AN7&amp;"'"&amp;"!F:F")))</f>
        <v>29.66</v>
      </c>
      <c r="AF7" s="1348"/>
      <c r="AG7" s="138">
        <f t="shared" ref="AG7:AG13" si="8">IF(AF7="",0,AE7-AF7)</f>
        <v>0</v>
      </c>
      <c r="AH7" s="74"/>
      <c r="AI7" s="76">
        <v>365</v>
      </c>
      <c r="AJ7" s="77"/>
      <c r="AK7" s="78">
        <v>5.0000000000000001E-3</v>
      </c>
      <c r="AL7" s="79">
        <v>1E-3</v>
      </c>
      <c r="AM7" s="80">
        <v>5.0000000000000001E-3</v>
      </c>
      <c r="AN7" s="1715" t="s">
        <v>3514</v>
      </c>
      <c r="AO7" s="52">
        <f t="shared" ref="AO7:AO13" ca="1" si="9">SUMIF(INDIRECT("'"&amp;AN7&amp;"'"&amp;"!A:A"),"总价",INDIRECT("'"&amp;AN7&amp;"'"&amp;"!B:B"))</f>
        <v>31866</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办公</v>
      </c>
      <c r="B8" s="1713" t="str">
        <f t="shared" si="1"/>
        <v>经营性</v>
      </c>
      <c r="C8" s="1714" t="s">
        <v>21</v>
      </c>
      <c r="D8" s="858">
        <f>SUMIF(项目基本情况!C$12:I$12,C8,项目基本情况!C$14:I$14)</f>
        <v>50</v>
      </c>
      <c r="E8" s="857">
        <f>IF(B8="","",SUMIF(项目基本情况!C$12:I$12,C8,项目基本情况!C$13:I$13))</f>
        <v>55971</v>
      </c>
      <c r="F8" s="64">
        <f>SUMIF(项目基本情况!C$12:I$12,C8,项目基本情况!C$15:I$15)</f>
        <v>29.66</v>
      </c>
      <c r="G8" s="65">
        <f t="shared" si="2"/>
        <v>0.83799999999999997</v>
      </c>
      <c r="H8" s="732">
        <v>0.05</v>
      </c>
      <c r="I8" s="732">
        <v>5.5E-2</v>
      </c>
      <c r="J8" s="66">
        <v>7.0000000000000007E-2</v>
      </c>
      <c r="K8" s="1030">
        <f>SUMIF('数据-汇总表'!C$19:C$33,A8,'数据-汇总表'!E$19:E$33)</f>
        <v>47066.759999999995</v>
      </c>
      <c r="L8" s="733">
        <v>5500</v>
      </c>
      <c r="M8" s="67">
        <f>ROUND(K8*L8/10000,0)</f>
        <v>25887</v>
      </c>
      <c r="N8" s="731">
        <f>N6</f>
        <v>0.8</v>
      </c>
      <c r="O8" s="67" t="str">
        <f t="shared" si="3"/>
        <v>——</v>
      </c>
      <c r="P8" s="68" t="str">
        <f t="shared" si="4"/>
        <v>——</v>
      </c>
      <c r="Q8" s="734">
        <v>0.2</v>
      </c>
      <c r="R8" s="69">
        <f ca="1">SUMIF('数据-汇总表'!C$19:C$33,A8,'数据-汇总表'!R$19:R$27)</f>
        <v>6733.47</v>
      </c>
      <c r="S8" s="51">
        <f>IF('数据-汇总表'!$I$17="按面积比例",SUMIF('数据-汇总表'!C$19:C$33,A8,'数据-汇总表'!K$19:K$33),SUMIF('数据-汇总表'!C$19:C$33,A8,'数据-汇总表'!N$19:N$33))</f>
        <v>0</v>
      </c>
      <c r="T8" s="1172">
        <f t="shared" si="5"/>
        <v>0</v>
      </c>
      <c r="U8" s="3427">
        <v>11</v>
      </c>
      <c r="V8" s="735">
        <v>2.5000000000000001E-2</v>
      </c>
      <c r="W8" s="735">
        <v>0.1</v>
      </c>
      <c r="X8" s="1040"/>
      <c r="Y8" s="71">
        <f t="shared" si="6"/>
        <v>0.8</v>
      </c>
      <c r="Z8" s="72"/>
      <c r="AA8" s="66"/>
      <c r="AB8" s="66"/>
      <c r="AC8" s="1040"/>
      <c r="AD8" s="73"/>
      <c r="AE8" s="1041">
        <f t="shared" ca="1" si="7"/>
        <v>29.66</v>
      </c>
      <c r="AF8" s="1348"/>
      <c r="AG8" s="138">
        <f t="shared" si="8"/>
        <v>0</v>
      </c>
      <c r="AH8" s="736"/>
      <c r="AI8" s="76">
        <v>365</v>
      </c>
      <c r="AJ8" s="77"/>
      <c r="AK8" s="737">
        <v>5.0000000000000001E-3</v>
      </c>
      <c r="AL8" s="738">
        <v>1E-3</v>
      </c>
      <c r="AM8" s="739">
        <v>5.0000000000000001E-3</v>
      </c>
      <c r="AN8" s="1715" t="s">
        <v>3510</v>
      </c>
      <c r="AO8" s="52">
        <f t="shared" ca="1" si="9"/>
        <v>267738</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t="str">
        <f>'数据-汇总表'!C22</f>
        <v>公寓</v>
      </c>
      <c r="B9" s="1713" t="str">
        <f t="shared" si="1"/>
        <v>经营性</v>
      </c>
      <c r="C9" s="1714" t="s">
        <v>21</v>
      </c>
      <c r="D9" s="858">
        <f>SUMIF(项目基本情况!C$12:I$12,C9,项目基本情况!C$14:I$14)</f>
        <v>50</v>
      </c>
      <c r="E9" s="857">
        <f>IF(B9="","",SUMIF(项目基本情况!C$12:I$12,C9,项目基本情况!C$13:I$13))</f>
        <v>55971</v>
      </c>
      <c r="F9" s="64">
        <f>SUMIF(项目基本情况!C$12:I$12,C9,项目基本情况!C$15:I$15)</f>
        <v>29.66</v>
      </c>
      <c r="G9" s="65">
        <f t="shared" si="2"/>
        <v>0.83799999999999997</v>
      </c>
      <c r="H9" s="66">
        <v>0.05</v>
      </c>
      <c r="I9" s="66">
        <v>5.5E-2</v>
      </c>
      <c r="J9" s="66">
        <v>7.0000000000000007E-2</v>
      </c>
      <c r="K9" s="1030">
        <f>SUMIF('数据-汇总表'!C$19:C$33,A9,'数据-汇总表'!E$19:E$33)</f>
        <v>4793.3200000000015</v>
      </c>
      <c r="L9" s="733">
        <v>5500</v>
      </c>
      <c r="M9" s="67">
        <f t="shared" si="0"/>
        <v>2636</v>
      </c>
      <c r="N9" s="731">
        <f>N6</f>
        <v>0.8</v>
      </c>
      <c r="O9" s="67" t="str">
        <f t="shared" si="3"/>
        <v>——</v>
      </c>
      <c r="P9" s="68" t="str">
        <f t="shared" si="4"/>
        <v>——</v>
      </c>
      <c r="Q9" s="81">
        <v>0.2</v>
      </c>
      <c r="R9" s="69">
        <f ca="1">SUMIF('数据-汇总表'!C$19:C$33,A9,'数据-汇总表'!R$19:R$27)</f>
        <v>685.74</v>
      </c>
      <c r="S9" s="51">
        <f>IF('数据-汇总表'!$I$17="按面积比例",SUMIF('数据-汇总表'!C$19:C$33,A9,'数据-汇总表'!K$19:K$33),SUMIF('数据-汇总表'!C$19:C$33,A9,'数据-汇总表'!N$19:N$33))</f>
        <v>0</v>
      </c>
      <c r="T9" s="1172">
        <f t="shared" si="5"/>
        <v>0</v>
      </c>
      <c r="U9" s="3426">
        <v>11</v>
      </c>
      <c r="V9" s="70">
        <v>2.5000000000000001E-2</v>
      </c>
      <c r="W9" s="70">
        <v>0.1</v>
      </c>
      <c r="X9" s="1040"/>
      <c r="Y9" s="71">
        <f t="shared" si="6"/>
        <v>0.8</v>
      </c>
      <c r="Z9" s="72"/>
      <c r="AA9" s="66"/>
      <c r="AB9" s="66"/>
      <c r="AC9" s="1040"/>
      <c r="AD9" s="73"/>
      <c r="AE9" s="1041">
        <f t="shared" ca="1" si="7"/>
        <v>0</v>
      </c>
      <c r="AF9" s="1348"/>
      <c r="AG9" s="138">
        <f t="shared" si="8"/>
        <v>0</v>
      </c>
      <c r="AH9" s="74"/>
      <c r="AI9" s="76">
        <v>365</v>
      </c>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t="str">
        <f>'数据-汇总表'!C23</f>
        <v>车库</v>
      </c>
      <c r="B10" s="1713" t="str">
        <f t="shared" si="1"/>
        <v>经营性</v>
      </c>
      <c r="C10" s="1714" t="s">
        <v>3334</v>
      </c>
      <c r="D10" s="858">
        <f>SUMIF(项目基本情况!C$12:I$12,C10,项目基本情况!C$14:I$14)</f>
        <v>50</v>
      </c>
      <c r="E10" s="857">
        <f>IF(B10="","",SUMIF(项目基本情况!C$12:I$12,C10,项目基本情况!C$13:I$13))</f>
        <v>55971</v>
      </c>
      <c r="F10" s="64">
        <f>SUMIF(项目基本情况!C$12:I$12,C10,项目基本情况!C$15:I$15)</f>
        <v>29.66</v>
      </c>
      <c r="G10" s="65">
        <f t="shared" si="2"/>
        <v>0.83799999999999997</v>
      </c>
      <c r="H10" s="66">
        <v>0.05</v>
      </c>
      <c r="I10" s="66">
        <v>5.5E-2</v>
      </c>
      <c r="J10" s="66">
        <v>7.0000000000000007E-2</v>
      </c>
      <c r="K10" s="1030">
        <f>SUMIF('数据-汇总表'!C$19:C$33,A10,'数据-汇总表'!E$19:E$33)</f>
        <v>6404.5699999999988</v>
      </c>
      <c r="L10" s="733">
        <v>5000</v>
      </c>
      <c r="M10" s="67">
        <f t="shared" si="0"/>
        <v>3202</v>
      </c>
      <c r="N10" s="731">
        <f>N6</f>
        <v>0.8</v>
      </c>
      <c r="O10" s="67" t="str">
        <f t="shared" si="3"/>
        <v>——</v>
      </c>
      <c r="P10" s="68" t="str">
        <f t="shared" si="4"/>
        <v>——</v>
      </c>
      <c r="Q10" s="81">
        <v>0.1</v>
      </c>
      <c r="R10" s="69">
        <f ca="1">SUMIF('数据-汇总表'!C$19:C$33,A10,'数据-汇总表'!R$19:R$27)</f>
        <v>916.25</v>
      </c>
      <c r="S10" s="51">
        <f>IF('数据-汇总表'!$I$17="按面积比例",SUMIF('数据-汇总表'!C$19:C$33,A10,'数据-汇总表'!K$19:K$33),SUMIF('数据-汇总表'!C$19:C$33,A10,'数据-汇总表'!N$19:N$33))</f>
        <v>0</v>
      </c>
      <c r="T10" s="1172">
        <f t="shared" si="5"/>
        <v>0</v>
      </c>
      <c r="U10" s="3426">
        <v>1700</v>
      </c>
      <c r="V10" s="70">
        <v>2.5000000000000001E-2</v>
      </c>
      <c r="W10" s="70">
        <v>0.1</v>
      </c>
      <c r="X10" s="1040"/>
      <c r="Y10" s="71">
        <f t="shared" si="6"/>
        <v>0.8</v>
      </c>
      <c r="Z10" s="72"/>
      <c r="AA10" s="66"/>
      <c r="AB10" s="66"/>
      <c r="AC10" s="1040"/>
      <c r="AD10" s="73"/>
      <c r="AE10" s="1041">
        <f t="shared" ca="1" si="7"/>
        <v>0</v>
      </c>
      <c r="AF10" s="1348"/>
      <c r="AG10" s="138">
        <f t="shared" si="8"/>
        <v>0</v>
      </c>
      <c r="AH10" s="74">
        <v>392</v>
      </c>
      <c r="AI10" s="76">
        <v>12</v>
      </c>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7"/>
        <v>0</v>
      </c>
      <c r="AF11" s="1348"/>
      <c r="AG11" s="138">
        <f t="shared" si="8"/>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7"/>
        <v>0</v>
      </c>
      <c r="AF12" s="1348"/>
      <c r="AG12" s="138">
        <f t="shared" si="8"/>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7"/>
        <v>0</v>
      </c>
      <c r="AF13" s="1348"/>
      <c r="AG13" s="138">
        <f t="shared" si="8"/>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1200</v>
      </c>
      <c r="B14" s="1713" t="s">
        <v>1201</v>
      </c>
      <c r="C14" s="1718" t="s">
        <v>1200</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1202</v>
      </c>
      <c r="B15" s="1713" t="s">
        <v>1201</v>
      </c>
      <c r="C15" s="1718"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1204</v>
      </c>
      <c r="B16" s="88"/>
      <c r="C16" s="833"/>
      <c r="D16" s="1720"/>
      <c r="E16" s="88"/>
      <c r="F16" s="88"/>
      <c r="G16" s="89">
        <f>ROUND(SUMPRODUCT(G6:G13,K6:K13)/SUMPRODUCT((G6:G13&gt;0)*(K6:K13)),3)</f>
        <v>0.83099999999999996</v>
      </c>
      <c r="H16" s="90">
        <f>ROUND(SUMPRODUCT(H6:H13,K6:K13)/SUMPRODUCT((H6:H13&gt;0)*(K6:K13)),3)</f>
        <v>0.05</v>
      </c>
      <c r="I16" s="91"/>
      <c r="J16" s="91"/>
      <c r="K16" s="92">
        <f>SUM(K6:K15)</f>
        <v>67265.709999999992</v>
      </c>
      <c r="L16" s="93">
        <f>ROUND(M16*10000/SUM(K6:K14),0)</f>
        <v>5452</v>
      </c>
      <c r="M16" s="93">
        <f>SUM(M6:M14)</f>
        <v>36675</v>
      </c>
      <c r="N16" s="94">
        <f>ROUND(SUMPRODUCT(M6:M14,N6:N14)/M16,3)</f>
        <v>0.8</v>
      </c>
      <c r="O16" s="93">
        <f>SUM(O6:O14)</f>
        <v>0</v>
      </c>
      <c r="P16" s="93">
        <f>SUM(P6:P14)</f>
        <v>0</v>
      </c>
      <c r="Q16" s="95">
        <f>ROUND(SUMPRODUCT(Q6:Q13,K6:K13)/SUMPRODUCT((Q6:Q13&gt;0)*(K6:K13)),2)</f>
        <v>0.19</v>
      </c>
      <c r="R16" s="1034">
        <f ca="1">SUM(R6:R13)</f>
        <v>9623.18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1205</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1206</v>
      </c>
      <c r="B19" s="103">
        <v>0</v>
      </c>
      <c r="C19" s="2797" t="s">
        <v>2300</v>
      </c>
      <c r="D19" s="2676"/>
      <c r="E19" s="2673"/>
      <c r="F19" s="2673"/>
      <c r="G19" s="2673"/>
      <c r="H19" s="2673"/>
      <c r="I19" s="2673"/>
      <c r="J19" s="2673"/>
      <c r="K19" s="2672"/>
      <c r="L19" s="2672"/>
      <c r="M19" s="3474" t="s">
        <v>3505</v>
      </c>
      <c r="N19" s="2671">
        <f>ROUND(1-(2023-2008)/60,2)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1207</v>
      </c>
      <c r="B20" s="104">
        <v>3</v>
      </c>
      <c r="C20" s="2798" t="s">
        <v>2298</v>
      </c>
      <c r="D20" s="2676"/>
      <c r="E20" s="2673"/>
      <c r="F20" s="2673"/>
      <c r="G20" s="2673"/>
      <c r="H20" s="2673"/>
      <c r="I20" s="2673"/>
      <c r="J20" s="2673"/>
      <c r="K20" s="2672"/>
      <c r="L20" s="2672"/>
      <c r="M20" s="3474" t="s">
        <v>3506</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1208</v>
      </c>
      <c r="B21" s="104">
        <f>B20</f>
        <v>3</v>
      </c>
      <c r="C21" s="2673"/>
      <c r="D21" s="2676"/>
      <c r="E21" s="2673"/>
      <c r="F21" s="2673"/>
      <c r="G21" s="2673"/>
      <c r="H21" s="2673"/>
      <c r="I21" s="2673"/>
      <c r="J21" s="2673"/>
      <c r="K21" s="2672"/>
      <c r="L21" s="2672"/>
      <c r="M21" s="2671"/>
      <c r="N21" s="2671">
        <f>(N19+N20)/2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1209</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1210</v>
      </c>
      <c r="B23" s="105">
        <f>B19+B21</f>
        <v>3</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1211</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1212</v>
      </c>
      <c r="B26" s="1726" t="s">
        <v>1213</v>
      </c>
      <c r="C26" s="2677" t="s">
        <v>1214</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1215</v>
      </c>
      <c r="B27" s="107">
        <v>160</v>
      </c>
      <c r="C27" s="2799" t="s">
        <v>2302</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1216</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1217</v>
      </c>
      <c r="B29" s="112"/>
      <c r="C29" s="2800" t="s">
        <v>2289</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1218</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1219</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1220</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1221</v>
      </c>
      <c r="B33" s="673">
        <v>0.05</v>
      </c>
      <c r="C33" s="2801" t="s">
        <v>2290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1222</v>
      </c>
      <c r="B34" s="113">
        <v>0</v>
      </c>
      <c r="C34" s="2801" t="s">
        <v>2291</v>
      </c>
      <c r="D34" s="2684" t="s">
        <v>2299</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1223</v>
      </c>
      <c r="B35" s="110">
        <v>200</v>
      </c>
      <c r="C35" s="2801" t="s">
        <v>2292</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1224</v>
      </c>
      <c r="B36" s="114">
        <v>1.4999999999999999E-2</v>
      </c>
      <c r="C36" s="2801" t="s">
        <v>2293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1225</v>
      </c>
      <c r="B37" s="115">
        <v>0.02</v>
      </c>
      <c r="C37" s="2801" t="s">
        <v>2294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1226</v>
      </c>
      <c r="B38" s="113">
        <v>0.02</v>
      </c>
      <c r="C38" s="2801" t="s">
        <v>2294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1227</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3" t="s">
        <v>2309</v>
      </c>
      <c r="B40" s="1078">
        <f ca="1">IF(A40="利息：取LPR",存贷款利率!G1,存贷款利率!G1+C40)</f>
        <v>3.5499999999999997E-2</v>
      </c>
      <c r="C40" s="2812">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1228</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1229</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1230</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1231</v>
      </c>
      <c r="B44" s="119">
        <v>7.0000000000000007E-2</v>
      </c>
      <c r="C44" s="2801" t="s">
        <v>2303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1232</v>
      </c>
      <c r="B45" s="117">
        <v>0.03</v>
      </c>
      <c r="C45" s="2800" t="s">
        <v>2295</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1233</v>
      </c>
      <c r="B46" s="117">
        <v>0.02</v>
      </c>
      <c r="C46" s="2800" t="s">
        <v>2296</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1234</v>
      </c>
      <c r="B47" s="120">
        <v>0</v>
      </c>
      <c r="C47" s="2803"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1235</v>
      </c>
      <c r="B48" s="121">
        <v>0.03</v>
      </c>
      <c r="C48" s="2800" t="s">
        <v>2295</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1236</v>
      </c>
      <c r="B49" s="117">
        <v>5.0000000000000001E-4</v>
      </c>
      <c r="C49" s="2800" t="s">
        <v>2297</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1237</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1238</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1239</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1240</v>
      </c>
      <c r="B53" s="1738" t="s">
        <v>184</v>
      </c>
      <c r="C53" s="2661" t="s">
        <v>1241</v>
      </c>
      <c r="D53" s="2802" t="s">
        <v>2301</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1242</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1243</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1244</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1245</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1246</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1247</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1248</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1249</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1250</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1251</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2281</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2276</v>
      </c>
      <c r="D2" s="2461"/>
      <c r="E2" s="2458"/>
      <c r="F2" s="2462"/>
      <c r="G2" s="2460" t="s">
        <v>2277</v>
      </c>
      <c r="H2" s="799"/>
      <c r="I2" s="799"/>
      <c r="J2" s="799"/>
      <c r="K2" s="799"/>
      <c r="L2" s="799"/>
      <c r="M2" s="799"/>
      <c r="N2" s="799"/>
      <c r="O2" s="799"/>
      <c r="P2" s="799"/>
      <c r="Q2" s="799"/>
      <c r="R2" s="799"/>
    </row>
    <row r="3" spans="1:29" ht="48">
      <c r="A3" s="2441" t="s">
        <v>2278</v>
      </c>
      <c r="B3" s="2463" t="s">
        <v>2247</v>
      </c>
      <c r="C3" s="2464" t="s">
        <v>2279</v>
      </c>
      <c r="D3" s="2465"/>
      <c r="E3" s="2442" t="s">
        <v>2278</v>
      </c>
      <c r="F3" s="2466" t="s">
        <v>2248</v>
      </c>
      <c r="G3" s="2467" t="s">
        <v>2280</v>
      </c>
      <c r="H3" s="799"/>
      <c r="I3" s="799"/>
      <c r="J3" s="799"/>
      <c r="K3" s="799"/>
      <c r="L3" s="799"/>
      <c r="M3" s="799"/>
      <c r="N3" s="799"/>
      <c r="O3" s="799"/>
      <c r="P3" s="799"/>
      <c r="Q3" s="799"/>
      <c r="R3" s="799"/>
    </row>
    <row r="4" spans="1:29" ht="36.75">
      <c r="A4" s="2442"/>
      <c r="B4" s="323" t="s">
        <v>2249</v>
      </c>
      <c r="C4" s="2468" t="s">
        <v>2250</v>
      </c>
      <c r="D4" s="2465"/>
      <c r="E4" s="2469"/>
      <c r="F4" s="1373" t="s">
        <v>2251</v>
      </c>
      <c r="G4" s="2470" t="s">
        <v>2252</v>
      </c>
      <c r="H4" s="799"/>
      <c r="I4" s="799"/>
      <c r="J4" s="799"/>
      <c r="K4" s="799"/>
      <c r="L4" s="799"/>
      <c r="M4" s="799"/>
      <c r="N4" s="799"/>
      <c r="O4" s="799"/>
      <c r="P4" s="799"/>
      <c r="Q4" s="799"/>
      <c r="R4" s="799"/>
    </row>
    <row r="5" spans="1:29" ht="36.75">
      <c r="A5" s="2442"/>
      <c r="B5" s="323" t="s">
        <v>2253</v>
      </c>
      <c r="C5" s="2468" t="s">
        <v>2254</v>
      </c>
      <c r="D5" s="2465"/>
      <c r="E5" s="2469"/>
      <c r="F5" s="323" t="s">
        <v>2255</v>
      </c>
      <c r="G5" s="2470" t="s">
        <v>2256</v>
      </c>
      <c r="H5" s="799"/>
      <c r="I5" s="799"/>
      <c r="J5" s="799"/>
      <c r="K5" s="799"/>
      <c r="L5" s="799"/>
      <c r="M5" s="799"/>
      <c r="N5" s="799"/>
      <c r="O5" s="799"/>
      <c r="P5" s="799"/>
      <c r="Q5" s="799"/>
      <c r="R5" s="799"/>
    </row>
    <row r="6" spans="1:29" ht="36">
      <c r="A6" s="2442"/>
      <c r="B6" s="323" t="s">
        <v>2257</v>
      </c>
      <c r="C6" s="2470" t="s">
        <v>2252</v>
      </c>
      <c r="D6" s="2465"/>
      <c r="E6" s="2469"/>
      <c r="F6" s="323" t="s">
        <v>2258</v>
      </c>
      <c r="G6" s="2470" t="s">
        <v>2259</v>
      </c>
      <c r="H6" s="799"/>
      <c r="I6" s="799"/>
      <c r="J6" s="799"/>
      <c r="K6" s="799"/>
      <c r="L6" s="799"/>
      <c r="M6" s="799"/>
      <c r="N6" s="799"/>
      <c r="O6" s="799"/>
      <c r="P6" s="799"/>
      <c r="Q6" s="799"/>
      <c r="R6" s="799"/>
    </row>
    <row r="7" spans="1:29" ht="24.75" thickBot="1">
      <c r="A7" s="2442"/>
      <c r="B7" s="323" t="s">
        <v>2255</v>
      </c>
      <c r="C7" s="2470" t="s">
        <v>2256</v>
      </c>
      <c r="D7" s="2471"/>
      <c r="E7" s="2472"/>
      <c r="F7" s="2473" t="s">
        <v>2260</v>
      </c>
      <c r="G7" s="2474" t="s">
        <v>2261</v>
      </c>
      <c r="H7" s="799"/>
      <c r="I7" s="799"/>
      <c r="J7" s="799"/>
      <c r="K7" s="799"/>
      <c r="L7" s="799"/>
      <c r="M7" s="799"/>
      <c r="N7" s="799"/>
      <c r="O7" s="799"/>
      <c r="P7" s="799"/>
      <c r="Q7" s="799"/>
      <c r="R7" s="799"/>
    </row>
    <row r="8" spans="1:29">
      <c r="A8" s="2442"/>
      <c r="B8" s="323" t="s">
        <v>2258</v>
      </c>
      <c r="C8" s="2470" t="s">
        <v>2259</v>
      </c>
      <c r="D8" s="2471"/>
      <c r="E8" s="2471"/>
      <c r="F8" s="2475"/>
      <c r="G8" s="2475"/>
      <c r="H8" s="799"/>
      <c r="I8" s="799"/>
      <c r="J8" s="799"/>
      <c r="K8" s="799"/>
      <c r="L8" s="799"/>
      <c r="M8" s="799"/>
      <c r="N8" s="799"/>
      <c r="O8" s="799"/>
      <c r="P8" s="799"/>
      <c r="Q8" s="799"/>
      <c r="R8" s="799"/>
    </row>
    <row r="9" spans="1:29" ht="24">
      <c r="A9" s="2442"/>
      <c r="B9" s="323" t="s">
        <v>2262</v>
      </c>
      <c r="C9" s="2468" t="s">
        <v>2263</v>
      </c>
      <c r="D9" s="2465"/>
      <c r="E9" s="2471"/>
      <c r="F9" s="2475"/>
      <c r="G9" s="2475"/>
      <c r="H9" s="799"/>
      <c r="I9" s="799"/>
      <c r="J9" s="799"/>
      <c r="K9" s="799"/>
      <c r="L9" s="799"/>
      <c r="M9" s="799"/>
      <c r="N9" s="799"/>
      <c r="O9" s="799"/>
      <c r="P9" s="799"/>
      <c r="Q9" s="799"/>
      <c r="R9" s="799"/>
    </row>
    <row r="10" spans="1:29" s="2481" customFormat="1" ht="15" thickBot="1">
      <c r="A10" s="2443"/>
      <c r="B10" s="2476" t="s">
        <v>2264</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2282</v>
      </c>
      <c r="B13" s="2484"/>
      <c r="C13" s="2484"/>
      <c r="D13" s="2482"/>
      <c r="E13" s="2484"/>
      <c r="F13" s="2484"/>
      <c r="G13" s="2484"/>
    </row>
    <row r="14" spans="1:29" ht="15" thickBot="1">
      <c r="A14" s="2494"/>
      <c r="B14" s="2494"/>
      <c r="C14" s="2495" t="s">
        <v>2265</v>
      </c>
      <c r="D14" s="2465"/>
      <c r="E14" s="2496"/>
      <c r="F14" s="2496"/>
      <c r="G14" s="2460" t="s">
        <v>2266</v>
      </c>
    </row>
    <row r="15" spans="1:29" ht="51">
      <c r="A15" s="2444" t="s">
        <v>2267</v>
      </c>
      <c r="B15" s="2497" t="s">
        <v>2247</v>
      </c>
      <c r="C15" s="2498" t="str">
        <f>C3</f>
        <v>估价对象周边居住用地比例、居住小区规模和社区发展完善程度，综合评价居住社区成熟度一般</v>
      </c>
      <c r="D15" s="2465"/>
      <c r="E15" s="2445" t="s">
        <v>2268</v>
      </c>
      <c r="F15" s="2497" t="s">
        <v>2269</v>
      </c>
      <c r="G15" s="2499" t="str">
        <f>G3</f>
        <v>估价对象位于XX开发区，园区建设成熟度XX，产业集聚程度XX</v>
      </c>
    </row>
    <row r="16" spans="1:29" ht="38.25">
      <c r="A16" s="2446"/>
      <c r="B16" s="2500" t="s">
        <v>2249</v>
      </c>
      <c r="C16" s="2501" t="str">
        <f>C4</f>
        <v>估价对象位于XX商圈，周边商业氛围成熟，人流量大，商业繁华度好</v>
      </c>
      <c r="D16" s="2465"/>
      <c r="E16" s="2447"/>
      <c r="F16" s="2502" t="s">
        <v>2251</v>
      </c>
      <c r="G16" s="2503" t="str">
        <f>G4</f>
        <v>估价对象周边道路状况、公共交通通达情况、停车便捷程度，综合评价交通便捷度较好</v>
      </c>
    </row>
    <row r="17" spans="1:18" ht="38.25">
      <c r="A17" s="2446"/>
      <c r="B17" s="2500" t="s">
        <v>2253</v>
      </c>
      <c r="C17" s="2501" t="str">
        <f>C5</f>
        <v>估价对象位于XX商圈，周边办公楼项目较多，入驻率高，办公集聚程度较好</v>
      </c>
      <c r="D17" s="2471"/>
      <c r="E17" s="2447"/>
      <c r="F17" s="2502" t="s">
        <v>2270</v>
      </c>
      <c r="G17" s="2504"/>
    </row>
    <row r="18" spans="1:18" ht="38.25">
      <c r="A18" s="2446"/>
      <c r="B18" s="2502" t="s">
        <v>2257</v>
      </c>
      <c r="C18" s="2503" t="str">
        <f>C6</f>
        <v>估价对象周边道路状况、公共交通通达情况、停车便捷程度，综合评价交通便捷度较好</v>
      </c>
      <c r="D18" s="2471"/>
      <c r="E18" s="2447"/>
      <c r="F18" s="2502" t="s">
        <v>2260</v>
      </c>
      <c r="G18" s="2503" t="str">
        <f>G7</f>
        <v>该园区内是否有污染型企业，绿化情况，卫生条件，整体环境状况判断</v>
      </c>
    </row>
    <row r="19" spans="1:18" ht="25.5">
      <c r="A19" s="2446"/>
      <c r="B19" s="2502" t="s">
        <v>2271</v>
      </c>
      <c r="C19" s="2504"/>
      <c r="D19" s="2465"/>
      <c r="E19" s="2447"/>
      <c r="F19" s="323" t="s">
        <v>2255</v>
      </c>
      <c r="G19" s="2503" t="str">
        <f>G5</f>
        <v>估价对象所在区域公共配套设施齐备情况</v>
      </c>
    </row>
    <row r="20" spans="1:18" ht="25.5">
      <c r="A20" s="2446"/>
      <c r="B20" s="2502" t="s">
        <v>2272</v>
      </c>
      <c r="C20" s="2501" t="str">
        <f>C9</f>
        <v>区域自然环境：；人文环境；综合评价环境状况一般</v>
      </c>
      <c r="D20" s="2471"/>
      <c r="E20" s="2447"/>
      <c r="F20" s="323" t="s">
        <v>2258</v>
      </c>
      <c r="G20" s="2503" t="str">
        <f>G6</f>
        <v>估价对象所在区域基础设施水平</v>
      </c>
    </row>
    <row r="21" spans="1:18" ht="25.5">
      <c r="A21" s="2446"/>
      <c r="B21" s="323" t="s">
        <v>2255</v>
      </c>
      <c r="C21" s="2503" t="str">
        <f>C7</f>
        <v>估价对象所在区域公共配套设施齐备情况</v>
      </c>
      <c r="D21" s="2465"/>
      <c r="E21" s="2447"/>
      <c r="F21" s="2502" t="s">
        <v>2273</v>
      </c>
      <c r="G21" s="2505"/>
    </row>
    <row r="22" spans="1:18" ht="13.5" customHeight="1">
      <c r="A22" s="2446"/>
      <c r="B22" s="323" t="s">
        <v>2258</v>
      </c>
      <c r="C22" s="2503" t="str">
        <f>C8</f>
        <v>估价对象所在区域基础设施水平</v>
      </c>
      <c r="D22" s="2465"/>
      <c r="E22" s="2447"/>
      <c r="F22" s="2502" t="s">
        <v>2264</v>
      </c>
      <c r="G22" s="2504"/>
    </row>
    <row r="23" spans="1:18" s="799" customFormat="1" ht="15" thickBot="1">
      <c r="A23" s="2446"/>
      <c r="B23" s="2502" t="s">
        <v>2273</v>
      </c>
      <c r="C23" s="2505"/>
      <c r="D23" s="1741"/>
      <c r="E23" s="2448"/>
      <c r="F23" s="2506" t="s">
        <v>2274</v>
      </c>
      <c r="G23" s="2507"/>
      <c r="H23" s="2491"/>
      <c r="I23" s="2492"/>
      <c r="J23" s="2491"/>
      <c r="K23" s="2491"/>
      <c r="L23" s="2492"/>
      <c r="M23" s="2491"/>
      <c r="N23" s="2491"/>
      <c r="O23" s="2492"/>
      <c r="P23" s="2491"/>
      <c r="Q23" s="2491"/>
      <c r="R23" s="2493"/>
    </row>
    <row r="24" spans="1:18" s="799" customFormat="1" ht="15" thickBot="1">
      <c r="A24" s="2449"/>
      <c r="B24" s="2506" t="s">
        <v>2275</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5" sqref="B5"/>
    </sheetView>
  </sheetViews>
  <sheetFormatPr defaultColWidth="9" defaultRowHeight="13.5"/>
  <cols>
    <col min="1" max="1" width="25" style="2513" customWidth="1"/>
    <col min="2" max="9" width="15.75" style="2513" customWidth="1"/>
    <col min="10" max="16384" width="9" style="2513"/>
  </cols>
  <sheetData>
    <row r="1" spans="1:11" ht="16.5">
      <c r="A1" s="2512" t="s">
        <v>660</v>
      </c>
      <c r="B1" s="2512">
        <f>SUM(B14:B23)</f>
        <v>62472.39</v>
      </c>
      <c r="C1" s="2686"/>
      <c r="D1" s="2686"/>
      <c r="E1" s="2686"/>
      <c r="F1" s="2686"/>
      <c r="G1" s="2687"/>
      <c r="H1" s="2688"/>
      <c r="I1" s="2688"/>
      <c r="J1" s="2688"/>
      <c r="K1" s="2688"/>
    </row>
    <row r="2" spans="1:11" ht="16.5">
      <c r="A2" s="2512" t="s">
        <v>648</v>
      </c>
      <c r="B2" s="2512">
        <f>SUM(C14:C23)</f>
        <v>0</v>
      </c>
      <c r="C2" s="2686"/>
      <c r="D2" s="2686"/>
      <c r="E2" s="2686"/>
      <c r="F2" s="2686"/>
      <c r="G2" s="2687"/>
      <c r="H2" s="2688"/>
      <c r="I2" s="2688"/>
      <c r="J2" s="2688"/>
      <c r="K2" s="2688"/>
    </row>
    <row r="3" spans="1:11" ht="16.5">
      <c r="A3" s="2512" t="s">
        <v>657</v>
      </c>
      <c r="B3" s="2514">
        <f>项目基本情况!D3</f>
        <v>45142</v>
      </c>
      <c r="C3" s="2686"/>
      <c r="D3" s="2686"/>
      <c r="E3" s="2686"/>
      <c r="F3" s="2686"/>
      <c r="G3" s="2687"/>
      <c r="H3" s="2688"/>
      <c r="I3" s="2688"/>
      <c r="J3" s="2688"/>
      <c r="K3" s="2688"/>
    </row>
    <row r="4" spans="1:11" ht="33">
      <c r="A4" s="2512" t="s">
        <v>656</v>
      </c>
      <c r="B4" s="2512" t="s">
        <v>655</v>
      </c>
      <c r="C4" s="2512" t="s">
        <v>654</v>
      </c>
      <c r="D4" s="2512" t="s">
        <v>653</v>
      </c>
      <c r="E4" s="2686"/>
      <c r="F4" s="2687"/>
      <c r="G4" s="2687"/>
      <c r="H4" s="2688"/>
      <c r="I4" s="2688"/>
      <c r="J4" s="2688"/>
      <c r="K4" s="2688"/>
    </row>
    <row r="5" spans="1:11" ht="16.5">
      <c r="A5" s="2512" t="s">
        <v>652</v>
      </c>
      <c r="B5" s="2512">
        <f ca="1">SUM(D14:D23)</f>
        <v>347356</v>
      </c>
      <c r="C5" s="2512">
        <f ca="1">IF(B5=D14,结果表!H102,ROUND(B5*10000/$B$1,0))</f>
        <v>55602</v>
      </c>
      <c r="D5" s="2512" t="e">
        <f ca="1">ROUND(B5*10000/$B$2,0)</f>
        <v>#DIV/0!</v>
      </c>
      <c r="E5" s="2686"/>
      <c r="F5" s="2687"/>
      <c r="G5" s="2687"/>
      <c r="H5" s="2688"/>
      <c r="I5" s="2688"/>
      <c r="J5" s="2688"/>
      <c r="K5" s="2688"/>
    </row>
    <row r="6" spans="1:11" ht="16.5">
      <c r="A6" s="2512" t="s">
        <v>651</v>
      </c>
      <c r="B6" s="2512">
        <f>SUM(G14:G23)</f>
        <v>0</v>
      </c>
      <c r="C6" s="2512">
        <f ca="1">IF(B6=G14,结果表!H108,ROUND(B6*10000/$B$1,0))</f>
        <v>60942</v>
      </c>
      <c r="D6" s="2512" t="e">
        <f>ROUND(B6*10000/$B$2,0)</f>
        <v>#DIV/0!</v>
      </c>
      <c r="E6" s="2686"/>
      <c r="F6" s="2687"/>
      <c r="G6" s="2687"/>
      <c r="H6" s="2688"/>
      <c r="I6" s="2688"/>
      <c r="J6" s="2688"/>
      <c r="K6" s="2688"/>
    </row>
    <row r="7" spans="1:11" ht="16.5">
      <c r="A7" s="2512" t="s">
        <v>659</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650</v>
      </c>
      <c r="B9" s="2520"/>
      <c r="C9" s="2686"/>
      <c r="D9" s="2686"/>
      <c r="E9" s="2686"/>
      <c r="F9" s="2687"/>
      <c r="G9" s="2687"/>
      <c r="H9" s="2688"/>
      <c r="I9" s="2688"/>
      <c r="J9" s="2688"/>
      <c r="K9" s="2688"/>
    </row>
    <row r="10" spans="1:11" ht="16.5">
      <c r="A10" s="2512" t="s">
        <v>649</v>
      </c>
      <c r="B10" s="2512">
        <f>IF(E10="",0,ROUND(B1*(E10*365/G10)/10000,0))</f>
        <v>0</v>
      </c>
      <c r="C10" s="2512" t="s">
        <v>3357</v>
      </c>
      <c r="D10" s="2512" t="s">
        <v>3358</v>
      </c>
      <c r="E10" s="3439"/>
      <c r="F10" s="3443" t="s">
        <v>3359</v>
      </c>
      <c r="G10" s="3440"/>
      <c r="H10" s="2688"/>
      <c r="I10" s="2688"/>
      <c r="J10" s="2688"/>
      <c r="K10" s="2688"/>
    </row>
    <row r="11" spans="1:11" ht="16.5">
      <c r="A11" s="2512" t="s">
        <v>665</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664</v>
      </c>
      <c r="B13" s="2516" t="s">
        <v>661</v>
      </c>
      <c r="C13" s="2516" t="s">
        <v>663</v>
      </c>
      <c r="D13" s="2516" t="s">
        <v>662</v>
      </c>
      <c r="E13" s="2512" t="s">
        <v>654</v>
      </c>
      <c r="F13" s="2512" t="s">
        <v>653</v>
      </c>
      <c r="G13" s="2516" t="s">
        <v>647</v>
      </c>
      <c r="H13" s="2516" t="s">
        <v>658</v>
      </c>
      <c r="I13" s="2516" t="s">
        <v>646</v>
      </c>
      <c r="J13" s="2687"/>
      <c r="K13" s="2688"/>
    </row>
    <row r="14" spans="1:11" ht="16.5">
      <c r="A14" s="2517" t="s">
        <v>3534</v>
      </c>
      <c r="B14" s="2518">
        <f>结果表!B118</f>
        <v>47066.759999999995</v>
      </c>
      <c r="C14" s="2518"/>
      <c r="D14" s="2518">
        <f ca="1">结果表!H118</f>
        <v>286836</v>
      </c>
      <c r="E14" s="2518">
        <f ca="1">ROUND(D14*10000/B14,0)</f>
        <v>60942</v>
      </c>
      <c r="F14" s="2518" t="e">
        <f ca="1">ROUND(D14*10000/C14,0)</f>
        <v>#DIV/0!</v>
      </c>
      <c r="G14" s="2518"/>
      <c r="H14" s="2518"/>
      <c r="I14" s="2518"/>
      <c r="J14" s="2687"/>
      <c r="K14" s="2688"/>
    </row>
    <row r="15" spans="1:11" ht="16.5">
      <c r="A15" s="2517" t="s">
        <v>3535</v>
      </c>
      <c r="B15" s="2519">
        <f>'结果表(商业)'!B118</f>
        <v>5038.8999999999996</v>
      </c>
      <c r="C15" s="2519"/>
      <c r="D15" s="2519">
        <f ca="1">'结果表(商业)'!H118</f>
        <v>33066</v>
      </c>
      <c r="E15" s="2518">
        <f t="shared" ref="E15:E23" ca="1" si="0">ROUND(D15*10000/B15,0)</f>
        <v>65621</v>
      </c>
      <c r="F15" s="2518" t="e">
        <f t="shared" ref="F15:F23" ca="1" si="1">ROUND(D15*10000/C15,0)</f>
        <v>#DIV/0!</v>
      </c>
      <c r="G15" s="1331"/>
      <c r="H15" s="1331"/>
      <c r="I15" s="2519"/>
      <c r="J15" s="2687"/>
      <c r="K15" s="2688"/>
    </row>
    <row r="16" spans="1:11" ht="16.5">
      <c r="A16" s="2517" t="s">
        <v>3536</v>
      </c>
      <c r="B16" s="2519">
        <f>'结果表(地下商业)'!B118</f>
        <v>3962.1600000000008</v>
      </c>
      <c r="C16" s="2519"/>
      <c r="D16" s="2519">
        <f ca="1">'结果表(地下商业)'!H118</f>
        <v>11774</v>
      </c>
      <c r="E16" s="2518">
        <f t="shared" ca="1" si="0"/>
        <v>29716</v>
      </c>
      <c r="F16" s="2518" t="e">
        <f t="shared" ca="1" si="1"/>
        <v>#DIV/0!</v>
      </c>
      <c r="G16" s="1331"/>
      <c r="H16" s="1331"/>
      <c r="I16" s="2519"/>
      <c r="J16" s="2688"/>
      <c r="K16" s="2688"/>
    </row>
    <row r="17" spans="1:11" ht="16.5">
      <c r="A17" s="2517" t="s">
        <v>3537</v>
      </c>
      <c r="B17" s="2519">
        <f>'数据-汇总表'!E23</f>
        <v>6404.5699999999988</v>
      </c>
      <c r="C17" s="2519"/>
      <c r="D17" s="2519">
        <f>40*'数据-取费表'!AH10</f>
        <v>15680</v>
      </c>
      <c r="E17" s="2518">
        <f t="shared" si="0"/>
        <v>24483</v>
      </c>
      <c r="F17" s="2518" t="e">
        <f t="shared" si="1"/>
        <v>#DIV/0!</v>
      </c>
      <c r="G17" s="1331"/>
      <c r="H17" s="1331"/>
      <c r="I17" s="2519"/>
      <c r="J17" s="2688"/>
      <c r="K17" s="2688"/>
    </row>
    <row r="18" spans="1:11" ht="16.5">
      <c r="A18" s="2517" t="s">
        <v>3538</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1257</v>
      </c>
      <c r="B1" s="1747"/>
      <c r="C1" s="1748" t="s">
        <v>21</v>
      </c>
      <c r="D1" s="1747"/>
      <c r="E1" s="1747"/>
      <c r="F1" s="1749" t="s">
        <v>1258</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1259</v>
      </c>
      <c r="B3" s="3636"/>
      <c r="C3" s="3636"/>
      <c r="D3" s="3636"/>
      <c r="E3" s="3636"/>
      <c r="F3" s="3636"/>
      <c r="G3" s="3636"/>
      <c r="H3" s="3636"/>
      <c r="I3" s="3636"/>
    </row>
    <row r="4" spans="1:12" ht="14.25">
      <c r="A4" s="1754" t="s">
        <v>1260</v>
      </c>
      <c r="B4" s="1755" t="s">
        <v>1261</v>
      </c>
      <c r="C4" s="1756" t="s">
        <v>3511</v>
      </c>
      <c r="D4" s="1756" t="s">
        <v>3510</v>
      </c>
      <c r="E4" s="3640" t="s">
        <v>1262</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1263</v>
      </c>
      <c r="B5" s="3634">
        <v>25</v>
      </c>
      <c r="C5" s="3637"/>
      <c r="D5" s="3625"/>
      <c r="E5" s="131" t="s">
        <v>1264</v>
      </c>
      <c r="F5" s="1757"/>
      <c r="G5" s="1757"/>
      <c r="H5" s="1757"/>
      <c r="I5" s="1373"/>
    </row>
    <row r="6" spans="1:12" ht="12.75">
      <c r="A6" s="3579"/>
      <c r="B6" s="3634"/>
      <c r="C6" s="3639"/>
      <c r="D6" s="3625"/>
      <c r="E6" s="131" t="s">
        <v>1265</v>
      </c>
      <c r="F6" s="1757"/>
      <c r="G6" s="1757"/>
      <c r="H6" s="1757"/>
      <c r="I6" s="1373"/>
    </row>
    <row r="7" spans="1:12" ht="12.75">
      <c r="A7" s="3579"/>
      <c r="B7" s="3634"/>
      <c r="C7" s="3638"/>
      <c r="D7" s="3625"/>
      <c r="E7" s="131" t="s">
        <v>1266</v>
      </c>
      <c r="F7" s="1757"/>
      <c r="G7" s="1757"/>
      <c r="H7" s="1757"/>
      <c r="I7" s="1373"/>
    </row>
    <row r="8" spans="1:12" ht="12.75">
      <c r="A8" s="3579" t="s">
        <v>1267</v>
      </c>
      <c r="B8" s="3634">
        <v>15</v>
      </c>
      <c r="C8" s="3637"/>
      <c r="D8" s="3625"/>
      <c r="E8" s="131" t="s">
        <v>1268</v>
      </c>
      <c r="F8" s="1757"/>
      <c r="G8" s="1757"/>
      <c r="H8" s="1757"/>
      <c r="I8" s="1373"/>
    </row>
    <row r="9" spans="1:12" ht="12.75">
      <c r="A9" s="3579"/>
      <c r="B9" s="3634"/>
      <c r="C9" s="3638"/>
      <c r="D9" s="3625"/>
      <c r="E9" s="131" t="s">
        <v>1269</v>
      </c>
      <c r="F9" s="1757"/>
      <c r="G9" s="1757"/>
      <c r="H9" s="1757"/>
      <c r="I9" s="1373"/>
    </row>
    <row r="10" spans="1:12" ht="12.75">
      <c r="A10" s="3579" t="s">
        <v>1270</v>
      </c>
      <c r="B10" s="3634">
        <v>15</v>
      </c>
      <c r="C10" s="3637"/>
      <c r="D10" s="3625"/>
      <c r="E10" s="131" t="s">
        <v>1271</v>
      </c>
      <c r="F10" s="1757"/>
      <c r="G10" s="1757"/>
      <c r="H10" s="1757"/>
      <c r="I10" s="1373"/>
    </row>
    <row r="11" spans="1:12" ht="12.75">
      <c r="A11" s="3579"/>
      <c r="B11" s="3634"/>
      <c r="C11" s="3638"/>
      <c r="D11" s="3625"/>
      <c r="E11" s="131" t="s">
        <v>1272</v>
      </c>
      <c r="F11" s="1757"/>
      <c r="G11" s="1757"/>
      <c r="H11" s="1757"/>
      <c r="I11" s="1373"/>
    </row>
    <row r="12" spans="1:12" ht="12.75">
      <c r="A12" s="3579" t="s">
        <v>1273</v>
      </c>
      <c r="B12" s="3634">
        <v>15</v>
      </c>
      <c r="C12" s="3637"/>
      <c r="D12" s="3625"/>
      <c r="E12" s="131" t="s">
        <v>1274</v>
      </c>
      <c r="F12" s="1757"/>
      <c r="G12" s="1757"/>
      <c r="H12" s="1757"/>
      <c r="I12" s="1373"/>
    </row>
    <row r="13" spans="1:12" ht="12.75">
      <c r="A13" s="3579"/>
      <c r="B13" s="3634"/>
      <c r="C13" s="3638"/>
      <c r="D13" s="3625"/>
      <c r="E13" s="131" t="s">
        <v>1275</v>
      </c>
      <c r="F13" s="1757"/>
      <c r="G13" s="1757"/>
      <c r="H13" s="1757"/>
      <c r="I13" s="1373"/>
    </row>
    <row r="14" spans="1:12" ht="12.75">
      <c r="A14" s="3579" t="s">
        <v>1276</v>
      </c>
      <c r="B14" s="3634">
        <v>30</v>
      </c>
      <c r="C14" s="3637">
        <v>5</v>
      </c>
      <c r="D14" s="3625">
        <v>5</v>
      </c>
      <c r="E14" s="131" t="s">
        <v>1277</v>
      </c>
      <c r="F14" s="1757"/>
      <c r="G14" s="1757"/>
      <c r="H14" s="1757"/>
      <c r="I14" s="1373"/>
    </row>
    <row r="15" spans="1:12" ht="12.75">
      <c r="A15" s="3579"/>
      <c r="B15" s="3634"/>
      <c r="C15" s="3639"/>
      <c r="D15" s="3625"/>
      <c r="E15" s="131" t="s">
        <v>1278</v>
      </c>
      <c r="F15" s="1757"/>
      <c r="G15" s="1757"/>
      <c r="H15" s="1757"/>
      <c r="I15" s="1373"/>
    </row>
    <row r="16" spans="1:12" ht="12.75">
      <c r="A16" s="3579"/>
      <c r="B16" s="3634"/>
      <c r="C16" s="3638"/>
      <c r="D16" s="3625"/>
      <c r="E16" s="131" t="s">
        <v>1279</v>
      </c>
      <c r="F16" s="1757"/>
      <c r="G16" s="1757"/>
      <c r="H16" s="1757"/>
      <c r="I16" s="1373"/>
    </row>
    <row r="17" spans="1:36" ht="15">
      <c r="A17" s="1758" t="s">
        <v>1280</v>
      </c>
      <c r="B17" s="56"/>
      <c r="C17" s="132">
        <f>SUM(C5:C16)</f>
        <v>5</v>
      </c>
      <c r="D17" s="132">
        <f>SUM(D5:D16)</f>
        <v>5</v>
      </c>
      <c r="E17" s="129"/>
      <c r="F17" s="129"/>
      <c r="G17" s="129"/>
      <c r="H17" s="129"/>
      <c r="I17" s="129"/>
      <c r="K17" s="302"/>
      <c r="L17" s="302" t="s">
        <v>1281</v>
      </c>
      <c r="M17" s="302" t="s">
        <v>1282</v>
      </c>
    </row>
    <row r="18" spans="1:36" ht="31.9" customHeight="1" thickBot="1">
      <c r="A18" s="1759" t="s">
        <v>1283</v>
      </c>
      <c r="B18" s="1760"/>
      <c r="C18" s="133">
        <f>ROUND(C17/SUM(C17:D17),2)</f>
        <v>0.5</v>
      </c>
      <c r="D18" s="133">
        <f>1-C18</f>
        <v>0.5</v>
      </c>
      <c r="E18" s="3656" t="s">
        <v>2126</v>
      </c>
      <c r="F18" s="3657"/>
      <c r="G18" s="3657"/>
      <c r="H18" s="3657"/>
      <c r="I18" s="3657"/>
      <c r="K18" s="302" t="s">
        <v>1284</v>
      </c>
      <c r="L18" s="302">
        <f>IF(C1="",'数据-汇总表'!E3,SUMIF(项目类型,C1,'数据-汇总表'!E17:E26)+SUMIF(项目类型,C1,'数据-汇总表'!I17:I26))</f>
        <v>47066.759999999995</v>
      </c>
      <c r="M18" s="302">
        <f>IF(C1="",'数据-汇总表'!E3,SUMIF(项目类型,C1,'数据-汇总表'!E17:E26))</f>
        <v>47066.759999999995</v>
      </c>
    </row>
    <row r="19" spans="1:36" ht="15">
      <c r="A19" s="1761" t="s">
        <v>1285</v>
      </c>
      <c r="B19" s="1762" t="s">
        <v>1286</v>
      </c>
      <c r="C19" s="134">
        <f ca="1">SUMIF(INDIRECT("'"&amp;C4&amp;"'"&amp;"!A:A"),结果表!B19,INDIRECT("'"&amp;C4&amp;"'"&amp;"!B:B"))</f>
        <v>305934</v>
      </c>
      <c r="D19" s="135">
        <f ca="1">SUMIF(INDIRECT("'"&amp;D4&amp;"'"&amp;"!A:A"),结果表!B19,INDIRECT("'"&amp;D4&amp;"'"&amp;"!B:B"))</f>
        <v>267738</v>
      </c>
      <c r="E19" s="1761" t="s">
        <v>1287</v>
      </c>
      <c r="F19" s="1762" t="s">
        <v>1286</v>
      </c>
      <c r="G19" s="136">
        <f ca="1">ROUND(C19*$C$18+D19*$D$18,0)</f>
        <v>286836</v>
      </c>
      <c r="H19" s="1763" t="s">
        <v>1288</v>
      </c>
      <c r="I19" s="129"/>
      <c r="K19" s="302" t="s">
        <v>1289</v>
      </c>
      <c r="L19" s="302">
        <f>IF(C1="",'数据-汇总表'!D3,SUMIF(项目类型,C1,'数据-汇总表'!D17:D26)+SUMIF(项目类型,C1,'数据-汇总表'!H17:H27))</f>
        <v>6733.47</v>
      </c>
      <c r="M19" s="302">
        <f>IF(C1="",'数据-汇总表'!D3,SUMIF(项目类型,C1,'数据-汇总表'!D17:D26))</f>
        <v>6733.47</v>
      </c>
    </row>
    <row r="20" spans="1:36" ht="15">
      <c r="A20" s="1764"/>
      <c r="B20" s="1026" t="s">
        <v>1290</v>
      </c>
      <c r="C20" s="137">
        <f ca="1">SUMIF(INDIRECT("'"&amp;C4&amp;"'"&amp;"!A:A"),结果表!B20,INDIRECT("'"&amp;C4&amp;"'"&amp;"!B:B"))</f>
        <v>65000</v>
      </c>
      <c r="D20" s="138">
        <f ca="1">SUMIF(INDIRECT("'"&amp;D4&amp;"'"&amp;"!A:A"),结果表!B20,INDIRECT("'"&amp;D4&amp;"'"&amp;"!B:B"))</f>
        <v>56885</v>
      </c>
      <c r="E20" s="1764"/>
      <c r="F20" s="1026" t="s">
        <v>1290</v>
      </c>
      <c r="G20" s="139">
        <f ca="1">ROUND(C20*$C$18+D20*$D$18,0)</f>
        <v>60943</v>
      </c>
      <c r="H20" s="808" t="s">
        <v>1291</v>
      </c>
      <c r="I20" s="129"/>
    </row>
    <row r="21" spans="1:36" ht="15" customHeight="1" thickBot="1">
      <c r="A21" s="828"/>
      <c r="B21" s="1765" t="s">
        <v>1292</v>
      </c>
      <c r="C21" s="719">
        <f ca="1">ROUND(C19*10000/L19,0)</f>
        <v>454348</v>
      </c>
      <c r="D21" s="720">
        <f ca="1">ROUND(D19*10000/L19,0)</f>
        <v>397623</v>
      </c>
      <c r="E21" s="828"/>
      <c r="F21" s="1765" t="s">
        <v>1292</v>
      </c>
      <c r="G21" s="140">
        <f ca="1">ROUND(G19*10000/L19,0)</f>
        <v>425985</v>
      </c>
      <c r="H21" s="1766" t="s">
        <v>1291</v>
      </c>
      <c r="I21" s="129"/>
    </row>
    <row r="22" spans="1:36" ht="15" thickBot="1">
      <c r="A22" s="1688" t="s">
        <v>1293</v>
      </c>
      <c r="B22" s="1767"/>
      <c r="C22" s="1768"/>
      <c r="D22" s="721">
        <f ca="1">IF(C19&lt;D19,D19/C19-1,C19/D19-1)</f>
        <v>0.14266185599354597</v>
      </c>
      <c r="E22" s="129"/>
      <c r="F22" s="129"/>
      <c r="G22" s="129"/>
      <c r="H22" s="129"/>
      <c r="I22" s="129"/>
    </row>
    <row r="23" spans="1:36" ht="13.5" thickBot="1">
      <c r="A23" s="1747"/>
      <c r="B23" s="1747"/>
      <c r="C23" s="1747"/>
      <c r="D23" s="1747"/>
      <c r="E23" s="129"/>
      <c r="F23" s="129"/>
      <c r="G23" s="129"/>
      <c r="H23" s="129"/>
      <c r="I23" s="129"/>
    </row>
    <row r="24" spans="1:36" ht="14.25">
      <c r="A24" s="3649" t="s">
        <v>1294</v>
      </c>
      <c r="B24" s="1762" t="s">
        <v>1286</v>
      </c>
      <c r="C24" s="136">
        <f>IF(B30=0,0,D30)</f>
        <v>0</v>
      </c>
      <c r="D24" s="1769"/>
      <c r="E24" s="129"/>
      <c r="F24" s="129"/>
      <c r="G24" s="129"/>
      <c r="H24" s="129"/>
      <c r="I24" s="129"/>
    </row>
    <row r="25" spans="1:36" ht="14.25">
      <c r="A25" s="3650"/>
      <c r="B25" s="1026" t="s">
        <v>1290</v>
      </c>
      <c r="C25" s="141">
        <f>IF(B30=0,0,C30)</f>
        <v>0</v>
      </c>
      <c r="D25" s="1770"/>
      <c r="E25" s="129"/>
      <c r="F25" s="129"/>
      <c r="G25" s="129"/>
      <c r="H25" s="129"/>
      <c r="I25" s="129"/>
    </row>
    <row r="26" spans="1:36" ht="13.5" customHeight="1">
      <c r="A26" s="1771" t="s">
        <v>1295</v>
      </c>
      <c r="B26" s="142" t="s">
        <v>1296</v>
      </c>
      <c r="C26" s="142" t="s">
        <v>1297</v>
      </c>
      <c r="D26" s="143" t="s">
        <v>1298</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1299</v>
      </c>
      <c r="B30" s="142"/>
      <c r="C30" s="142"/>
      <c r="D30" s="142"/>
      <c r="E30" s="2303" t="s">
        <v>2127</v>
      </c>
      <c r="F30" s="129"/>
      <c r="G30" s="129"/>
      <c r="H30" s="129"/>
      <c r="I30" s="129"/>
    </row>
    <row r="31" spans="1:36" s="2309" customFormat="1" ht="26.45" customHeight="1" thickTop="1" thickBot="1">
      <c r="A31" s="2304"/>
      <c r="B31" s="2305"/>
      <c r="C31" s="2305"/>
      <c r="D31" s="2305"/>
      <c r="E31" s="2305"/>
      <c r="F31" s="2305"/>
      <c r="G31" s="2305"/>
      <c r="H31" s="2305"/>
      <c r="I31" s="2306" t="s">
        <v>2128</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1300</v>
      </c>
      <c r="B32" s="1774"/>
      <c r="C32" s="144">
        <f ca="1">IF(D32="总价",G19-C24,G20-C25)</f>
        <v>286836</v>
      </c>
      <c r="D32" s="1775" t="s">
        <v>3533</v>
      </c>
      <c r="E32" s="129"/>
      <c r="F32" s="129"/>
      <c r="G32" s="129"/>
      <c r="H32" s="129"/>
      <c r="I32" s="129"/>
    </row>
    <row r="33" spans="1:15" ht="15">
      <c r="A33" s="786" t="s">
        <v>1301</v>
      </c>
      <c r="B33" s="1776"/>
      <c r="C33" s="1777"/>
      <c r="D33" s="1778"/>
      <c r="E33" s="1779" t="s">
        <v>1302</v>
      </c>
      <c r="F33" s="1780" t="str">
        <f>IF(D32="楼面单价","取值（单价）","取值（总价）")</f>
        <v>取值（总价）</v>
      </c>
      <c r="G33" s="129"/>
      <c r="H33" s="129"/>
      <c r="I33" s="129"/>
    </row>
    <row r="34" spans="1:15" ht="15">
      <c r="A34" s="1781"/>
      <c r="B34" s="1782" t="s">
        <v>1303</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1304</v>
      </c>
      <c r="F34" s="1330"/>
      <c r="G34" s="129"/>
      <c r="H34" s="129"/>
      <c r="I34" s="129"/>
    </row>
    <row r="35" spans="1:15" ht="15.75" thickBot="1">
      <c r="A35" s="1784"/>
      <c r="B35" s="1785" t="s">
        <v>1305</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1306</v>
      </c>
      <c r="F35" s="154"/>
      <c r="G35" s="129"/>
      <c r="H35" s="129"/>
      <c r="I35" s="129"/>
    </row>
    <row r="36" spans="1:15" ht="15.75" thickBot="1">
      <c r="A36" s="3626" t="s">
        <v>1307</v>
      </c>
      <c r="B36" s="1787" t="s">
        <v>1308</v>
      </c>
      <c r="C36" s="145"/>
      <c r="D36" s="1788"/>
      <c r="E36" s="1789"/>
      <c r="F36" s="1790"/>
      <c r="G36" s="129"/>
      <c r="H36" s="129"/>
      <c r="I36" s="129"/>
    </row>
    <row r="37" spans="1:15" ht="15.75" thickBot="1">
      <c r="A37" s="3627"/>
      <c r="B37" s="1674" t="s">
        <v>1309</v>
      </c>
      <c r="C37" s="147"/>
      <c r="D37" s="1139"/>
      <c r="E37" s="1139"/>
      <c r="F37" s="1790"/>
      <c r="G37" s="129"/>
      <c r="H37" s="129"/>
      <c r="I37" s="129"/>
    </row>
    <row r="38" spans="1:15" ht="15.75" thickBot="1">
      <c r="A38" s="3628"/>
      <c r="B38" s="1791" t="s">
        <v>1310</v>
      </c>
      <c r="C38" s="674"/>
      <c r="D38" s="1792" t="s">
        <v>1311</v>
      </c>
      <c r="E38" s="1139"/>
      <c r="F38" s="1790"/>
      <c r="G38" s="129"/>
      <c r="H38" s="129"/>
      <c r="I38" s="129"/>
    </row>
    <row r="39" spans="1:15" ht="15">
      <c r="A39" s="1764" t="s">
        <v>1312</v>
      </c>
      <c r="B39" s="1793" t="s">
        <v>1313</v>
      </c>
      <c r="C39" s="1794" t="s">
        <v>1314</v>
      </c>
      <c r="D39" s="1794" t="s">
        <v>1315</v>
      </c>
      <c r="E39" s="1795" t="s">
        <v>1316</v>
      </c>
      <c r="F39" s="1790"/>
      <c r="G39" s="129"/>
      <c r="H39" s="129"/>
      <c r="I39" s="129"/>
    </row>
    <row r="40" spans="1:15" ht="14.25">
      <c r="A40" s="1796" t="s">
        <v>1317</v>
      </c>
      <c r="B40" s="149"/>
      <c r="C40" s="150"/>
      <c r="D40" s="150"/>
      <c r="E40" s="151"/>
      <c r="F40" s="1790"/>
      <c r="G40" s="129"/>
      <c r="H40" s="129"/>
      <c r="I40" s="129"/>
    </row>
    <row r="41" spans="1:15" ht="14.25">
      <c r="A41" s="1796" t="s">
        <v>1318</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1319</v>
      </c>
      <c r="B44" s="1801"/>
      <c r="C44" s="1801"/>
      <c r="D44" s="1802"/>
      <c r="E44" s="1802"/>
      <c r="F44" s="1803"/>
      <c r="G44" s="1803"/>
      <c r="H44" s="1803"/>
      <c r="I44" s="1803"/>
      <c r="J44" s="1804" t="s">
        <v>1320</v>
      </c>
      <c r="K44" s="1805"/>
      <c r="L44" s="1805"/>
      <c r="M44" s="1805"/>
      <c r="N44" s="1805"/>
      <c r="O44" s="1805"/>
    </row>
    <row r="45" spans="1:15" ht="14.25" customHeight="1" thickBot="1">
      <c r="A45" s="3646" t="s">
        <v>1321</v>
      </c>
      <c r="B45" s="3647"/>
      <c r="C45" s="3648"/>
      <c r="D45" s="155">
        <f ca="1">ROUND(H101*F45,0)</f>
        <v>286836</v>
      </c>
      <c r="E45" s="156" t="s">
        <v>1322</v>
      </c>
      <c r="F45" s="157">
        <v>1</v>
      </c>
      <c r="G45" s="158" t="s">
        <v>1323</v>
      </c>
      <c r="H45" s="129"/>
      <c r="I45" s="129"/>
      <c r="J45" s="3566" t="s">
        <v>1324</v>
      </c>
      <c r="K45" s="3566"/>
      <c r="L45" s="3566"/>
      <c r="M45" s="3566"/>
      <c r="N45" s="3566"/>
      <c r="O45" s="3566"/>
    </row>
    <row r="46" spans="1:15" ht="14.25" customHeight="1">
      <c r="A46" s="3643" t="s">
        <v>1325</v>
      </c>
      <c r="B46" s="3644"/>
      <c r="C46" s="3644"/>
      <c r="D46" s="3644"/>
      <c r="E46" s="3644"/>
      <c r="F46" s="3644"/>
      <c r="G46" s="3645"/>
      <c r="H46" s="1806"/>
      <c r="I46" s="159"/>
      <c r="J46" s="2523">
        <v>1</v>
      </c>
      <c r="K46" s="3567" t="s">
        <v>1326</v>
      </c>
      <c r="L46" s="3567"/>
      <c r="M46" s="3568"/>
      <c r="N46" s="3568"/>
      <c r="O46" s="3568"/>
    </row>
    <row r="47" spans="1:15" ht="12" customHeight="1">
      <c r="A47" s="160" t="s">
        <v>1327</v>
      </c>
      <c r="B47" s="161"/>
      <c r="C47" s="162"/>
      <c r="D47" s="1087" t="s">
        <v>1328</v>
      </c>
      <c r="E47" s="302" t="s">
        <v>1329</v>
      </c>
      <c r="F47" s="163" t="s">
        <v>1330</v>
      </c>
      <c r="G47" s="2546" t="s">
        <v>1331</v>
      </c>
      <c r="H47" s="2547"/>
      <c r="I47" s="159"/>
      <c r="J47" s="2523">
        <v>2</v>
      </c>
      <c r="K47" s="3567" t="s">
        <v>1332</v>
      </c>
      <c r="L47" s="3567"/>
      <c r="M47" s="3569">
        <f>'数据-取费表'!B2</f>
        <v>45142</v>
      </c>
      <c r="N47" s="3569"/>
      <c r="O47" s="3569"/>
    </row>
    <row r="48" spans="1:15" ht="25.5">
      <c r="A48" s="3629" t="s">
        <v>1333</v>
      </c>
      <c r="B48" s="3630"/>
      <c r="C48" s="363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1334</v>
      </c>
      <c r="H48" s="2550"/>
      <c r="I48" s="1806"/>
      <c r="J48" s="2523">
        <v>3</v>
      </c>
      <c r="K48" s="3567" t="s">
        <v>1335</v>
      </c>
      <c r="L48" s="3567"/>
      <c r="M48" s="3570">
        <f ca="1">H101</f>
        <v>286836</v>
      </c>
      <c r="N48" s="3570"/>
      <c r="O48" s="3570"/>
    </row>
    <row r="49" spans="1:35" ht="25.5" customHeight="1">
      <c r="A49" s="2333" t="s">
        <v>1336</v>
      </c>
      <c r="B49" s="3615" t="s">
        <v>1337</v>
      </c>
      <c r="C49" s="3615"/>
      <c r="D49" s="1590">
        <v>0</v>
      </c>
      <c r="E49" s="324" t="s">
        <v>1338</v>
      </c>
      <c r="F49" s="2424" t="s">
        <v>28</v>
      </c>
      <c r="G49" s="3598"/>
      <c r="H49" s="2310" t="s">
        <v>2129</v>
      </c>
      <c r="I49" s="2311"/>
      <c r="J49" s="2523">
        <v>4</v>
      </c>
      <c r="K49" s="3567" t="str">
        <f>IF(项目基本情况!E8="房地产抵押价值","房地产抵押价值","抵押担保权已注销时的房地产抵押价值")</f>
        <v>房地产抵押价值</v>
      </c>
      <c r="L49" s="3567"/>
      <c r="M49" s="3570">
        <f ca="1">IF(项目基本情况!E8="房地产抵押价值",H107,H109)</f>
        <v>286836</v>
      </c>
      <c r="N49" s="3570"/>
      <c r="O49" s="3570"/>
    </row>
    <row r="50" spans="1:35" ht="25.5" customHeight="1">
      <c r="A50" s="2551"/>
      <c r="B50" s="3615" t="s">
        <v>1339</v>
      </c>
      <c r="C50" s="3615"/>
      <c r="D50" s="2552"/>
      <c r="E50" s="332"/>
      <c r="F50" s="2424"/>
      <c r="G50" s="3599"/>
      <c r="H50" s="2312" t="s">
        <v>2130</v>
      </c>
      <c r="I50" s="2311"/>
      <c r="J50" s="3566" t="s">
        <v>1340</v>
      </c>
      <c r="K50" s="3566"/>
      <c r="L50" s="3566"/>
      <c r="M50" s="3566"/>
      <c r="N50" s="3566"/>
      <c r="O50" s="3566"/>
    </row>
    <row r="51" spans="1:35" ht="20.45" customHeight="1">
      <c r="A51" s="2553"/>
      <c r="B51" s="3615" t="s">
        <v>1341</v>
      </c>
      <c r="C51" s="3615"/>
      <c r="D51" s="1087"/>
      <c r="E51" s="327"/>
      <c r="F51" s="2424"/>
      <c r="G51" s="3600"/>
      <c r="H51" s="2312" t="s">
        <v>2131</v>
      </c>
      <c r="I51" s="2311"/>
      <c r="J51" s="2524" t="s">
        <v>1342</v>
      </c>
      <c r="K51" s="3567" t="s">
        <v>1343</v>
      </c>
      <c r="L51" s="3567"/>
      <c r="M51" s="2524" t="s">
        <v>1344</v>
      </c>
      <c r="N51" s="2524" t="s">
        <v>1345</v>
      </c>
      <c r="O51" s="2524" t="s">
        <v>1346</v>
      </c>
    </row>
    <row r="52" spans="1:35" ht="24" customHeight="1">
      <c r="A52" s="2335" t="s">
        <v>1347</v>
      </c>
      <c r="B52" s="3615" t="s">
        <v>1348</v>
      </c>
      <c r="C52" s="3615"/>
      <c r="D52" s="1087">
        <f ca="1">ROUND(D45*'数据-取费表'!B41/(1+'数据-取费表'!C42),0)</f>
        <v>15298</v>
      </c>
      <c r="E52" s="2334" t="s">
        <v>1349</v>
      </c>
      <c r="F52" s="2554">
        <f>'数据-取费表'!B41</f>
        <v>5.6000000000000001E-2</v>
      </c>
      <c r="G52" s="2555"/>
      <c r="H52" s="2544"/>
      <c r="I52" s="1807"/>
      <c r="J52" s="2523">
        <v>1</v>
      </c>
      <c r="K52" s="3592" t="s">
        <v>1350</v>
      </c>
      <c r="L52" s="3592"/>
      <c r="M52" s="2525" t="b">
        <f>D48</f>
        <v>0</v>
      </c>
      <c r="N52" s="2523" t="str">
        <f>E48</f>
        <v>销售额×税（费）率</v>
      </c>
      <c r="O52" s="2526">
        <f>F48</f>
        <v>5.6000000000000001E-2</v>
      </c>
    </row>
    <row r="53" spans="1:35" ht="12" customHeight="1">
      <c r="A53" s="2335" t="s">
        <v>1351</v>
      </c>
      <c r="B53" s="3616" t="s">
        <v>2286</v>
      </c>
      <c r="C53" s="3617"/>
      <c r="D53" s="1087">
        <f ca="1">ROUND(D45*'数据-取费表'!B41/(1+'数据-取费表'!C42),0)</f>
        <v>15298</v>
      </c>
      <c r="E53" s="2334" t="s">
        <v>1349</v>
      </c>
      <c r="F53" s="2554">
        <f>'数据-取费表'!B41</f>
        <v>5.6000000000000001E-2</v>
      </c>
      <c r="G53" s="2555"/>
      <c r="H53" s="2544"/>
      <c r="I53" s="1807"/>
      <c r="J53" s="2523">
        <v>2</v>
      </c>
      <c r="K53" s="3592" t="s">
        <v>1352</v>
      </c>
      <c r="L53" s="3592"/>
      <c r="M53" s="2525">
        <f t="shared" ref="M53:O54" ca="1" si="0">D55</f>
        <v>143</v>
      </c>
      <c r="N53" s="2523" t="str">
        <f t="shared" si="0"/>
        <v>销售额×税（费）率</v>
      </c>
      <c r="O53" s="2526" t="str">
        <f t="shared" si="0"/>
        <v>免征</v>
      </c>
    </row>
    <row r="54" spans="1:35" ht="12" customHeight="1">
      <c r="A54" s="2335" t="s">
        <v>1353</v>
      </c>
      <c r="B54" s="3616" t="s">
        <v>2287</v>
      </c>
      <c r="C54" s="3617"/>
      <c r="D54" s="1087">
        <f ca="1">C68</f>
        <v>15298</v>
      </c>
      <c r="E54" s="327" t="s">
        <v>1354</v>
      </c>
      <c r="F54" s="2554">
        <f>'数据-取费表'!B41</f>
        <v>5.6000000000000001E-2</v>
      </c>
      <c r="G54" s="2555"/>
      <c r="H54" s="2556"/>
      <c r="I54" s="1807"/>
      <c r="J54" s="2523">
        <v>3</v>
      </c>
      <c r="K54" s="3592" t="s">
        <v>1355</v>
      </c>
      <c r="L54" s="3592"/>
      <c r="M54" s="2525">
        <f t="shared" ca="1" si="0"/>
        <v>162349</v>
      </c>
      <c r="N54" s="2523" t="str">
        <f t="shared" si="0"/>
        <v>增值额×税（费）率</v>
      </c>
      <c r="O54" s="2527" t="str">
        <f t="shared" si="0"/>
        <v>免征</v>
      </c>
    </row>
    <row r="55" spans="1:35" ht="24" customHeight="1">
      <c r="A55" s="3652" t="s">
        <v>1356</v>
      </c>
      <c r="B55" s="3630"/>
      <c r="C55" s="3630"/>
      <c r="D55" s="2324">
        <f ca="1">IF(H55="个人住宅",0,ROUND(D45*I55,0))</f>
        <v>143</v>
      </c>
      <c r="E55" s="2334" t="s">
        <v>1357</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f ca="1">D59</f>
        <v>2732</v>
      </c>
      <c r="N55" s="2040" t="str">
        <f>E59</f>
        <v>差额计税</v>
      </c>
      <c r="O55" s="2529">
        <f>F59</f>
        <v>0.01</v>
      </c>
    </row>
    <row r="56" spans="1:35" ht="24.75">
      <c r="A56" s="3652" t="s">
        <v>1358</v>
      </c>
      <c r="B56" s="3630"/>
      <c r="C56" s="3630"/>
      <c r="D56" s="2324">
        <f ca="1">IF(H56="个人住宅",D57,D58)</f>
        <v>162349</v>
      </c>
      <c r="E56" s="2334" t="s">
        <v>1359</v>
      </c>
      <c r="F56" s="2554" t="str">
        <f>IF(H56="正常",F58,"免征")</f>
        <v>免征</v>
      </c>
      <c r="G56" s="2557" t="s">
        <v>1360</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1336</v>
      </c>
      <c r="B57" s="3616" t="s">
        <v>1361</v>
      </c>
      <c r="C57" s="3617"/>
      <c r="D57" s="1590">
        <v>0</v>
      </c>
      <c r="E57" s="324" t="s">
        <v>1338</v>
      </c>
      <c r="F57" s="302"/>
      <c r="G57" s="2555"/>
      <c r="H57" s="2559"/>
      <c r="I57" s="1808"/>
      <c r="J57" s="3592">
        <f>IF(AND(J55="",J56=""),4,IF(项目基本情况!K6="上海银行",结果表!J56+1,结果表!J55+1))</f>
        <v>5</v>
      </c>
      <c r="K57" s="3592" t="s">
        <v>1362</v>
      </c>
      <c r="L57" s="2530" t="s">
        <v>1363</v>
      </c>
      <c r="M57" s="2531"/>
      <c r="N57" s="2532">
        <f ca="1">SUMIF(M52:M56,"&lt;9e307")</f>
        <v>165224</v>
      </c>
      <c r="O57" s="2533"/>
      <c r="P57" s="2690">
        <f ca="1">N57/M49</f>
        <v>0.57602253552552674</v>
      </c>
    </row>
    <row r="58" spans="1:35" ht="24.75">
      <c r="A58" s="2335" t="s">
        <v>1347</v>
      </c>
      <c r="B58" s="3616" t="s">
        <v>1364</v>
      </c>
      <c r="C58" s="3615"/>
      <c r="D58" s="2324">
        <f ca="1">IF(H58="转让取得",C81,C97)</f>
        <v>162349</v>
      </c>
      <c r="E58" s="2334" t="s">
        <v>1359</v>
      </c>
      <c r="F58" s="302" t="s">
        <v>28</v>
      </c>
      <c r="G58" s="2555"/>
      <c r="H58" s="2558"/>
      <c r="I58" s="1808"/>
      <c r="J58" s="3592"/>
      <c r="K58" s="3592"/>
      <c r="L58" s="2530" t="s">
        <v>1365</v>
      </c>
      <c r="M58" s="2534"/>
      <c r="N58" s="2535" t="str">
        <f ca="1">NUMBERSTRING(INT(N57*10000),2)&amp;"元整"</f>
        <v>壹拾陆亿伍仟贰佰贰拾肆万元整</v>
      </c>
      <c r="O58" s="2536"/>
    </row>
    <row r="59" spans="1:35" ht="24.75" thickBot="1">
      <c r="A59" s="3596" t="s">
        <v>1366</v>
      </c>
      <c r="B59" s="3597"/>
      <c r="C59" s="3597"/>
      <c r="D59" s="2560">
        <f ca="1">IF(H59="非个人房产","——",IF(H59="个人住宅（满五唯一有凭证）",0,IF(H59="个人其他（无凭证）",ROUND(D45*F59,0),ROUND(C67*F59,0))))</f>
        <v>2732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1360</v>
      </c>
      <c r="H59" s="2314"/>
      <c r="I59" s="2313" t="s">
        <v>2132</v>
      </c>
      <c r="J59" s="3594">
        <f>J57+1</f>
        <v>6</v>
      </c>
      <c r="K59" s="3592" t="s">
        <v>1367</v>
      </c>
      <c r="L59" s="2523" t="s">
        <v>1363</v>
      </c>
      <c r="M59" s="2537"/>
      <c r="N59" s="2538">
        <f ca="1">M49-N57</f>
        <v>121612</v>
      </c>
      <c r="O59" s="2539"/>
    </row>
    <row r="60" spans="1:35" ht="12" customHeight="1">
      <c r="A60" s="1809"/>
      <c r="B60" s="1747"/>
      <c r="C60" s="1747"/>
      <c r="D60" s="1747"/>
      <c r="E60" s="1578"/>
      <c r="F60" s="1808"/>
      <c r="G60" s="1808"/>
      <c r="H60" s="1810"/>
      <c r="I60" s="129"/>
      <c r="J60" s="3595"/>
      <c r="K60" s="3592"/>
      <c r="L60" s="2530" t="s">
        <v>1365</v>
      </c>
      <c r="M60" s="2534"/>
      <c r="N60" s="2535" t="str">
        <f ca="1">NUMBERSTRING(INT(N59*10000),2)&amp;"元整"</f>
        <v>壹拾贰亿壹仟陆佰壹拾贰万元整</v>
      </c>
      <c r="O60" s="2536"/>
    </row>
    <row r="61" spans="1:35" ht="13.5" thickBot="1">
      <c r="A61" s="3651" t="s">
        <v>1368</v>
      </c>
      <c r="B61" s="3651"/>
      <c r="C61" s="3651"/>
      <c r="D61" s="3651"/>
      <c r="E61" s="3651"/>
      <c r="F61" s="1808"/>
      <c r="G61" s="1808"/>
      <c r="H61" s="1810"/>
      <c r="I61" s="129"/>
      <c r="J61" s="2523">
        <f>J59+1</f>
        <v>7</v>
      </c>
      <c r="K61" s="3592" t="s">
        <v>1369</v>
      </c>
      <c r="L61" s="3592"/>
      <c r="M61" s="2540"/>
      <c r="N61" s="2541">
        <f ca="1">ROUND(N59*10000/'数据-汇总表'!E3,0)</f>
        <v>18079</v>
      </c>
      <c r="O61" s="2542"/>
    </row>
    <row r="62" spans="1:35" ht="12.75">
      <c r="A62" s="3611" t="s">
        <v>1370</v>
      </c>
      <c r="B62" s="3612"/>
      <c r="C62" s="2021"/>
      <c r="D62" s="2021" t="s">
        <v>1371</v>
      </c>
      <c r="E62" s="166" t="s">
        <v>1372</v>
      </c>
      <c r="F62" s="1808"/>
      <c r="G62" s="1808"/>
      <c r="H62" s="1810"/>
      <c r="I62" s="129"/>
    </row>
    <row r="63" spans="1:35" ht="12.75">
      <c r="A63" s="173" t="s">
        <v>330</v>
      </c>
      <c r="B63" s="167" t="s">
        <v>1373</v>
      </c>
      <c r="C63" s="2564">
        <f ca="1">ROUND((C64+C65)/(1+'数据-取费表'!C42),0)</f>
        <v>273177</v>
      </c>
      <c r="D63" s="167"/>
      <c r="E63" s="168"/>
      <c r="F63" s="1808"/>
      <c r="G63" s="1808"/>
      <c r="H63" s="1810"/>
      <c r="I63" s="129"/>
      <c r="J63" s="3575" t="s">
        <v>1374</v>
      </c>
      <c r="K63" s="1332" t="s">
        <v>1375</v>
      </c>
      <c r="L63" s="1332">
        <f ca="1">IF(M49&gt;10000,M49*0.5%,IF(AND(M49&gt;1000,M49&lt;=10000),M49*1%,IF(AND(M49&gt;100,M49&lt;=1000),M49*3%,IF(AND(M49&gt;10,M49&lt;=100),M49*5%,M49*8%))))</f>
        <v>1434.18</v>
      </c>
      <c r="M63" s="302">
        <f ca="1">ROUND(L63,1)</f>
        <v>1434.2</v>
      </c>
      <c r="N63" s="2543"/>
      <c r="Z63" s="1752"/>
      <c r="AI63" s="1753"/>
    </row>
    <row r="64" spans="1:35" ht="14.25" customHeight="1">
      <c r="A64" s="169" t="s">
        <v>325</v>
      </c>
      <c r="B64" s="170" t="s">
        <v>1376</v>
      </c>
      <c r="C64" s="2565">
        <f ca="1">D45</f>
        <v>286836</v>
      </c>
      <c r="D64" s="170" t="s">
        <v>26</v>
      </c>
      <c r="E64" s="172"/>
      <c r="F64" s="1808"/>
      <c r="G64" s="1808"/>
      <c r="H64" s="1810"/>
      <c r="I64" s="129"/>
      <c r="J64" s="3575"/>
      <c r="K64" s="1332" t="s">
        <v>1377</v>
      </c>
      <c r="L64" s="1332">
        <f ca="1">IF(M49&gt;2000,M49*0.5%,IF(AND(M49&gt;1000,M49&lt;=2000),M49*0.6%,IF(AND(M49&gt;500,M49&lt;=1000),M49*0.7%,IF(AND(M49&gt;200,M49&lt;=500),M49*0.8%,IF(AND(M49&gt;100,M49&lt;=200),M49*0.9%,IF(AND(M49&gt;50,M49&lt;=100),M49*1%,IF(AND(M49&gt;20,M49&lt;=50),M49*1.5%,IF(AND(M49&gt;10,M49&lt;=20),M49*2%,IF(AND(M49&gt;1,M49&lt;=10),M49*2.5%)))))))))</f>
        <v>1434.18</v>
      </c>
      <c r="M64" s="302">
        <f t="shared" ref="M64:M65" ca="1" si="1">ROUND(L64,1)</f>
        <v>1434.2</v>
      </c>
      <c r="N64" s="2544" t="s">
        <v>1378</v>
      </c>
      <c r="Z64" s="1752"/>
      <c r="AI64" s="1753"/>
    </row>
    <row r="65" spans="1:35" ht="14.25" customHeight="1">
      <c r="A65" s="169" t="s">
        <v>326</v>
      </c>
      <c r="B65" s="170" t="s">
        <v>1379</v>
      </c>
      <c r="C65" s="2566"/>
      <c r="D65" s="170"/>
      <c r="E65" s="172"/>
      <c r="F65" s="1808"/>
      <c r="G65" s="1808"/>
      <c r="H65" s="1810"/>
      <c r="I65" s="129"/>
      <c r="J65" s="3575"/>
      <c r="K65" s="1332" t="s">
        <v>1380</v>
      </c>
      <c r="L65" s="1332">
        <f ca="1">IF(M49&gt;1000,M49*0.1%,IF(AND(M49&gt;500,M49&lt;=1000),M49*0.5%,IF(AND(M49&gt;50,M49&lt;=500),M49*1%,IF(AND(M49&gt;1,M49&lt;=50),M49*1.5%))))</f>
        <v>286.83600000000001</v>
      </c>
      <c r="M65" s="302">
        <f t="shared" ca="1" si="1"/>
        <v>286.8</v>
      </c>
      <c r="N65" s="2544" t="s">
        <v>1378</v>
      </c>
      <c r="Z65" s="1752"/>
      <c r="AI65" s="1753"/>
    </row>
    <row r="66" spans="1:35" ht="14.25" customHeight="1">
      <c r="A66" s="173" t="s">
        <v>327</v>
      </c>
      <c r="B66" s="174" t="s">
        <v>1381</v>
      </c>
      <c r="C66" s="2567"/>
      <c r="D66" s="174" t="s">
        <v>26</v>
      </c>
      <c r="E66" s="1338" t="s">
        <v>666</v>
      </c>
      <c r="F66" s="1808"/>
      <c r="G66" s="1808"/>
      <c r="H66" s="1810"/>
      <c r="I66" s="129"/>
      <c r="J66" s="3575"/>
      <c r="K66" s="1332" t="s">
        <v>1382</v>
      </c>
      <c r="L66" s="1332">
        <f ca="1">M49*0.5%</f>
        <v>1434.18</v>
      </c>
      <c r="M66" s="302">
        <f ca="1">IF(L66&gt;0.5,0.5,ROUND(L66,0))</f>
        <v>0.5</v>
      </c>
      <c r="N66" s="2544" t="s">
        <v>1383</v>
      </c>
      <c r="Z66" s="1752"/>
      <c r="AI66" s="1753"/>
    </row>
    <row r="67" spans="1:35" ht="14.25" customHeight="1">
      <c r="A67" s="173" t="s">
        <v>328</v>
      </c>
      <c r="B67" s="174" t="s">
        <v>1384</v>
      </c>
      <c r="C67" s="2568">
        <f ca="1">C63-C66</f>
        <v>273177</v>
      </c>
      <c r="D67" s="170" t="s">
        <v>26</v>
      </c>
      <c r="E67" s="172"/>
      <c r="F67" s="1808"/>
      <c r="G67" s="1808"/>
      <c r="H67" s="1810"/>
      <c r="I67" s="129"/>
      <c r="J67" s="3575"/>
      <c r="K67" s="1332" t="s">
        <v>1385</v>
      </c>
      <c r="L67" s="1332">
        <f ca="1">IF(M49&gt;=10000,(8.25+(M49-10000)*0.01%),IF(AND(M49&gt;=8000,M49&lt;10000),(7.85+(M49-8000)*0.02%),IF(AND(M49&gt;=5000,M49&lt;8000),(6.65+(M49-5000)*0.04%),IF(AND(M49&gt;=2000,M49&lt;5000),(4.25+(PM49-2000)*0.08%),IF(AND(M49&gt;=1000,M49&lt;2000),(2.75+(M49-1000)*0.15%),IF(AND(M49&gt;=100,M49&lt;1000),(0.5+(M49-100)*0.25%),IF(AND(M49&gt;0,M49&lt;100),M49*0.5%)))))))</f>
        <v>35.933599999999998</v>
      </c>
      <c r="M67" s="302">
        <f ca="1">ROUND(L67*0.9,1)</f>
        <v>32.299999999999997</v>
      </c>
      <c r="N67" s="2543"/>
      <c r="Z67" s="1752"/>
      <c r="AI67" s="1753"/>
    </row>
    <row r="68" spans="1:35" ht="14.25" customHeight="1" thickBot="1">
      <c r="A68" s="176" t="s">
        <v>329</v>
      </c>
      <c r="B68" s="177" t="s">
        <v>1386</v>
      </c>
      <c r="C68" s="2569">
        <f ca="1">IF(C67&lt;=0,0,ROUND(C67*D68,0))</f>
        <v>15298</v>
      </c>
      <c r="D68" s="2570">
        <f>'数据-取费表'!B41</f>
        <v>5.6000000000000001E-2</v>
      </c>
      <c r="E68" s="178"/>
      <c r="F68" s="1808"/>
      <c r="G68" s="1808"/>
      <c r="H68" s="1810"/>
      <c r="I68" s="129"/>
      <c r="J68" s="3575"/>
      <c r="K68" s="1332" t="s">
        <v>1387</v>
      </c>
      <c r="L68" s="1332">
        <f ca="1">IF(M49&gt;10000,M49*0.5%,IF(AND(M49&gt;5000,M49&lt;=10000),M49*1%,IF(AND(M49&gt;1000,M49&lt;=5000),M49*2%,IF(AND(M49&gt;200,M49&lt;=1000),M49*3%,M49*5%))))</f>
        <v>1434.18</v>
      </c>
      <c r="M68" s="302">
        <f ca="1">ROUND(L68,1)</f>
        <v>1434.2</v>
      </c>
      <c r="N68" s="2543"/>
      <c r="Z68" s="1752"/>
      <c r="AI68" s="1753"/>
    </row>
    <row r="69" spans="1:35" s="1772" customFormat="1" ht="16.5" customHeight="1">
      <c r="A69" s="1811"/>
      <c r="B69" s="1812"/>
      <c r="C69" s="1813"/>
      <c r="D69" s="1814"/>
      <c r="E69" s="1815"/>
      <c r="F69" s="1578"/>
      <c r="G69" s="1578"/>
      <c r="H69" s="1577"/>
      <c r="I69" s="1747"/>
      <c r="J69" s="3575"/>
      <c r="K69" s="1332" t="s">
        <v>1388</v>
      </c>
      <c r="L69" s="1332"/>
      <c r="M69" s="302">
        <f ca="1">ROUND(SUM(M63:M68),0)</f>
        <v>4622</v>
      </c>
      <c r="N69" s="2545">
        <f ca="1">M69/M49</f>
        <v>1.6113737466705712E-2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1389</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1370</v>
      </c>
      <c r="B71" s="3612"/>
      <c r="C71" s="2021"/>
      <c r="D71" s="2021" t="s">
        <v>1371</v>
      </c>
      <c r="E71" s="179" t="s">
        <v>1372</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1390</v>
      </c>
      <c r="C72" s="2568">
        <f ca="1">ROUND(D45/(1+'数据-取费表'!C42),0)</f>
        <v>273177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1391</v>
      </c>
      <c r="C73" s="2568">
        <f ca="1">C74+C78</f>
        <v>1639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1392</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1393</v>
      </c>
      <c r="C75" s="2571"/>
      <c r="D75" s="170" t="s">
        <v>26</v>
      </c>
      <c r="E75" s="184" t="s">
        <v>1394</v>
      </c>
      <c r="F75" s="2572"/>
      <c r="G75" s="184" t="s">
        <v>1395</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1396</v>
      </c>
      <c r="C76" s="170">
        <f>IF(F75="购房发票",ROUND(C75*H75*D76,0),0)</f>
        <v>0</v>
      </c>
      <c r="D76" s="2574">
        <v>0.05</v>
      </c>
      <c r="E76" s="3616" t="s">
        <v>1397</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1398</v>
      </c>
      <c r="C77" s="170">
        <f>ROUND(IF(G77="个人住宅",0,IF(G77="2016年5月1日前购买",C75*D77,C75*D77/(1+'数据-取费表'!C42))),0)</f>
        <v>0</v>
      </c>
      <c r="D77" s="2575">
        <f>'数据-取费表'!B48+'数据-取费表'!B49</f>
        <v>3.0499999999999999E-2</v>
      </c>
      <c r="E77" s="2324" t="s">
        <v>1399</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1400</v>
      </c>
      <c r="C78" s="2576">
        <f ca="1">ROUND(D45*D78/(1+'数据-取费表'!C42),0)</f>
        <v>1639</v>
      </c>
      <c r="D78" s="2577">
        <f>'数据-取费表'!B43</f>
        <v>6.000000000000001E-3</v>
      </c>
      <c r="E78" s="3608" t="s">
        <v>1401</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1402</v>
      </c>
      <c r="C79" s="2568">
        <f ca="1">C72-C73</f>
        <v>271538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1403</v>
      </c>
      <c r="C80" s="2578">
        <f ca="1">IF(C79&lt;=0,0,C79/C73)</f>
        <v>165.67297132397803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1404</v>
      </c>
      <c r="C81" s="2579">
        <f ca="1">ROUND(IF(C79&lt;=0,0,IF(C80&gt;=200%,C79*60%-C73*35%,IF(C80&gt;=100%,C79*50%-C73*15%,IF(C80&gt;=50%,C79*40%-C73*5%,IF(C80&lt;50%,C79*30%,0))))),0)</f>
        <v>162349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1405</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1370</v>
      </c>
      <c r="B84" s="3612"/>
      <c r="C84" s="2021"/>
      <c r="D84" s="2021" t="s">
        <v>1371</v>
      </c>
      <c r="E84" s="179" t="s">
        <v>1372</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1390</v>
      </c>
      <c r="C85" s="2568">
        <f ca="1">ROUND(D45/(1+'数据-取费表'!C42),0)</f>
        <v>273177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1391</v>
      </c>
      <c r="C86" s="2568">
        <f ca="1">IF(H88="仅含出让金",C87+C90+C91+C92+C93+C94,C87+C91+C92+C93+C94)</f>
        <v>1639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1406</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1407</v>
      </c>
      <c r="C88" s="2582"/>
      <c r="D88" s="2577"/>
      <c r="E88" s="193" t="s">
        <v>1408</v>
      </c>
      <c r="F88" s="2327"/>
      <c r="G88" s="194" t="s">
        <v>1409</v>
      </c>
      <c r="H88" s="1824"/>
      <c r="I88" s="1821"/>
      <c r="J88" s="2521"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1398</v>
      </c>
      <c r="C89" s="2576">
        <f>ROUND(C88*D89,0)</f>
        <v>0</v>
      </c>
      <c r="D89" s="2577">
        <f>'数据-取费表'!B48+'数据-取费表'!B49</f>
        <v>3.0499999999999999E-2</v>
      </c>
      <c r="E89" s="193" t="s">
        <v>1410</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1411</v>
      </c>
      <c r="C90" s="2582"/>
      <c r="D90" s="2577"/>
      <c r="E90" s="193" t="str">
        <f>IF(H88="-","土地取得成本中已包含该笔费用"," ")</f>
        <v xml:space="preserve"> </v>
      </c>
      <c r="F90" s="2327"/>
      <c r="G90" s="3577" t="s">
        <v>2124</v>
      </c>
      <c r="H90" s="3578"/>
      <c r="I90" s="1821"/>
      <c r="J90" s="2521"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1412</v>
      </c>
      <c r="B91" s="170" t="s">
        <v>1413</v>
      </c>
      <c r="C91" s="2576">
        <f>IF(H91="——",成本法!C33,I91)</f>
        <v>0</v>
      </c>
      <c r="D91" s="2577"/>
      <c r="E91" s="3608" t="s">
        <v>1414</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1415</v>
      </c>
      <c r="B92" s="170" t="s">
        <v>1416</v>
      </c>
      <c r="C92" s="2576">
        <f>ROUND((C87+C90+C91)*D92,0)</f>
        <v>0</v>
      </c>
      <c r="D92" s="2583"/>
      <c r="E92" s="3608" t="s">
        <v>1417</v>
      </c>
      <c r="F92" s="3609"/>
      <c r="G92" s="3609"/>
      <c r="H92" s="3610"/>
      <c r="I92" s="1821"/>
      <c r="J92" s="2522"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1418</v>
      </c>
      <c r="B93" s="170" t="s">
        <v>1400</v>
      </c>
      <c r="C93" s="2576">
        <f ca="1">ROUND(D45*D93/(1+'数据-取费表'!C42),0)</f>
        <v>1639</v>
      </c>
      <c r="D93" s="2577">
        <f>'数据-取费表'!B43</f>
        <v>6.000000000000001E-3</v>
      </c>
      <c r="E93" s="3608" t="s">
        <v>1401</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1419</v>
      </c>
      <c r="B94" s="170" t="s">
        <v>1420</v>
      </c>
      <c r="C94" s="2582">
        <f>ROUND((C87+C90+C91)*D94,0)</f>
        <v>0</v>
      </c>
      <c r="D94" s="2577">
        <v>0.2</v>
      </c>
      <c r="E94" s="3653" t="s">
        <v>1421</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1402</v>
      </c>
      <c r="C95" s="2568">
        <f ca="1">ROUND(C85-C86,0)</f>
        <v>271538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1403</v>
      </c>
      <c r="C96" s="2578">
        <f ca="1">IF(C95&lt;=0,0,C95/C86)</f>
        <v>165.67297132397803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1404</v>
      </c>
      <c r="C97" s="2579">
        <f ca="1">ROUND(IF(C95&lt;=0,0,IF(C96&gt;=200%,C95*60%-C86*35%,IF(C96&gt;=100%,C95*50%-C86*15%,IF(C96&gt;=50%,C95*40%-C86*5%,IF(C96&lt;50%,C95*30%,0))))),0)</f>
        <v>162349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1422</v>
      </c>
      <c r="B99" s="1747"/>
      <c r="C99" s="1747"/>
      <c r="D99" s="1747"/>
      <c r="E99" s="1578"/>
      <c r="F99" s="1578"/>
      <c r="G99" s="1578"/>
      <c r="H99" s="1577"/>
      <c r="I99" s="129"/>
    </row>
    <row r="100" spans="1:35" ht="18.75" customHeight="1">
      <c r="A100" s="3558" t="s">
        <v>1423</v>
      </c>
      <c r="B100" s="3559"/>
      <c r="C100" s="3559"/>
      <c r="D100" s="3593"/>
      <c r="E100" s="3559" t="s">
        <v>1424</v>
      </c>
      <c r="F100" s="3559"/>
      <c r="G100" s="3559"/>
      <c r="H100" s="3593"/>
      <c r="I100" s="129"/>
    </row>
    <row r="101" spans="1:35" ht="18.75" customHeight="1">
      <c r="A101" s="3601" t="s">
        <v>1425</v>
      </c>
      <c r="B101" s="3602"/>
      <c r="C101" s="2585" t="str">
        <f>C4</f>
        <v>比较法-办公</v>
      </c>
      <c r="D101" s="2586" t="str">
        <f>D4</f>
        <v>收益法</v>
      </c>
      <c r="E101" s="3571" t="s">
        <v>1426</v>
      </c>
      <c r="F101" s="3572"/>
      <c r="G101" s="1827" t="s">
        <v>1427</v>
      </c>
      <c r="H101" s="2595">
        <f ca="1">H118</f>
        <v>286836</v>
      </c>
      <c r="I101" s="129"/>
    </row>
    <row r="102" spans="1:35" ht="18.75" customHeight="1">
      <c r="A102" s="3603" t="s">
        <v>1428</v>
      </c>
      <c r="B102" s="2584" t="s">
        <v>1427</v>
      </c>
      <c r="C102" s="2585">
        <f ca="1">IF(D32="楼面单价",ROUND(C19,0),C19)</f>
        <v>305934</v>
      </c>
      <c r="D102" s="2586">
        <f ca="1">IF(D32="楼面单价",ROUND(D19,0),D19)</f>
        <v>267738</v>
      </c>
      <c r="E102" s="3571"/>
      <c r="F102" s="3572"/>
      <c r="G102" s="1827" t="s">
        <v>1429</v>
      </c>
      <c r="H102" s="2555">
        <f ca="1">I118</f>
        <v>60942</v>
      </c>
      <c r="I102" s="129"/>
    </row>
    <row r="103" spans="1:35" ht="42.75" customHeight="1">
      <c r="A103" s="3603"/>
      <c r="B103" s="2584" t="s">
        <v>1429</v>
      </c>
      <c r="C103" s="2587">
        <f ca="1">C20</f>
        <v>65000</v>
      </c>
      <c r="D103" s="2588">
        <f ca="1">D20</f>
        <v>56885</v>
      </c>
      <c r="E103" s="3564" t="s">
        <v>1430</v>
      </c>
      <c r="F103" s="3565"/>
      <c r="G103" s="1828" t="s">
        <v>1431</v>
      </c>
      <c r="H103" s="2595">
        <f>IF(D36="正常操作",H104+H105+H106,H105+H106)</f>
        <v>0</v>
      </c>
      <c r="I103" s="129"/>
    </row>
    <row r="104" spans="1:35" ht="18.75" customHeight="1">
      <c r="A104" s="3603" t="s">
        <v>1432</v>
      </c>
      <c r="B104" s="2589" t="s">
        <v>1427</v>
      </c>
      <c r="C104" s="2590">
        <f ca="1">H118</f>
        <v>286836</v>
      </c>
      <c r="D104" s="2591"/>
      <c r="E104" s="1674" t="s">
        <v>1433</v>
      </c>
      <c r="F104" s="1666"/>
      <c r="G104" s="1828" t="s">
        <v>1431</v>
      </c>
      <c r="H104" s="2596">
        <f>IF(D36="同一抵押权人同一抵押物续贷",C36&amp;"（续贷，未扣减，详见特别提示）",C36)</f>
        <v>0</v>
      </c>
      <c r="I104" s="129"/>
    </row>
    <row r="105" spans="1:35" ht="18.75" customHeight="1" thickBot="1">
      <c r="A105" s="3613"/>
      <c r="B105" s="2592" t="s">
        <v>1429</v>
      </c>
      <c r="C105" s="2593">
        <f ca="1">I118</f>
        <v>60942</v>
      </c>
      <c r="D105" s="2594"/>
      <c r="E105" s="1674" t="s">
        <v>1434</v>
      </c>
      <c r="F105" s="1666"/>
      <c r="G105" s="1828" t="s">
        <v>1431</v>
      </c>
      <c r="H105" s="2597">
        <f>C37</f>
        <v>0</v>
      </c>
      <c r="I105" s="129"/>
    </row>
    <row r="106" spans="1:35" ht="18.75" customHeight="1">
      <c r="A106" s="1747" t="s">
        <v>1435</v>
      </c>
      <c r="B106" s="1747"/>
      <c r="C106" s="1747"/>
      <c r="D106" s="1747"/>
      <c r="E106" s="1829" t="s">
        <v>1436</v>
      </c>
      <c r="F106" s="1666"/>
      <c r="G106" s="1828" t="s">
        <v>1431</v>
      </c>
      <c r="H106" s="2597">
        <f>C38</f>
        <v>0</v>
      </c>
      <c r="I106" s="129"/>
    </row>
    <row r="107" spans="1:35" ht="18.75" customHeight="1">
      <c r="A107" s="129"/>
      <c r="B107" s="129"/>
      <c r="C107" s="129"/>
      <c r="D107" s="129"/>
      <c r="E107" s="3604" t="str">
        <f>IF(项目基本情况!E8="已注销","——","3.房地产抵押价值")</f>
        <v>3.房地产抵押价值</v>
      </c>
      <c r="F107" s="3572"/>
      <c r="G107" s="1827" t="s">
        <v>1427</v>
      </c>
      <c r="H107" s="2595">
        <f ca="1">IF(E107="——","——",H101-H103)</f>
        <v>286836</v>
      </c>
      <c r="I107" s="129"/>
    </row>
    <row r="108" spans="1:35" ht="18.75" customHeight="1">
      <c r="A108" s="129"/>
      <c r="B108" s="129"/>
      <c r="C108" s="129"/>
      <c r="D108" s="129"/>
      <c r="E108" s="3604"/>
      <c r="F108" s="3572"/>
      <c r="G108" s="1827" t="s">
        <v>1429</v>
      </c>
      <c r="H108" s="2555">
        <f ca="1">IF(H107=H101,H102,ROUND(H107*10000/'数据-汇总表'!E3,0))</f>
        <v>60942</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1427</v>
      </c>
      <c r="H109" s="2598" t="str">
        <f>IF(E109="——","——",H101-H105-H106)</f>
        <v>——</v>
      </c>
      <c r="I109" s="129"/>
    </row>
    <row r="110" spans="1:35" ht="18.75" customHeight="1">
      <c r="A110" s="129"/>
      <c r="B110" s="129"/>
      <c r="C110" s="129"/>
      <c r="D110" s="129"/>
      <c r="E110" s="3604"/>
      <c r="F110" s="3572"/>
      <c r="G110" s="1827" t="s">
        <v>1429</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1427</v>
      </c>
      <c r="H111" s="2595" t="str">
        <f>IF(E111="——","——",N59)</f>
        <v>——</v>
      </c>
      <c r="I111" s="129"/>
    </row>
    <row r="112" spans="1:35" ht="18.75" customHeight="1" thickBot="1">
      <c r="A112" s="129"/>
      <c r="B112" s="129"/>
      <c r="C112" s="129"/>
      <c r="D112" s="129"/>
      <c r="E112" s="3606"/>
      <c r="F112" s="3607"/>
      <c r="G112" s="1830" t="s">
        <v>1429</v>
      </c>
      <c r="H112" s="2599" t="str">
        <f>IF(E111="——","——",N61)</f>
        <v>——</v>
      </c>
      <c r="I112" s="129"/>
    </row>
    <row r="113" spans="1:27" ht="18.75" customHeight="1">
      <c r="A113" s="129"/>
      <c r="B113" s="129"/>
      <c r="C113" s="129"/>
      <c r="D113" s="129"/>
      <c r="E113" s="3614" t="s">
        <v>1435</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1437</v>
      </c>
      <c r="B115" s="3623"/>
      <c r="C115" s="3623"/>
      <c r="D115" s="3623"/>
      <c r="E115" s="3623"/>
      <c r="F115" s="3623"/>
      <c r="G115" s="3623"/>
      <c r="H115" s="3623"/>
      <c r="I115" s="3624"/>
    </row>
    <row r="116" spans="1:27" ht="27" customHeight="1">
      <c r="A116" s="3579" t="s">
        <v>1438</v>
      </c>
      <c r="B116" s="3583" t="s">
        <v>1439</v>
      </c>
      <c r="C116" s="3583" t="s">
        <v>1440</v>
      </c>
      <c r="D116" s="3589" t="s">
        <v>1441</v>
      </c>
      <c r="E116" s="3590"/>
      <c r="F116" s="3621" t="s">
        <v>1442</v>
      </c>
      <c r="G116" s="3621"/>
      <c r="H116" s="3579" t="s">
        <v>1443</v>
      </c>
      <c r="I116" s="3579"/>
    </row>
    <row r="117" spans="1:27" ht="18.75" customHeight="1">
      <c r="A117" s="3579"/>
      <c r="B117" s="3584"/>
      <c r="C117" s="3584"/>
      <c r="D117" s="2329" t="s">
        <v>1444</v>
      </c>
      <c r="E117" s="2329" t="s">
        <v>1445</v>
      </c>
      <c r="F117" s="2329" t="s">
        <v>1444</v>
      </c>
      <c r="G117" s="2329" t="s">
        <v>1446</v>
      </c>
      <c r="H117" s="2329" t="s">
        <v>1444</v>
      </c>
      <c r="I117" s="2329" t="s">
        <v>1446</v>
      </c>
    </row>
    <row r="118" spans="1:27" ht="24.75" customHeight="1">
      <c r="A118" s="2600" t="str">
        <f>项目基本情况!S2</f>
        <v>北京市房地产</v>
      </c>
      <c r="B118" s="2329">
        <f>M18</f>
        <v>47066.759999999995</v>
      </c>
      <c r="C118" s="2329">
        <f>M19</f>
        <v>6733.47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286836</v>
      </c>
      <c r="I118" s="2329">
        <f ca="1">ROUND(IF(D32="楼面单价",C32,H118*10000/B118),0)</f>
        <v>60942</v>
      </c>
    </row>
    <row r="119" spans="1:27" ht="18.75" customHeight="1">
      <c r="A119" s="3579" t="s">
        <v>1447</v>
      </c>
      <c r="B119" s="3579"/>
      <c r="C119" s="3579"/>
      <c r="D119" s="3585" t="e">
        <f ca="1">NUMBERSTRING(INT(D118*10000),2)&amp;"元整"</f>
        <v>#REF!</v>
      </c>
      <c r="E119" s="3586"/>
      <c r="F119" s="3585" t="e">
        <f ca="1">NUMBERSTRING(INT(F118*10000),2)&amp;"元整"</f>
        <v>#REF!</v>
      </c>
      <c r="G119" s="3586"/>
      <c r="H119" s="3585" t="str">
        <f ca="1">NUMBERSTRING(INT(H118*10000),2)&amp;"元整"</f>
        <v>贰拾捌亿陆仟捌佰叁拾陆万元整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1447</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286836</v>
      </c>
      <c r="E122" s="3581"/>
      <c r="F122" s="3581"/>
      <c r="G122" s="3581"/>
      <c r="H122" s="3581"/>
      <c r="I122" s="3582"/>
      <c r="AA122" s="725"/>
    </row>
    <row r="123" spans="1:27" ht="18.75" customHeight="1">
      <c r="A123" s="3579" t="s">
        <v>1447</v>
      </c>
      <c r="B123" s="3579"/>
      <c r="C123" s="3579"/>
      <c r="D123" s="3585" t="str">
        <f ca="1">NUMBERSTRING(INT(D122*10000),2)&amp;"元整"</f>
        <v>贰拾捌亿陆仟捌佰叁拾陆万元整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1447</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1447</v>
      </c>
      <c r="B127" s="3579"/>
      <c r="C127" s="3579"/>
      <c r="D127" s="3585" t="e">
        <f>NUMBERSTRING(INT(D126*10000),2)&amp;"元整"</f>
        <v>#VALUE!</v>
      </c>
      <c r="E127" s="3587"/>
      <c r="F127" s="3587"/>
      <c r="G127" s="3587"/>
      <c r="H127" s="3587"/>
      <c r="I127" s="3586"/>
      <c r="AA127" s="725"/>
    </row>
    <row r="128" spans="1:27" ht="21.75" customHeight="1">
      <c r="A128" s="3588" t="s">
        <v>1448</v>
      </c>
      <c r="B128" s="3588"/>
      <c r="C128" s="3588"/>
      <c r="D128" s="3588"/>
      <c r="E128" s="3588"/>
      <c r="F128" s="3588"/>
      <c r="G128" s="3588"/>
      <c r="H128" s="3588"/>
      <c r="I128" s="3588"/>
      <c r="AA128" s="725"/>
    </row>
    <row r="129" spans="1:35" ht="21.75" customHeight="1">
      <c r="A129" s="1831" t="s">
        <v>1449</v>
      </c>
      <c r="B129" s="1832"/>
      <c r="C129" s="1833" t="s">
        <v>1450</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1451</v>
      </c>
      <c r="G135" s="1848"/>
      <c r="H135" s="1848"/>
      <c r="I135" s="1849" t="s">
        <v>1452</v>
      </c>
    </row>
    <row r="136" spans="1:35" ht="21.75" customHeight="1">
      <c r="A136" s="725"/>
      <c r="B136" s="1850"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1454</v>
      </c>
    </row>
    <row r="139" spans="1:35" ht="21.75" customHeight="1">
      <c r="A139" s="725"/>
      <c r="B139" s="1850" t="s">
        <v>1455</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1454</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Normal="70" zoomScaleSheetLayoutView="100" workbookViewId="0">
      <selection activeCell="F18" sqref="F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1805</v>
      </c>
      <c r="C1" s="1224" t="s">
        <v>1657</v>
      </c>
      <c r="D1" s="1225" t="s">
        <v>21</v>
      </c>
      <c r="E1" s="3431" t="s">
        <v>3512</v>
      </c>
      <c r="F1" s="1879" t="s">
        <v>3513</v>
      </c>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f>IF(E1="项目模式",IF(C2="——",ROUND(C50*D3/10000,0),ROUND(C50*D3/10000,0)-D2),IF(E1="单套模式",IF(C2="——",ROUND(C50*D3/10000,4),ROUND(C50*D3/10000,4)-D2)))</f>
        <v>305934</v>
      </c>
      <c r="C2" s="1881" t="s">
        <v>43</v>
      </c>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65000</v>
      </c>
      <c r="C3" s="354" t="s">
        <v>1763</v>
      </c>
      <c r="D3" s="353">
        <f>IF(D1="",'数据-汇总表'!E3,SUMIF('数据-汇总表'!$C19:$C33,D1,'数据-汇总表'!$E19:$E33))</f>
        <v>47066.759999999995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1764</v>
      </c>
      <c r="B4" s="356"/>
      <c r="C4" s="3679" t="s">
        <v>1765</v>
      </c>
      <c r="D4" s="3680"/>
      <c r="E4" s="3681" t="s">
        <v>1766</v>
      </c>
      <c r="F4" s="3682"/>
      <c r="G4" s="3679" t="s">
        <v>1767</v>
      </c>
      <c r="H4" s="3680"/>
      <c r="I4" s="3679" t="s">
        <v>1768</v>
      </c>
      <c r="J4" s="3680"/>
      <c r="K4" s="559" t="s">
        <v>1769</v>
      </c>
      <c r="L4" s="2715"/>
      <c r="M4" s="2716"/>
      <c r="N4" s="2716"/>
      <c r="O4" s="2716"/>
      <c r="P4" s="3683" t="s">
        <v>1770</v>
      </c>
      <c r="Q4" s="3684"/>
      <c r="R4" s="3663" t="s">
        <v>1766</v>
      </c>
      <c r="S4" s="3664"/>
      <c r="T4" s="3663" t="s">
        <v>1767</v>
      </c>
      <c r="U4" s="3664"/>
      <c r="V4" s="3691" t="s">
        <v>1768</v>
      </c>
      <c r="W4" s="3691"/>
      <c r="X4" s="1958"/>
      <c r="Y4" s="3663" t="s">
        <v>1770</v>
      </c>
      <c r="Z4" s="3664"/>
      <c r="AA4" s="3658" t="s">
        <v>1766</v>
      </c>
      <c r="AB4" s="3658" t="s">
        <v>1767</v>
      </c>
      <c r="AC4" s="3676" t="s">
        <v>1768</v>
      </c>
    </row>
    <row r="5" spans="1:29" ht="15">
      <c r="A5" s="358"/>
      <c r="B5" s="359"/>
      <c r="C5" s="3669" t="s">
        <v>1668</v>
      </c>
      <c r="D5" s="3670"/>
      <c r="E5" s="3667" t="s">
        <v>1669</v>
      </c>
      <c r="F5" s="3668"/>
      <c r="G5" s="3669" t="s">
        <v>1670</v>
      </c>
      <c r="H5" s="3670"/>
      <c r="I5" s="3669" t="s">
        <v>1671</v>
      </c>
      <c r="J5" s="3670"/>
      <c r="K5" s="559"/>
      <c r="L5" s="2715"/>
      <c r="M5" s="2716"/>
      <c r="N5" s="2716"/>
      <c r="O5" s="2716"/>
      <c r="P5" s="3685"/>
      <c r="Q5" s="3686"/>
      <c r="R5" s="3665"/>
      <c r="S5" s="3666"/>
      <c r="T5" s="3665"/>
      <c r="U5" s="3666"/>
      <c r="V5" s="3692"/>
      <c r="W5" s="3692"/>
      <c r="X5" s="1355"/>
      <c r="Y5" s="3665"/>
      <c r="Z5" s="3666"/>
      <c r="AA5" s="3659"/>
      <c r="AB5" s="3659"/>
      <c r="AC5" s="3677"/>
    </row>
    <row r="6" spans="1:29" ht="15.75" thickBot="1">
      <c r="A6" s="360"/>
      <c r="B6" s="361"/>
      <c r="C6" s="3671" t="s">
        <v>1672</v>
      </c>
      <c r="D6" s="3672"/>
      <c r="E6" s="3673" t="s">
        <v>1672</v>
      </c>
      <c r="F6" s="3674"/>
      <c r="G6" s="3671" t="s">
        <v>1672</v>
      </c>
      <c r="H6" s="3672"/>
      <c r="I6" s="3671" t="s">
        <v>1672</v>
      </c>
      <c r="J6" s="3672"/>
      <c r="K6" s="559" t="s">
        <v>1673</v>
      </c>
      <c r="L6" s="2715"/>
      <c r="M6" s="2716"/>
      <c r="N6" s="2716"/>
      <c r="O6" s="2716"/>
      <c r="P6" s="3687"/>
      <c r="Q6" s="3688"/>
      <c r="R6" s="3665"/>
      <c r="S6" s="3666"/>
      <c r="T6" s="3689"/>
      <c r="U6" s="3690"/>
      <c r="V6" s="3692"/>
      <c r="W6" s="3692"/>
      <c r="X6" s="1355"/>
      <c r="Y6" s="3689"/>
      <c r="Z6" s="3690"/>
      <c r="AA6" s="3660"/>
      <c r="AB6" s="3660"/>
      <c r="AC6" s="3678"/>
    </row>
    <row r="7" spans="1:29" s="108" customFormat="1" ht="15.75" thickBot="1">
      <c r="A7" s="362" t="s">
        <v>1674</v>
      </c>
      <c r="B7" s="363"/>
      <c r="C7" s="364">
        <f>'数据-取费表'!B2</f>
        <v>45142</v>
      </c>
      <c r="D7" s="365">
        <v>100</v>
      </c>
      <c r="E7" s="366">
        <f>C7</f>
        <v>45142</v>
      </c>
      <c r="F7" s="367">
        <f>SUMIF(59:59,YEAR(E7)&amp;"-"&amp;MONTH(E7),60:60)</f>
        <v>100</v>
      </c>
      <c r="G7" s="366">
        <f>C7</f>
        <v>45142</v>
      </c>
      <c r="H7" s="365">
        <f>SUMIF(59:59,YEAR(G7)&amp;"-"&amp;MONTH(G7),60:60)</f>
        <v>100</v>
      </c>
      <c r="I7" s="366">
        <f>C7</f>
        <v>45142</v>
      </c>
      <c r="J7" s="365">
        <f>SUMIF(59:59,YEAR(I7)&amp;"-"&amp;MONTH(I7),60:60)</f>
        <v>100</v>
      </c>
      <c r="K7" s="560"/>
      <c r="L7" s="2717"/>
      <c r="M7" s="2718"/>
      <c r="N7" s="2718"/>
      <c r="O7" s="2718"/>
      <c r="P7" s="3693" t="s">
        <v>1675</v>
      </c>
      <c r="Q7" s="3694"/>
      <c r="R7" s="701" t="s">
        <v>14</v>
      </c>
      <c r="S7" s="702">
        <f t="shared" ref="S7:S15" si="0">F7</f>
        <v>100</v>
      </c>
      <c r="T7" s="701" t="s">
        <v>14</v>
      </c>
      <c r="U7" s="702">
        <f t="shared" ref="U7:U15" si="1">H7</f>
        <v>100</v>
      </c>
      <c r="V7" s="701" t="s">
        <v>14</v>
      </c>
      <c r="W7" s="702">
        <f t="shared" ref="W7:W15" si="2">J7</f>
        <v>100</v>
      </c>
      <c r="X7" s="703"/>
      <c r="Y7" s="3661" t="s">
        <v>1675</v>
      </c>
      <c r="Z7" s="3662"/>
      <c r="AA7" s="704">
        <f>D7/F7</f>
        <v>1</v>
      </c>
      <c r="AB7" s="704">
        <f>D7/H7</f>
        <v>1</v>
      </c>
      <c r="AC7" s="1959">
        <f>D7/J7</f>
        <v>1</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693" t="s">
        <v>1678</v>
      </c>
      <c r="Q8" s="3662"/>
      <c r="R8" s="701" t="s">
        <v>14</v>
      </c>
      <c r="S8" s="702">
        <f t="shared" si="0"/>
        <v>100</v>
      </c>
      <c r="T8" s="701" t="s">
        <v>14</v>
      </c>
      <c r="U8" s="702">
        <f t="shared" si="1"/>
        <v>100</v>
      </c>
      <c r="V8" s="701" t="s">
        <v>14</v>
      </c>
      <c r="W8" s="702">
        <f t="shared" si="2"/>
        <v>100</v>
      </c>
      <c r="X8" s="703"/>
      <c r="Y8" s="3661" t="s">
        <v>1678</v>
      </c>
      <c r="Z8" s="3662"/>
      <c r="AA8" s="704">
        <f t="shared" ref="AA8:AA47" si="3">D8/F8</f>
        <v>1</v>
      </c>
      <c r="AB8" s="704">
        <f t="shared" ref="AB8:AB47" si="4">D8/H8</f>
        <v>1</v>
      </c>
      <c r="AC8" s="1959">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1959">
        <f t="shared" si="5"/>
        <v>1</v>
      </c>
    </row>
    <row r="10" spans="1:29" s="378" customFormat="1" ht="27">
      <c r="A10" s="374"/>
      <c r="B10" s="375" t="s">
        <v>1683</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71.25">
      <c r="A15" s="391" t="s">
        <v>1685</v>
      </c>
      <c r="B15" s="577" t="s">
        <v>1806</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1686</v>
      </c>
      <c r="Q15" s="1352" t="str">
        <f t="shared" si="6"/>
        <v>办公集聚程度</v>
      </c>
      <c r="R15" s="705" t="s">
        <v>14</v>
      </c>
      <c r="S15" s="706">
        <f t="shared" si="0"/>
        <v>100</v>
      </c>
      <c r="T15" s="705" t="s">
        <v>14</v>
      </c>
      <c r="U15" s="706">
        <f t="shared" si="1"/>
        <v>100</v>
      </c>
      <c r="V15" s="705" t="s">
        <v>14</v>
      </c>
      <c r="W15" s="706">
        <f t="shared" si="2"/>
        <v>100</v>
      </c>
      <c r="X15" s="1355"/>
      <c r="Y15" s="3697" t="s">
        <v>1686</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98"/>
      <c r="Z16" s="1356"/>
      <c r="AA16" s="1353">
        <v>1</v>
      </c>
      <c r="AB16" s="1353">
        <v>1</v>
      </c>
      <c r="AC16" s="1962">
        <v>1</v>
      </c>
    </row>
    <row r="17" spans="1:29" ht="71.25">
      <c r="A17" s="379"/>
      <c r="B17" s="579" t="s">
        <v>1254</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98"/>
      <c r="Z18" s="1356"/>
      <c r="AA18" s="1353">
        <v>1</v>
      </c>
      <c r="AB18" s="1353">
        <v>1</v>
      </c>
      <c r="AC18" s="1962">
        <v>1</v>
      </c>
    </row>
    <row r="19" spans="1:29" ht="42.75">
      <c r="A19" s="379"/>
      <c r="B19" s="579" t="s">
        <v>1807</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98"/>
      <c r="Z20" s="1356"/>
      <c r="AA20" s="1353">
        <v>1</v>
      </c>
      <c r="AB20" s="1353">
        <v>1</v>
      </c>
      <c r="AC20" s="1962">
        <v>1</v>
      </c>
    </row>
    <row r="21" spans="1:29" ht="28.5">
      <c r="A21" s="379"/>
      <c r="B21" s="581" t="s">
        <v>1808</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98"/>
      <c r="Z22" s="1356"/>
      <c r="AA22" s="1353">
        <v>1</v>
      </c>
      <c r="AB22" s="1353">
        <v>1</v>
      </c>
      <c r="AC22" s="1962">
        <v>1</v>
      </c>
    </row>
    <row r="23" spans="1:29" ht="42.75">
      <c r="A23" s="379"/>
      <c r="B23" s="579" t="s">
        <v>1809</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98"/>
      <c r="Z24" s="1356"/>
      <c r="AA24" s="1353">
        <v>1</v>
      </c>
      <c r="AB24" s="1353">
        <v>1</v>
      </c>
      <c r="AC24" s="1962">
        <v>1</v>
      </c>
    </row>
    <row r="25" spans="1:29" ht="27">
      <c r="A25" s="358"/>
      <c r="B25" s="579" t="s">
        <v>1810</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98"/>
      <c r="Z26" s="1356"/>
      <c r="AA26" s="1353">
        <v>1</v>
      </c>
      <c r="AB26" s="1353">
        <v>1</v>
      </c>
      <c r="AC26" s="1962">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1811</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1689</v>
      </c>
      <c r="B33" s="63" t="s">
        <v>1812</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1691</v>
      </c>
      <c r="Q33" s="1352" t="str">
        <f t="shared" si="11"/>
        <v>建筑类型</v>
      </c>
      <c r="R33" s="705" t="s">
        <v>14</v>
      </c>
      <c r="S33" s="706">
        <f t="shared" si="12"/>
        <v>100</v>
      </c>
      <c r="T33" s="705" t="s">
        <v>14</v>
      </c>
      <c r="U33" s="706">
        <f t="shared" si="13"/>
        <v>100</v>
      </c>
      <c r="V33" s="705" t="s">
        <v>14</v>
      </c>
      <c r="W33" s="706">
        <f t="shared" si="14"/>
        <v>100</v>
      </c>
      <c r="X33" s="1355"/>
      <c r="Y33" s="3702" t="s">
        <v>1691</v>
      </c>
      <c r="Z33" s="1356" t="str">
        <f t="shared" si="15"/>
        <v>建筑类型</v>
      </c>
      <c r="AA33" s="1353">
        <f t="shared" si="3"/>
        <v>1</v>
      </c>
      <c r="AB33" s="1353">
        <f t="shared" si="4"/>
        <v>1</v>
      </c>
      <c r="AC33" s="1962">
        <f t="shared" si="5"/>
        <v>1</v>
      </c>
    </row>
    <row r="34" spans="1:29" s="422" customFormat="1" ht="15">
      <c r="A34" s="419"/>
      <c r="B34" s="375" t="s">
        <v>1692</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0"/>
      <c r="Q34" s="707" t="str">
        <f t="shared" si="11"/>
        <v>项目建筑规模</v>
      </c>
      <c r="R34" s="708" t="s">
        <v>14</v>
      </c>
      <c r="S34" s="709">
        <f t="shared" si="12"/>
        <v>100</v>
      </c>
      <c r="T34" s="708" t="s">
        <v>14</v>
      </c>
      <c r="U34" s="709">
        <f t="shared" si="13"/>
        <v>100</v>
      </c>
      <c r="V34" s="708" t="s">
        <v>14</v>
      </c>
      <c r="W34" s="709">
        <f t="shared" si="14"/>
        <v>100</v>
      </c>
      <c r="X34" s="710"/>
      <c r="Y34" s="3702"/>
      <c r="Z34" s="711" t="str">
        <f t="shared" si="15"/>
        <v>项目建筑规模</v>
      </c>
      <c r="AA34" s="1353">
        <f t="shared" si="3"/>
        <v>1</v>
      </c>
      <c r="AB34" s="1353">
        <f t="shared" si="4"/>
        <v>1</v>
      </c>
      <c r="AC34" s="1962">
        <f t="shared" si="5"/>
        <v>1</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1781</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00"/>
      <c r="Q37" s="1352" t="str">
        <f t="shared" si="11"/>
        <v>成新度</v>
      </c>
      <c r="R37" s="705" t="s">
        <v>14</v>
      </c>
      <c r="S37" s="706">
        <f t="shared" si="12"/>
        <v>100</v>
      </c>
      <c r="T37" s="705" t="s">
        <v>14</v>
      </c>
      <c r="U37" s="706">
        <f t="shared" si="13"/>
        <v>100</v>
      </c>
      <c r="V37" s="705" t="s">
        <v>14</v>
      </c>
      <c r="W37" s="706">
        <f t="shared" si="14"/>
        <v>100</v>
      </c>
      <c r="X37" s="1355"/>
      <c r="Y37" s="3702"/>
      <c r="Z37" s="1356" t="str">
        <f t="shared" si="15"/>
        <v>成新度</v>
      </c>
      <c r="AA37" s="1353">
        <f t="shared" si="3"/>
        <v>1</v>
      </c>
      <c r="AB37" s="1353">
        <f t="shared" si="4"/>
        <v>1</v>
      </c>
      <c r="AC37" s="1962">
        <f t="shared" si="5"/>
        <v>1</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1691</v>
      </c>
      <c r="Q39" s="1352" t="str">
        <f t="shared" si="11"/>
        <v>物业管理</v>
      </c>
      <c r="R39" s="705" t="s">
        <v>14</v>
      </c>
      <c r="S39" s="706">
        <f t="shared" si="12"/>
        <v>100</v>
      </c>
      <c r="T39" s="705" t="s">
        <v>14</v>
      </c>
      <c r="U39" s="706">
        <f t="shared" si="13"/>
        <v>100</v>
      </c>
      <c r="V39" s="705" t="s">
        <v>14</v>
      </c>
      <c r="W39" s="706">
        <f t="shared" si="14"/>
        <v>100</v>
      </c>
      <c r="X39" s="1355"/>
      <c r="Y39" s="3702" t="s">
        <v>1691</v>
      </c>
      <c r="Z39" s="1356" t="str">
        <f t="shared" si="15"/>
        <v>物业管理</v>
      </c>
      <c r="AA39" s="1353">
        <f t="shared" si="3"/>
        <v>1</v>
      </c>
      <c r="AB39" s="1353">
        <f t="shared" si="4"/>
        <v>1</v>
      </c>
      <c r="AC39" s="1962">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1703</v>
      </c>
      <c r="B48" s="431"/>
      <c r="C48" s="1154" t="s">
        <v>0</v>
      </c>
      <c r="D48" s="1155"/>
      <c r="E48" s="1156">
        <v>65000</v>
      </c>
      <c r="F48" s="1157"/>
      <c r="G48" s="1158">
        <f>E48</f>
        <v>65000</v>
      </c>
      <c r="H48" s="1159"/>
      <c r="I48" s="1156">
        <f>E48</f>
        <v>65000</v>
      </c>
      <c r="J48" s="436"/>
      <c r="K48" s="714"/>
      <c r="L48" s="2724"/>
      <c r="M48" s="2716"/>
      <c r="N48" s="2716"/>
      <c r="O48" s="2716"/>
      <c r="P48" s="3675" t="str">
        <f>A48</f>
        <v>成交单价（元/平方米）</v>
      </c>
      <c r="Q48" s="3704"/>
      <c r="R48" s="3705">
        <f>E48</f>
        <v>65000</v>
      </c>
      <c r="S48" s="3705"/>
      <c r="T48" s="3705">
        <f>G48</f>
        <v>65000</v>
      </c>
      <c r="U48" s="3705"/>
      <c r="V48" s="3705">
        <f>I48</f>
        <v>65000</v>
      </c>
      <c r="W48" s="3705"/>
      <c r="X48" s="397"/>
      <c r="Y48" s="712"/>
      <c r="Z48" s="397"/>
      <c r="AA48" s="397"/>
      <c r="AB48" s="397"/>
      <c r="AC48" s="578"/>
    </row>
    <row r="49" spans="1:29" ht="15.75" thickBot="1">
      <c r="A49" s="437" t="s">
        <v>1788</v>
      </c>
      <c r="B49" s="438"/>
      <c r="C49" s="1160">
        <f>R50</f>
        <v>65000</v>
      </c>
      <c r="D49" s="2317" t="s">
        <v>2133</v>
      </c>
      <c r="E49" s="1161">
        <f>R49</f>
        <v>65000</v>
      </c>
      <c r="F49" s="2318"/>
      <c r="G49" s="1160">
        <f>T49</f>
        <v>65000</v>
      </c>
      <c r="H49" s="2318"/>
      <c r="I49" s="1161">
        <f>V49</f>
        <v>65000</v>
      </c>
      <c r="J49" s="2318"/>
      <c r="K49" s="2320">
        <f>F49+H49+J49</f>
        <v>0</v>
      </c>
      <c r="L49" s="2724"/>
      <c r="M49" s="2716"/>
      <c r="N49" s="2716"/>
      <c r="O49" s="2716"/>
      <c r="P49" s="3675" t="str">
        <f>A49</f>
        <v>比较价值（元/平方米）</v>
      </c>
      <c r="Q49" s="3704"/>
      <c r="R49" s="3705">
        <f>IF(F1="售价",ROUND(PRODUCT(R48,AA7:AA47),0),ROUND(PRODUCT(R48,AA7:AA47),1))</f>
        <v>65000</v>
      </c>
      <c r="S49" s="3705"/>
      <c r="T49" s="3705">
        <f>IF(F1="售价",ROUND(PRODUCT(T48,AB7:AB47),0),ROUND(PRODUCT(T48,AB7:AB47),1))</f>
        <v>65000</v>
      </c>
      <c r="U49" s="3705"/>
      <c r="V49" s="3705">
        <f>IF(F1="售价",ROUND(PRODUCT(V48,AC7:AC47),0),ROUND(PRODUCT(V48,AC7:AC47),1))</f>
        <v>65000</v>
      </c>
      <c r="W49" s="3705"/>
      <c r="X49" s="397"/>
      <c r="Y49" s="397"/>
      <c r="Z49" s="397"/>
      <c r="AA49" s="397"/>
      <c r="AB49" s="397"/>
      <c r="AC49" s="578"/>
    </row>
    <row r="50" spans="1:29" ht="15.75" thickBot="1">
      <c r="A50" s="441" t="s">
        <v>1789</v>
      </c>
      <c r="B50" s="442"/>
      <c r="C50" s="1163">
        <f>R50</f>
        <v>65000</v>
      </c>
      <c r="D50" s="1163"/>
      <c r="E50" s="1163"/>
      <c r="F50" s="1163"/>
      <c r="G50" s="1163"/>
      <c r="H50" s="1163"/>
      <c r="I50" s="1163"/>
      <c r="J50" s="443"/>
      <c r="K50" s="715"/>
      <c r="L50" s="2724"/>
      <c r="M50" s="2716"/>
      <c r="N50" s="2716"/>
      <c r="O50" s="2716"/>
      <c r="P50" s="3706" t="str">
        <f>A50</f>
        <v>估价对象XX用房的比较价值（楼面单价，元/平方米）</v>
      </c>
      <c r="Q50" s="3707"/>
      <c r="R50" s="3708">
        <f>IF(F1="售价",ROUND(IF(D49="简单平均",AVERAGE(R49:V49),R49*F49+T49*H49+V49*J49),0),ROUND(IF(D49="简单平均",AVERAGE(R49:V49),R49*F49+T49*H49+V49*J49),1))</f>
        <v>65000</v>
      </c>
      <c r="S50" s="3708"/>
      <c r="T50" s="3708"/>
      <c r="U50" s="3708"/>
      <c r="V50" s="3708"/>
      <c r="W50" s="370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1790</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1791</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1792</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1793</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1674</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1711</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1676</v>
      </c>
      <c r="B62" s="459"/>
      <c r="C62" s="471" t="s">
        <v>1771</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1714</v>
      </c>
      <c r="B64" s="477" t="s">
        <v>1680</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1683</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1685</v>
      </c>
      <c r="B77" s="477" t="s">
        <v>1816</v>
      </c>
      <c r="C77" s="522" t="s">
        <v>1716</v>
      </c>
      <c r="D77" s="522" t="s">
        <v>1717</v>
      </c>
      <c r="E77" s="522" t="s">
        <v>1718</v>
      </c>
      <c r="F77" s="522" t="s">
        <v>1719</v>
      </c>
      <c r="G77" s="522" t="s">
        <v>1720</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1721</v>
      </c>
      <c r="C79" s="527" t="s">
        <v>1716</v>
      </c>
      <c r="D79" s="527" t="s">
        <v>1717</v>
      </c>
      <c r="E79" s="527" t="s">
        <v>1718</v>
      </c>
      <c r="F79" s="527" t="s">
        <v>1719</v>
      </c>
      <c r="G79" s="527" t="s">
        <v>1720</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1722</v>
      </c>
      <c r="C81" s="527" t="s">
        <v>1716</v>
      </c>
      <c r="D81" s="527" t="s">
        <v>1717</v>
      </c>
      <c r="E81" s="527" t="s">
        <v>1718</v>
      </c>
      <c r="F81" s="527" t="s">
        <v>1719</v>
      </c>
      <c r="G81" s="527" t="s">
        <v>1720</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1808</v>
      </c>
      <c r="C83" s="608" t="s">
        <v>1794</v>
      </c>
      <c r="D83" s="608" t="s">
        <v>1795</v>
      </c>
      <c r="E83" s="608" t="s">
        <v>1796</v>
      </c>
      <c r="F83" s="608" t="s">
        <v>1797</v>
      </c>
      <c r="G83" s="608" t="s">
        <v>1798</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1817</v>
      </c>
      <c r="C85" s="527" t="s">
        <v>1716</v>
      </c>
      <c r="D85" s="527" t="s">
        <v>1717</v>
      </c>
      <c r="E85" s="527" t="s">
        <v>1718</v>
      </c>
      <c r="F85" s="527" t="s">
        <v>1719</v>
      </c>
      <c r="G85" s="527" t="s">
        <v>1720</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1818</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1689</v>
      </c>
      <c r="B101" s="477" t="s">
        <v>1731</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1732</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1733</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1735</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1819</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1736</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1737</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1820</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1803</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1739</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t="s">
        <v>21</v>
      </c>
      <c r="D1" s="1362" t="s">
        <v>43</v>
      </c>
      <c r="E1" s="1363" t="s">
        <v>673</v>
      </c>
      <c r="F1" s="1062">
        <f ca="1">J53</f>
        <v>29.66</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f ca="1">C40+J29+L46</f>
        <v>267738</v>
      </c>
      <c r="C2" s="1387" t="s">
        <v>800</v>
      </c>
      <c r="D2" s="1387"/>
      <c r="E2" s="1388"/>
      <c r="F2" s="1389"/>
      <c r="G2" s="2706"/>
      <c r="H2" s="2695"/>
      <c r="I2" s="2695"/>
      <c r="J2" s="2695"/>
      <c r="K2" s="2696"/>
      <c r="L2" s="2695"/>
      <c r="M2" s="2695"/>
    </row>
    <row r="3" spans="1:37" ht="18" customHeight="1" thickBot="1">
      <c r="A3" s="1390" t="s">
        <v>801</v>
      </c>
      <c r="B3" s="1391">
        <f ca="1">IF(ISERROR(B2*10000/F43),0,ROUND(B2*10000/F43,0))</f>
        <v>56885</v>
      </c>
      <c r="C3" s="1387" t="s">
        <v>802</v>
      </c>
      <c r="D3" s="1387"/>
      <c r="E3" s="1388"/>
      <c r="F3" s="1389"/>
      <c r="G3" s="2706"/>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17029</v>
      </c>
      <c r="D5" s="1364" t="s">
        <v>688</v>
      </c>
      <c r="E5" s="1071"/>
      <c r="F5" s="1072"/>
      <c r="G5" s="1384"/>
      <c r="H5" s="299">
        <v>1</v>
      </c>
      <c r="I5" s="300" t="s">
        <v>687</v>
      </c>
      <c r="J5" s="1070">
        <f ca="1">J6+J10+J12</f>
        <v>0</v>
      </c>
      <c r="K5" s="1364" t="s">
        <v>688</v>
      </c>
      <c r="L5" s="1071"/>
      <c r="M5" s="1072"/>
    </row>
    <row r="6" spans="1:37" ht="18" customHeight="1">
      <c r="A6" s="1069" t="s">
        <v>398</v>
      </c>
      <c r="B6" s="3711" t="s">
        <v>689</v>
      </c>
      <c r="C6" s="1074">
        <f ca="1">ROUND(F6*F8*F7*(1-F9)/10000,0)</f>
        <v>17008</v>
      </c>
      <c r="D6" s="155" t="s">
        <v>2104</v>
      </c>
      <c r="E6" s="302" t="s">
        <v>691</v>
      </c>
      <c r="F6" s="303">
        <f ca="1">INDIRECT("'数据-取费表'!u"&amp;$G$1)</f>
        <v>11</v>
      </c>
      <c r="G6" s="1384"/>
      <c r="H6" s="1069" t="s">
        <v>398</v>
      </c>
      <c r="I6" s="3711" t="s">
        <v>689</v>
      </c>
      <c r="J6" s="301">
        <f ca="1">ROUND(M6*M8*M7*(1-M9)/10000,0)</f>
        <v>0</v>
      </c>
      <c r="K6" s="155" t="s">
        <v>2103</v>
      </c>
      <c r="L6" s="302" t="s">
        <v>691</v>
      </c>
      <c r="M6" s="303">
        <f ca="1">INDIRECT("'数据-取费表'!z"&amp;$G$1)</f>
        <v>0</v>
      </c>
    </row>
    <row r="7" spans="1:37" ht="18" customHeight="1">
      <c r="A7" s="1073"/>
      <c r="B7" s="3712"/>
      <c r="C7" s="1075"/>
      <c r="D7" s="307"/>
      <c r="E7" s="1076" t="s">
        <v>692</v>
      </c>
      <c r="F7" s="303">
        <f ca="1">IF(INDIRECT("'数据-取费表'!ah"&amp;$G$1)="",INDIRECT("'数据-取费表'!k"&amp;$G$1),INDIRECT("'数据-取费表'!ah"&amp;$G$1))</f>
        <v>47066.759999999995</v>
      </c>
      <c r="G7" s="1384"/>
      <c r="H7" s="304"/>
      <c r="I7" s="3712"/>
      <c r="J7" s="306"/>
      <c r="K7" s="307"/>
      <c r="L7" s="302" t="s">
        <v>692</v>
      </c>
      <c r="M7" s="303">
        <f ca="1">F7</f>
        <v>47066.759999999995</v>
      </c>
    </row>
    <row r="8" spans="1:37" ht="18" customHeight="1">
      <c r="A8" s="304"/>
      <c r="B8" s="3712"/>
      <c r="C8" s="306"/>
      <c r="D8" s="307"/>
      <c r="E8" s="302" t="s">
        <v>693</v>
      </c>
      <c r="F8" s="303">
        <f ca="1">INDIRECT("'数据-取费表'!ai"&amp;$G$1)</f>
        <v>365</v>
      </c>
      <c r="G8" s="1384"/>
      <c r="H8" s="304"/>
      <c r="I8" s="3712"/>
      <c r="J8" s="306"/>
      <c r="K8" s="307"/>
      <c r="L8" s="302" t="s">
        <v>693</v>
      </c>
      <c r="M8" s="303">
        <f ca="1">INDIRECT("'数据-取费表'!ai"&amp;$G$1)</f>
        <v>365</v>
      </c>
    </row>
    <row r="9" spans="1:37" ht="18" customHeight="1">
      <c r="A9" s="304"/>
      <c r="B9" s="3713"/>
      <c r="C9" s="306"/>
      <c r="D9" s="307"/>
      <c r="E9" s="302" t="s">
        <v>694</v>
      </c>
      <c r="F9" s="312">
        <f ca="1">INDIRECT("'数据-取费表'!w"&amp;$G$1)</f>
        <v>0.1</v>
      </c>
      <c r="G9" s="1384"/>
      <c r="H9" s="304"/>
      <c r="I9" s="3713"/>
      <c r="J9" s="306"/>
      <c r="K9" s="307"/>
      <c r="L9" s="313" t="s">
        <v>694</v>
      </c>
      <c r="M9" s="314">
        <f ca="1">INDIRECT("'数据-取费表'!ab"&amp;$G$1)</f>
        <v>0</v>
      </c>
    </row>
    <row r="10" spans="1:37" ht="18" customHeight="1">
      <c r="A10" s="1069" t="s">
        <v>402</v>
      </c>
      <c r="B10" s="1365" t="s">
        <v>695</v>
      </c>
      <c r="C10" s="316">
        <f ca="1">ROUND(IF(F10="押一",C6/12*F11,IF(F10="押二",C6/12*2*F11,IF(F10="押三",C6/12*3*F11,C11*F11))),0)</f>
        <v>21</v>
      </c>
      <c r="D10" s="1366" t="s">
        <v>2112</v>
      </c>
      <c r="E10" s="313" t="s">
        <v>696</v>
      </c>
      <c r="F10" s="1116" t="s">
        <v>3507</v>
      </c>
      <c r="G10" s="1384"/>
      <c r="H10" s="1069" t="s">
        <v>402</v>
      </c>
      <c r="I10" s="1365" t="s">
        <v>695</v>
      </c>
      <c r="J10" s="301">
        <f ca="1">ROUND(IF(M10="押一",J6/12*M11,IF(M10="押二",J6/12*2*M11,IF(M10="押三",J6/12*3*M11,J11*M11))),0)</f>
        <v>0</v>
      </c>
      <c r="K10" s="1366" t="s">
        <v>2111</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31649</v>
      </c>
      <c r="D13" s="1081" t="s">
        <v>700</v>
      </c>
      <c r="E13" s="1081" t="s">
        <v>701</v>
      </c>
      <c r="F13" s="1082">
        <f ca="1">INDIRECT("'数据-取费表'!y"&amp;$G$1)</f>
        <v>0.8</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25887</v>
      </c>
      <c r="D14" s="1345" t="s">
        <v>703</v>
      </c>
      <c r="E14" s="1342"/>
      <c r="F14" s="319"/>
      <c r="G14" s="1384"/>
      <c r="H14" s="982" t="s">
        <v>398</v>
      </c>
      <c r="I14" s="302" t="s">
        <v>704</v>
      </c>
      <c r="J14" s="21">
        <f ca="1">C29</f>
        <v>39561</v>
      </c>
      <c r="K14" s="12"/>
      <c r="L14" s="807"/>
      <c r="M14" s="808"/>
    </row>
    <row r="15" spans="1:37" s="1397" customFormat="1" ht="18" customHeight="1" thickBot="1">
      <c r="A15" s="982" t="s">
        <v>399</v>
      </c>
      <c r="B15" s="302" t="s">
        <v>705</v>
      </c>
      <c r="C15" s="21">
        <f ca="1">ROUND(C14*F15,0)</f>
        <v>1294</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214</v>
      </c>
      <c r="K16" s="1087" t="s">
        <v>710</v>
      </c>
      <c r="L16" s="1088"/>
      <c r="M16" s="1072"/>
    </row>
    <row r="17" spans="1:37" s="1397" customFormat="1" ht="18" customHeight="1">
      <c r="A17" s="982" t="s">
        <v>676</v>
      </c>
      <c r="B17" s="302" t="s">
        <v>711</v>
      </c>
      <c r="C17" s="21">
        <f ca="1">ROUND(F17*(F43+INDIRECT("'数据-取费表'!S"&amp;$G$1))/10000,0)</f>
        <v>941</v>
      </c>
      <c r="D17" s="302" t="s">
        <v>712</v>
      </c>
      <c r="E17" s="302" t="s">
        <v>713</v>
      </c>
      <c r="F17" s="23">
        <f>'数据-取费表'!B35</f>
        <v>200</v>
      </c>
      <c r="G17" s="1396"/>
      <c r="H17" s="982" t="s">
        <v>398</v>
      </c>
      <c r="I17" s="302" t="s">
        <v>714</v>
      </c>
      <c r="J17" s="2316">
        <f ca="1">ROUND(IF(AND(项目基本情况!B11="自然人",项目基本情况!B10="北京市"),J6*M17/(1+'数据-取费表'!C42),J18+J19+J20),2)</f>
        <v>16.16</v>
      </c>
      <c r="K17" s="1345" t="s">
        <v>715</v>
      </c>
      <c r="L17" s="1344" t="s">
        <v>716</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388</v>
      </c>
      <c r="D18" s="302" t="s">
        <v>706</v>
      </c>
      <c r="E18" s="302" t="s">
        <v>707</v>
      </c>
      <c r="F18" s="322">
        <f>'数据-取费表'!B36</f>
        <v>1.4999999999999999E-2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28510</v>
      </c>
      <c r="D19" s="131" t="s">
        <v>721</v>
      </c>
      <c r="E19" s="1360"/>
      <c r="F19" s="23"/>
      <c r="G19" s="1384"/>
      <c r="H19" s="982" t="s">
        <v>399</v>
      </c>
      <c r="I19" s="302" t="s">
        <v>722</v>
      </c>
      <c r="J19" s="21">
        <f ca="1">IF(K19="按租金收入计税",ROUND(J6*M19/(1+'数据-取费表'!C42),2),ROUND(C29*M19*0.7,2))</f>
        <v>0</v>
      </c>
      <c r="K19" s="1370" t="s">
        <v>3337</v>
      </c>
      <c r="L19" s="302" t="s">
        <v>707</v>
      </c>
      <c r="M19" s="322">
        <f>IF(K19="按租金收入计税",'数据-取费表'!B51,'数据-取费表'!B50)</f>
        <v>0.12</v>
      </c>
    </row>
    <row r="20" spans="1:37" s="1397" customFormat="1" ht="18" customHeight="1">
      <c r="A20" s="982" t="s">
        <v>402</v>
      </c>
      <c r="B20" s="302" t="s">
        <v>723</v>
      </c>
      <c r="C20" s="21">
        <f ca="1">ROUND(C19*F20,0)</f>
        <v>570</v>
      </c>
      <c r="D20" s="323" t="s">
        <v>724</v>
      </c>
      <c r="E20" s="302" t="s">
        <v>707</v>
      </c>
      <c r="F20" s="322">
        <f>'数据-取费表'!B37</f>
        <v>0.02</v>
      </c>
      <c r="G20" s="1396"/>
      <c r="H20" s="982" t="s">
        <v>675</v>
      </c>
      <c r="I20" s="155" t="s">
        <v>725</v>
      </c>
      <c r="J20" s="22">
        <f ca="1">ROUND(M20*M21/10000,2)</f>
        <v>16.16</v>
      </c>
      <c r="K20" s="324" t="s">
        <v>726</v>
      </c>
      <c r="L20" s="302" t="s">
        <v>727</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0.02</v>
      </c>
      <c r="G21" s="1396"/>
      <c r="H21" s="326"/>
      <c r="I21" s="311"/>
      <c r="J21" s="26"/>
      <c r="K21" s="327"/>
      <c r="L21" s="302" t="s">
        <v>731</v>
      </c>
      <c r="M21" s="303">
        <f ca="1">INDIRECT("'数据-取费表'!r"&amp;$G$1)</f>
        <v>6733.47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197.81</v>
      </c>
      <c r="K22" s="1344" t="s">
        <v>734</v>
      </c>
      <c r="L22" s="302" t="s">
        <v>707</v>
      </c>
      <c r="M22" s="328">
        <f ca="1">INDIRECT("'数据-取费表'!Ak"&amp;$G$1)</f>
        <v>5.0000000000000001E-3</v>
      </c>
    </row>
    <row r="23" spans="1:37" s="1397" customFormat="1" ht="18" customHeight="1">
      <c r="A23" s="982" t="s">
        <v>397</v>
      </c>
      <c r="B23" s="302" t="s">
        <v>735</v>
      </c>
      <c r="C23" s="21">
        <f ca="1">IF('数据-取费表'!B22&lt;=1,ROUND(C19*F24*F23/2,0)+ROUND(C20*F24*F23/2,0),ROUND(C19*(POWER((1+F24),F23/2)-1),0)+ROUND(C20*(POWER((1+F24),F23/2)-1),0))</f>
        <v>1563</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1.1000000000000001E-3</v>
      </c>
      <c r="D24" s="329" t="str">
        <f>IF(F23&lt;=1,"销售费用×利率×(建设周期÷2)","销售费用×((1+利率)^(建设周期÷2)-1)")</f>
        <v>销售费用×((1+利率)^(建设周期÷2)-1)</v>
      </c>
      <c r="E24" s="302" t="s">
        <v>742</v>
      </c>
      <c r="F24" s="331">
        <f ca="1">'数据-取费表'!B40</f>
        <v>3.5499999999999997E-2</v>
      </c>
      <c r="G24" s="1396"/>
      <c r="H24" s="1089" t="s">
        <v>679</v>
      </c>
      <c r="I24" s="1090" t="s">
        <v>723</v>
      </c>
      <c r="J24" s="1091">
        <f ca="1">ROUND(J5*M24,2)</f>
        <v>0</v>
      </c>
      <c r="K24" s="1092" t="s">
        <v>743</v>
      </c>
      <c r="L24" s="1090" t="s">
        <v>739</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-214</v>
      </c>
      <c r="K25" s="1095" t="s">
        <v>748</v>
      </c>
      <c r="L25" s="1096"/>
      <c r="M25" s="1097"/>
    </row>
    <row r="26" spans="1:37">
      <c r="A26" s="982" t="s">
        <v>397</v>
      </c>
      <c r="B26" s="302" t="s">
        <v>749</v>
      </c>
      <c r="C26" s="21">
        <f ca="1">ROUND((C19+C20)*F26,0)</f>
        <v>5816</v>
      </c>
      <c r="D26" s="323" t="s">
        <v>750</v>
      </c>
      <c r="E26" s="313" t="s">
        <v>751</v>
      </c>
      <c r="F26" s="312">
        <f ca="1">INDIRECT("'数据-取费表'!q"&amp;$G$1)</f>
        <v>0.2</v>
      </c>
      <c r="G26" s="1384"/>
      <c r="H26" s="299" t="s">
        <v>395</v>
      </c>
      <c r="I26" s="300" t="s">
        <v>752</v>
      </c>
      <c r="J26" s="301">
        <f ca="1">IF(J5&lt;&gt;0,ROUND(J25*(1-((1+M28)/(1+M26))^M27)/(M26-M28),0),0)</f>
        <v>0</v>
      </c>
      <c r="K26" s="324" t="s">
        <v>753</v>
      </c>
      <c r="L26" s="302" t="s">
        <v>754</v>
      </c>
      <c r="M26" s="312">
        <f ca="1">INDIRECT("'数据-取费表'!I"&amp;$G$1)</f>
        <v>5.5E-2</v>
      </c>
    </row>
    <row r="27" spans="1:37" ht="18" customHeight="1">
      <c r="A27" s="982" t="s">
        <v>399</v>
      </c>
      <c r="B27" s="302" t="s">
        <v>755</v>
      </c>
      <c r="C27" s="21">
        <f ca="1">ROUND(F21*F26,4)</f>
        <v>4.0000000000000001E-3</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39561</v>
      </c>
      <c r="D29" s="1092"/>
      <c r="E29" s="1090"/>
      <c r="F29" s="1093"/>
      <c r="G29" s="1396"/>
      <c r="H29" s="334" t="s">
        <v>396</v>
      </c>
      <c r="I29" s="335" t="s">
        <v>763</v>
      </c>
      <c r="J29" s="336">
        <f ca="1">ROUND(J26/(1+F40)^F41,0)</f>
        <v>0</v>
      </c>
      <c r="K29" s="337" t="s">
        <v>764</v>
      </c>
      <c r="L29" s="338"/>
      <c r="M29" s="339">
        <f ca="1">INDIRECT("'数据-取费表'!k"&amp;$G$1)</f>
        <v>47066.759999999995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3182</v>
      </c>
      <c r="D30" s="1087" t="s">
        <v>710</v>
      </c>
      <c r="E30" s="1088"/>
      <c r="F30" s="1072"/>
      <c r="G30" s="1384"/>
      <c r="H30" s="2697"/>
      <c r="I30" s="1398"/>
      <c r="J30" s="1399"/>
      <c r="K30" s="2475"/>
      <c r="L30" s="2698"/>
      <c r="M30" s="2699"/>
    </row>
    <row r="31" spans="1:37" ht="18" customHeight="1">
      <c r="A31" s="982" t="s">
        <v>398</v>
      </c>
      <c r="B31" s="302" t="s">
        <v>714</v>
      </c>
      <c r="C31" s="2316">
        <f ca="1">ROUND(IF(AND(项目基本情况!B11="自然人",项目基本情况!B10="北京市"),C6*F31/(1+'数据-取费表'!C42),C32+C33+C34),2)</f>
        <v>2867.02</v>
      </c>
      <c r="D31" s="1345" t="s">
        <v>715</v>
      </c>
      <c r="E31" s="1344" t="s">
        <v>765</v>
      </c>
      <c r="F31" s="2315" t="str">
        <f>IF(项目基本情况!B11="企业","——",IF(M47="住宅",IF(F6*F7*F8/12/(1+'数据-取费表'!F30)&gt;100000,4%,2.5%),IF(F6*F7*F8/12/(1+'数据-取费表'!F30)&gt;100000,12%,7%)))</f>
        <v>——</v>
      </c>
      <c r="G31" s="1384"/>
      <c r="H31" s="2806" t="s">
        <v>2305</v>
      </c>
      <c r="I31" s="1398"/>
      <c r="J31" s="1399"/>
      <c r="K31" s="2475"/>
      <c r="L31" s="2698"/>
      <c r="M31" s="2699"/>
    </row>
    <row r="32" spans="1:37" ht="18" customHeight="1">
      <c r="A32" s="982" t="s">
        <v>397</v>
      </c>
      <c r="B32" s="302" t="s">
        <v>718</v>
      </c>
      <c r="C32" s="21">
        <f ca="1">IF(项目基本情况!B11="自然人","——",ROUND(C6*F32/(1+'数据-取费表'!C42),2))</f>
        <v>907.09</v>
      </c>
      <c r="D32" s="1344" t="s">
        <v>719</v>
      </c>
      <c r="E32" s="302" t="s">
        <v>707</v>
      </c>
      <c r="F32" s="331">
        <f>'数据-取费表'!B41</f>
        <v>5.6000000000000001E-2</v>
      </c>
      <c r="G32" s="1384"/>
      <c r="H32" s="2697"/>
      <c r="I32" s="1398"/>
      <c r="J32" s="1399"/>
      <c r="K32" s="2475"/>
      <c r="L32" s="2698"/>
      <c r="M32" s="2699"/>
    </row>
    <row r="33" spans="1:18" ht="18" customHeight="1">
      <c r="A33" s="982" t="s">
        <v>399</v>
      </c>
      <c r="B33" s="302" t="s">
        <v>722</v>
      </c>
      <c r="C33" s="21">
        <f ca="1">IF(项目基本情况!B11="自然人","——",IF(D33="按租金收入计税",ROUND(C6*F33/(1+'数据-取费表'!C42),2),IF(D33="按房产原值计税",ROUND(C29*F33*0.7,2),INDIRECT("'数据-取费表'!Aj"&amp;$G$1))))</f>
        <v>1943.77</v>
      </c>
      <c r="D33" s="1370" t="s">
        <v>3337</v>
      </c>
      <c r="E33" s="302" t="s">
        <v>707</v>
      </c>
      <c r="F33" s="322">
        <f>IF(D33="按票据","——",IF(D33="按租金收入计税",'数据-取费表'!B51,'数据-取费表'!B50))</f>
        <v>0.12</v>
      </c>
      <c r="G33" s="1384"/>
      <c r="H33" s="2700"/>
      <c r="I33" s="1398"/>
      <c r="J33" s="1399"/>
      <c r="K33" s="2701"/>
      <c r="L33" s="2700"/>
      <c r="M33" s="2700"/>
    </row>
    <row r="34" spans="1:18" ht="18" customHeight="1">
      <c r="A34" s="1069" t="s">
        <v>675</v>
      </c>
      <c r="B34" s="155" t="s">
        <v>725</v>
      </c>
      <c r="C34" s="22">
        <f ca="1">IF(项目基本情况!B11="自然人","——",ROUND(F34*F35/10000,2))</f>
        <v>16.16</v>
      </c>
      <c r="D34" s="324" t="s">
        <v>726</v>
      </c>
      <c r="E34" s="302" t="s">
        <v>727</v>
      </c>
      <c r="F34" s="325">
        <f>'数据-取费表'!B52</f>
        <v>24</v>
      </c>
      <c r="G34" s="1384"/>
      <c r="H34" s="2697"/>
      <c r="I34" s="1398"/>
      <c r="J34" s="1399"/>
      <c r="K34" s="2702"/>
      <c r="L34" s="2703"/>
      <c r="M34" s="2703"/>
    </row>
    <row r="35" spans="1:18" ht="18" customHeight="1">
      <c r="A35" s="1103"/>
      <c r="B35" s="1101"/>
      <c r="C35" s="26"/>
      <c r="D35" s="327"/>
      <c r="E35" s="302" t="s">
        <v>731</v>
      </c>
      <c r="F35" s="303">
        <f ca="1">INDIRECT("'数据-取费表'!r"&amp;$G$1)</f>
        <v>6733.47</v>
      </c>
      <c r="G35" s="1384"/>
      <c r="H35" s="2697"/>
      <c r="I35" s="1398"/>
      <c r="J35" s="1399"/>
      <c r="K35" s="2701"/>
      <c r="L35" s="2700"/>
      <c r="M35" s="2700"/>
    </row>
    <row r="36" spans="1:18" ht="18" customHeight="1">
      <c r="A36" s="1102" t="s">
        <v>402</v>
      </c>
      <c r="B36" s="302" t="s">
        <v>733</v>
      </c>
      <c r="C36" s="21">
        <f ca="1">ROUND(C29*F36,2)</f>
        <v>197.81</v>
      </c>
      <c r="D36" s="1344" t="s">
        <v>766</v>
      </c>
      <c r="E36" s="302" t="s">
        <v>707</v>
      </c>
      <c r="F36" s="328">
        <f ca="1">INDIRECT("'数据-取费表'!Ak"&amp;$G$1)</f>
        <v>5.0000000000000001E-3</v>
      </c>
      <c r="G36" s="1384"/>
      <c r="H36" s="2700"/>
      <c r="I36" s="1398"/>
      <c r="J36" s="1399"/>
      <c r="K36" s="2544"/>
      <c r="L36" s="2700"/>
      <c r="M36" s="2700"/>
    </row>
    <row r="37" spans="1:18" ht="18" customHeight="1">
      <c r="A37" s="982" t="s">
        <v>437</v>
      </c>
      <c r="B37" s="302" t="s">
        <v>737</v>
      </c>
      <c r="C37" s="21">
        <f ca="1">ROUND(C13*F37,2)</f>
        <v>31.65</v>
      </c>
      <c r="D37" s="1344" t="s">
        <v>738</v>
      </c>
      <c r="E37" s="302" t="s">
        <v>739</v>
      </c>
      <c r="F37" s="330">
        <f ca="1">INDIRECT("'数据-取费表'!Al"&amp;$G$1)</f>
        <v>1E-3</v>
      </c>
      <c r="G37" s="1384"/>
      <c r="H37" s="2700"/>
      <c r="I37" s="1398"/>
      <c r="J37" s="1399"/>
      <c r="K37" s="2544"/>
      <c r="L37" s="2700"/>
      <c r="M37" s="2700"/>
    </row>
    <row r="38" spans="1:18" ht="18" customHeight="1" thickBot="1">
      <c r="A38" s="1089" t="s">
        <v>679</v>
      </c>
      <c r="B38" s="1090" t="s">
        <v>723</v>
      </c>
      <c r="C38" s="1091">
        <f ca="1">ROUND(C5*F38,2)</f>
        <v>85.15</v>
      </c>
      <c r="D38" s="1092" t="s">
        <v>743</v>
      </c>
      <c r="E38" s="1090" t="s">
        <v>739</v>
      </c>
      <c r="F38" s="1086">
        <f ca="1">INDIRECT("'数据-取费表'!Am"&amp;$G$1)</f>
        <v>5.0000000000000001E-3</v>
      </c>
      <c r="G38" s="1384"/>
      <c r="H38" s="2700"/>
      <c r="I38" s="1398"/>
      <c r="J38" s="1399"/>
      <c r="K38" s="2704"/>
      <c r="L38" s="2700"/>
      <c r="M38" s="2700"/>
    </row>
    <row r="39" spans="1:18" ht="24.6" customHeight="1" thickTop="1">
      <c r="A39" s="1079" t="s">
        <v>394</v>
      </c>
      <c r="B39" s="1094" t="s">
        <v>767</v>
      </c>
      <c r="C39" s="310">
        <f ca="1">C5-C30</f>
        <v>13847</v>
      </c>
      <c r="D39" s="1095" t="s">
        <v>768</v>
      </c>
      <c r="E39" s="1096"/>
      <c r="F39" s="1097"/>
      <c r="G39" s="1384"/>
      <c r="H39" s="2700"/>
      <c r="I39" s="1398"/>
      <c r="J39" s="1399"/>
      <c r="K39" s="2704"/>
      <c r="L39" s="2700"/>
      <c r="M39" s="2700"/>
    </row>
    <row r="40" spans="1:18" ht="18" customHeight="1">
      <c r="A40" s="299" t="s">
        <v>395</v>
      </c>
      <c r="B40" s="300" t="s">
        <v>769</v>
      </c>
      <c r="C40" s="301">
        <f ca="1">ROUND(C39*(1-((1+F42)/(1+F40))^F41)/(F40-F42),0)</f>
        <v>265395</v>
      </c>
      <c r="D40" s="324" t="s">
        <v>753</v>
      </c>
      <c r="E40" s="302" t="s">
        <v>754</v>
      </c>
      <c r="F40" s="312">
        <f ca="1">INDIRECT("'数据-取费表'!I"&amp;$G$1)</f>
        <v>5.5E-2</v>
      </c>
      <c r="G40" s="1384"/>
      <c r="H40" s="1461"/>
      <c r="I40" s="1398"/>
      <c r="J40" s="1399"/>
      <c r="K40" s="2704"/>
      <c r="L40" s="1461"/>
      <c r="M40" s="1461"/>
    </row>
    <row r="41" spans="1:18" ht="18" customHeight="1">
      <c r="A41" s="304"/>
      <c r="B41" s="305"/>
      <c r="C41" s="306"/>
      <c r="D41" s="332" t="s">
        <v>770</v>
      </c>
      <c r="E41" s="302" t="s">
        <v>758</v>
      </c>
      <c r="F41" s="333">
        <f ca="1">IF(INDIRECT("'数据-取费表'!af"&amp;$G$1)=0,INDIRECT("'数据-取费表'!ae"&amp;$G$1),INDIRECT("'数据-取费表'!af"&amp;$G$1))</f>
        <v>29.66</v>
      </c>
      <c r="G41" s="1384"/>
      <c r="H41" s="1191"/>
      <c r="I41" s="1398"/>
      <c r="J41" s="1399"/>
      <c r="K41" s="2544"/>
      <c r="L41" s="1191"/>
      <c r="M41" s="1191"/>
    </row>
    <row r="42" spans="1:18" ht="18" customHeight="1">
      <c r="A42" s="308"/>
      <c r="B42" s="309"/>
      <c r="C42" s="310"/>
      <c r="D42" s="327"/>
      <c r="E42" s="302" t="s">
        <v>761</v>
      </c>
      <c r="F42" s="312">
        <f ca="1">INDIRECT("'数据-取费表'!v"&amp;$G$1)</f>
        <v>2.5000000000000001E-2</v>
      </c>
      <c r="G42" s="1384"/>
      <c r="H42" s="1191"/>
      <c r="I42" s="1398"/>
      <c r="J42" s="1399"/>
      <c r="K42" s="2544"/>
      <c r="L42" s="1191"/>
      <c r="M42" s="1191"/>
    </row>
    <row r="43" spans="1:18" ht="18" customHeight="1" thickBot="1">
      <c r="A43" s="334" t="s">
        <v>396</v>
      </c>
      <c r="B43" s="335" t="s">
        <v>771</v>
      </c>
      <c r="C43" s="336">
        <f ca="1">ROUND(C40*10000/F43,0)</f>
        <v>56387</v>
      </c>
      <c r="D43" s="337" t="s">
        <v>772</v>
      </c>
      <c r="E43" s="338" t="s">
        <v>773</v>
      </c>
      <c r="F43" s="339">
        <f ca="1">INDIRECT("'数据-取费表'!k"&amp;$G$1)</f>
        <v>47066.759999999995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803</v>
      </c>
      <c r="P45" s="1461"/>
      <c r="Q45" s="1461"/>
      <c r="R45" s="1461"/>
    </row>
    <row r="46" spans="1:18" s="1384" customFormat="1" ht="13.5" thickBot="1">
      <c r="A46" s="1404" t="s">
        <v>804</v>
      </c>
      <c r="C46" s="1405">
        <f ca="1">C68-C40</f>
        <v>-268939</v>
      </c>
      <c r="D46" s="1406" t="str">
        <f>C2</f>
        <v>万元</v>
      </c>
      <c r="E46" s="1400"/>
      <c r="F46" s="1400"/>
      <c r="I46" s="1407" t="s">
        <v>805</v>
      </c>
      <c r="J46" s="1408"/>
      <c r="K46" s="1409"/>
      <c r="L46" s="1410">
        <f ca="1">IF(M47="住宅",0,IF(L48&gt;J51,L60,J60))</f>
        <v>2343</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t="s">
        <v>3508</v>
      </c>
      <c r="K47" s="1416" t="s">
        <v>811</v>
      </c>
      <c r="L47" s="1417">
        <f ca="1">INDIRECT("'数据-取费表'!d"&amp;$G$1)</f>
        <v>50</v>
      </c>
      <c r="M47" s="1380" t="str">
        <f>IF(ISNUMBER(FIND("住宅",C1)),"住宅","非住宅")</f>
        <v>非住宅</v>
      </c>
      <c r="O47" s="1418" t="s">
        <v>403</v>
      </c>
      <c r="P47" s="1419" t="s">
        <v>812</v>
      </c>
      <c r="Q47" s="1420">
        <f ca="1">C40+J29</f>
        <v>265395</v>
      </c>
      <c r="R47" s="1420" t="s">
        <v>813</v>
      </c>
    </row>
    <row r="48" spans="1:18" s="1384" customFormat="1" ht="28.5" thickBot="1">
      <c r="A48" s="1110" t="s">
        <v>438</v>
      </c>
      <c r="B48" s="300" t="s">
        <v>687</v>
      </c>
      <c r="C48" s="1359">
        <f ca="1">C49+C53+C55</f>
        <v>0</v>
      </c>
      <c r="D48" s="1112"/>
      <c r="E48" s="1113"/>
      <c r="F48" s="962"/>
      <c r="G48" s="722"/>
      <c r="H48" s="723"/>
      <c r="I48" s="1421" t="s">
        <v>814</v>
      </c>
      <c r="J48" s="1422" t="s">
        <v>3509</v>
      </c>
      <c r="K48" s="1423" t="s">
        <v>815</v>
      </c>
      <c r="L48" s="1424">
        <f ca="1">INDIRECT("'数据-取费表'!f"&amp;$G$1)</f>
        <v>29.66</v>
      </c>
      <c r="O48" s="1418" t="s">
        <v>404</v>
      </c>
      <c r="P48" s="1419" t="s">
        <v>816</v>
      </c>
      <c r="Q48" s="1420">
        <f ca="1">J60</f>
        <v>2343</v>
      </c>
      <c r="R48" s="1420" t="s">
        <v>817</v>
      </c>
    </row>
    <row r="49" spans="1:18" s="1384" customFormat="1" ht="13.5" thickBot="1">
      <c r="A49" s="975" t="s">
        <v>439</v>
      </c>
      <c r="B49" s="1371" t="s">
        <v>774</v>
      </c>
      <c r="C49" s="1114">
        <f ca="1">ROUND(F49*F51*F50*(1-F52)/10000,0)</f>
        <v>0</v>
      </c>
      <c r="D49" s="1055" t="s">
        <v>2105</v>
      </c>
      <c r="E49" s="1372" t="s">
        <v>775</v>
      </c>
      <c r="F49" s="1060"/>
      <c r="G49" s="1425"/>
      <c r="H49" s="723"/>
      <c r="I49" s="1421" t="s">
        <v>818</v>
      </c>
      <c r="J49" s="1426"/>
      <c r="K49" s="1423" t="s">
        <v>819</v>
      </c>
      <c r="L49" s="1427"/>
      <c r="O49" s="1428" t="s">
        <v>405</v>
      </c>
      <c r="P49" s="1419" t="s">
        <v>820</v>
      </c>
      <c r="Q49" s="1420">
        <f ca="1">C29</f>
        <v>39561</v>
      </c>
      <c r="R49" s="1420" t="s">
        <v>813</v>
      </c>
    </row>
    <row r="50" spans="1:18" s="1384" customFormat="1" ht="13.5" thickBot="1">
      <c r="A50" s="976"/>
      <c r="B50" s="979"/>
      <c r="C50" s="1118"/>
      <c r="D50" s="953"/>
      <c r="E50" s="1056" t="s">
        <v>692</v>
      </c>
      <c r="F50" s="1057">
        <f ca="1">F7</f>
        <v>47066.759999999995</v>
      </c>
      <c r="H50" s="723"/>
      <c r="I50" s="1421" t="s">
        <v>821</v>
      </c>
      <c r="J50" s="1429">
        <f>SUMPRODUCT((I63:I65=J47)*(J62:L62=J48)*(J63:L65))</f>
        <v>60</v>
      </c>
      <c r="K50" s="1423" t="s">
        <v>822</v>
      </c>
      <c r="L50" s="1427"/>
      <c r="M50" s="1430"/>
      <c r="O50" s="1428" t="s">
        <v>406</v>
      </c>
      <c r="P50" s="1419" t="s">
        <v>823</v>
      </c>
      <c r="Q50" s="1431">
        <f ca="1">J58</f>
        <v>0.50600000000000001</v>
      </c>
      <c r="R50" s="1420"/>
    </row>
    <row r="51" spans="1:18" s="1384" customFormat="1" ht="13.5" thickBot="1">
      <c r="A51" s="977"/>
      <c r="B51" s="979"/>
      <c r="C51" s="980"/>
      <c r="D51" s="953"/>
      <c r="E51" s="981" t="s">
        <v>693</v>
      </c>
      <c r="F51" s="303">
        <f ca="1">F8</f>
        <v>365</v>
      </c>
      <c r="I51" s="1432" t="s">
        <v>824</v>
      </c>
      <c r="J51" s="1433">
        <f>IF(J49="",J50,J49+J50-YEAR('数据-取费表'!B2))</f>
        <v>60</v>
      </c>
      <c r="K51" s="1434" t="s">
        <v>825</v>
      </c>
      <c r="L51" s="1435">
        <f ca="1">ROUND(-PV(INDIRECT("'数据-取费表'!h"&amp;$G$1),J51,(C39-C13*C76),0),0)</f>
        <v>220177</v>
      </c>
      <c r="M51" s="1436"/>
      <c r="O51" s="1428" t="s">
        <v>407</v>
      </c>
      <c r="P51" s="1419" t="s">
        <v>826</v>
      </c>
      <c r="Q51" s="1431">
        <f>J52</f>
        <v>7.4999999999999997E-2</v>
      </c>
      <c r="R51" s="1420"/>
    </row>
    <row r="52" spans="1:18" s="1384" customFormat="1" ht="13.5" thickBot="1">
      <c r="A52" s="977"/>
      <c r="B52" s="979"/>
      <c r="C52" s="980"/>
      <c r="D52" s="953"/>
      <c r="E52" s="981" t="s">
        <v>694</v>
      </c>
      <c r="F52" s="1054"/>
      <c r="I52" s="1437" t="s">
        <v>827</v>
      </c>
      <c r="J52" s="1438">
        <v>7.4999999999999997E-2</v>
      </c>
      <c r="K52" s="1437" t="s">
        <v>828</v>
      </c>
      <c r="L52" s="1438"/>
      <c r="O52" s="1428" t="s">
        <v>408</v>
      </c>
      <c r="P52" s="1419" t="s">
        <v>829</v>
      </c>
      <c r="Q52" s="1420">
        <f ca="1">J53</f>
        <v>29.66</v>
      </c>
      <c r="R52" s="1420" t="s">
        <v>830</v>
      </c>
    </row>
    <row r="53" spans="1:18" s="1384" customFormat="1" ht="24.75" thickBot="1">
      <c r="A53" s="1152" t="s">
        <v>440</v>
      </c>
      <c r="B53" s="1373" t="s">
        <v>695</v>
      </c>
      <c r="C53" s="316">
        <f ca="1">ROUND(IF(F53="押一",C49/12*F11,IF(F53="押二",C49/12*2*F11,IF(F53="押三",C49/12*3*F11,C54*F11))),0)</f>
        <v>0</v>
      </c>
      <c r="D53" s="1366" t="s">
        <v>2111</v>
      </c>
      <c r="E53" s="313" t="s">
        <v>696</v>
      </c>
      <c r="F53" s="1116"/>
      <c r="I53" s="1439" t="s">
        <v>831</v>
      </c>
      <c r="J53" s="2168">
        <f ca="1">IF(M47="住宅",IF(D1="——",MAX(J51,L48),MAX(J51,L48-'数据-取费表'!B24)),IF(D1="——",MIN(J51,L48),MIN(J51,L48-'数据-取费表'!B24)))</f>
        <v>29.66</v>
      </c>
      <c r="K53" s="3709" t="s">
        <v>832</v>
      </c>
      <c r="L53" s="3710"/>
      <c r="O53" s="1418" t="s">
        <v>409</v>
      </c>
      <c r="P53" s="1419" t="s">
        <v>833</v>
      </c>
      <c r="Q53" s="1420">
        <f ca="1">Q47+Q48</f>
        <v>267738</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f ca="1">ROUND(IF(J47="钢混",J57/J50,1-(1-2%)*(J50-J57)/J50),3)</f>
        <v>0.50600000000000001</v>
      </c>
      <c r="K55" s="1445" t="s">
        <v>836</v>
      </c>
      <c r="L55" s="1446"/>
      <c r="O55" s="1411" t="s">
        <v>806</v>
      </c>
      <c r="P55" s="1412" t="s">
        <v>807</v>
      </c>
      <c r="Q55" s="1413" t="s">
        <v>808</v>
      </c>
      <c r="R55" s="1413" t="s">
        <v>809</v>
      </c>
    </row>
    <row r="56" spans="1:18" s="1384" customFormat="1" ht="25.5" thickTop="1" thickBot="1">
      <c r="A56" s="957">
        <v>2</v>
      </c>
      <c r="B56" s="958" t="s">
        <v>699</v>
      </c>
      <c r="C56" s="232">
        <f ca="1">C13</f>
        <v>31649</v>
      </c>
      <c r="D56" s="1447"/>
      <c r="E56" s="1448"/>
      <c r="F56" s="1440"/>
      <c r="I56" s="1449" t="s">
        <v>837</v>
      </c>
      <c r="J56" s="1450" t="s">
        <v>3503</v>
      </c>
      <c r="K56" s="1421" t="s">
        <v>838</v>
      </c>
      <c r="L56" s="1424" t="str">
        <f ca="1">IF(L48&lt;J51,"——",L48-J53)</f>
        <v>——</v>
      </c>
      <c r="O56" s="1418" t="s">
        <v>403</v>
      </c>
      <c r="P56" s="1419" t="s">
        <v>812</v>
      </c>
      <c r="Q56" s="1420">
        <f ca="1">C40+J29</f>
        <v>265395</v>
      </c>
      <c r="R56" s="1420" t="s">
        <v>813</v>
      </c>
    </row>
    <row r="57" spans="1:18" s="1384" customFormat="1" ht="24.75" thickBot="1">
      <c r="A57" s="1451"/>
      <c r="B57" s="950" t="s">
        <v>762</v>
      </c>
      <c r="C57" s="238">
        <f ca="1">C29</f>
        <v>39561</v>
      </c>
      <c r="D57" s="1452"/>
      <c r="E57" s="1453"/>
      <c r="F57" s="1454"/>
      <c r="I57" s="1455" t="s">
        <v>839</v>
      </c>
      <c r="J57" s="1456">
        <f ca="1">IF(OR(M47="住宅",J51&lt;L48,J56="是"),"——",J51-L48)</f>
        <v>30.34</v>
      </c>
      <c r="K57" s="1421" t="s">
        <v>840</v>
      </c>
      <c r="L57" s="1424" t="str">
        <f ca="1">IF(L48&lt;J51,"——",IF(L55="比较法",L49,IF(L55="基准地价",L50,L51)))</f>
        <v>——</v>
      </c>
      <c r="O57" s="1418" t="s">
        <v>404</v>
      </c>
      <c r="P57" s="1419" t="s">
        <v>841</v>
      </c>
      <c r="Q57" s="1420">
        <f ca="1">L60</f>
        <v>0</v>
      </c>
      <c r="R57" s="1420" t="s">
        <v>842</v>
      </c>
    </row>
    <row r="58" spans="1:18" s="1384" customFormat="1" ht="24.75" thickBot="1">
      <c r="A58" s="315" t="s">
        <v>393</v>
      </c>
      <c r="B58" s="958" t="s">
        <v>709</v>
      </c>
      <c r="C58" s="316">
        <f ca="1">ROUND(C59+C64+C65+C66,0)</f>
        <v>245</v>
      </c>
      <c r="D58" s="960" t="s">
        <v>710</v>
      </c>
      <c r="E58" s="961"/>
      <c r="F58" s="962"/>
      <c r="I58" s="1455" t="s">
        <v>843</v>
      </c>
      <c r="J58" s="1457">
        <f ca="1">IF(J55&lt;0.4,0.4,J55)</f>
        <v>0.50600000000000001</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6">
        <f ca="1">ROUND(IF(AND(项目基本情况!B11="自然人",项目基本情况!B10="北京市"),C49*F59/(1+'数据-取费表'!C42),C60+C61+C62),0)</f>
        <v>16</v>
      </c>
      <c r="D59" s="963" t="s">
        <v>715</v>
      </c>
      <c r="E59" s="964" t="s">
        <v>716</v>
      </c>
      <c r="F59" s="2315" t="str">
        <f>IF(项目基本情况!B11="企业","——",IF('数据-取费表'!B10="住宅",IF(F49*F50*F51/12/(1+'数据-取费表'!F30)&gt;100000,4%,2.5%),IF(F49*F50*F51/12/(1+'数据-取费表'!F30)&gt;100000,12%,7%)))</f>
        <v>——</v>
      </c>
      <c r="I59" s="1455" t="s">
        <v>846</v>
      </c>
      <c r="J59" s="1456">
        <f ca="1">IF(OR(M47="住宅",J51&lt;L48,J56="是"),"——",ROUND(C29*J58,0))</f>
        <v>20018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f ca="1">IF(OR(M47="住宅",J51&lt;L48,J56="是"),"0",ROUND(J59/(1+J52)^J53,0))</f>
        <v>2343</v>
      </c>
      <c r="K60" s="1460" t="s">
        <v>849</v>
      </c>
      <c r="L60" s="1459">
        <f ca="1">IF(OR(M47="住宅",L48&lt;J51),0,ROUND(L57*(L58/L59-1),0))</f>
        <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3337</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16.16</v>
      </c>
      <c r="D62" s="965" t="s">
        <v>781</v>
      </c>
      <c r="E62" s="950" t="s">
        <v>782</v>
      </c>
      <c r="F62" s="325">
        <f t="shared" si="0"/>
        <v>24</v>
      </c>
      <c r="I62" s="1462" t="s">
        <v>853</v>
      </c>
      <c r="J62" s="1463" t="s">
        <v>854</v>
      </c>
      <c r="K62" s="1463" t="s">
        <v>855</v>
      </c>
      <c r="L62" s="1463" t="s">
        <v>856</v>
      </c>
      <c r="M62" s="1464" t="s">
        <v>857</v>
      </c>
      <c r="O62" s="1418" t="s">
        <v>409</v>
      </c>
      <c r="P62" s="1419" t="s">
        <v>858</v>
      </c>
      <c r="Q62" s="1420">
        <f ca="1">Q56+Q57</f>
        <v>265395</v>
      </c>
      <c r="R62" s="1420" t="s">
        <v>410</v>
      </c>
    </row>
    <row r="63" spans="1:18" s="1384" customFormat="1" ht="13.5" thickBot="1">
      <c r="A63" s="326"/>
      <c r="B63" s="956"/>
      <c r="C63" s="26"/>
      <c r="D63" s="966"/>
      <c r="E63" s="950" t="s">
        <v>783</v>
      </c>
      <c r="F63" s="303">
        <f t="shared" ca="1" si="0"/>
        <v>6733.47</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197.81</v>
      </c>
      <c r="D64" s="964" t="s">
        <v>786</v>
      </c>
      <c r="E64" s="950" t="s">
        <v>778</v>
      </c>
      <c r="F64" s="328">
        <f t="shared" ca="1" si="0"/>
        <v>5.0000000000000001E-3</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31.65</v>
      </c>
      <c r="D65" s="964" t="s">
        <v>738</v>
      </c>
      <c r="E65" s="950" t="s">
        <v>739</v>
      </c>
      <c r="F65" s="330">
        <f t="shared" ca="1" si="0"/>
        <v>1E-3</v>
      </c>
      <c r="I65" s="1462" t="s">
        <v>862</v>
      </c>
      <c r="J65" s="1463">
        <v>40</v>
      </c>
      <c r="K65" s="1463">
        <v>30</v>
      </c>
      <c r="L65" s="1463">
        <v>50</v>
      </c>
      <c r="M65" s="1465">
        <v>0.02</v>
      </c>
      <c r="O65" s="1418" t="s">
        <v>403</v>
      </c>
      <c r="P65" s="1419" t="s">
        <v>863</v>
      </c>
      <c r="Q65" s="1420">
        <f ca="1">C40+J29</f>
        <v>265395</v>
      </c>
      <c r="R65" s="1420" t="s">
        <v>813</v>
      </c>
    </row>
    <row r="66" spans="1:18" s="1384" customFormat="1" ht="16.5" thickBot="1">
      <c r="A66" s="982" t="s">
        <v>788</v>
      </c>
      <c r="B66" s="950" t="s">
        <v>723</v>
      </c>
      <c r="C66" s="21">
        <f ca="1">ROUND(C48*F66,2)</f>
        <v>0</v>
      </c>
      <c r="D66" s="964" t="s">
        <v>789</v>
      </c>
      <c r="E66" s="950" t="s">
        <v>707</v>
      </c>
      <c r="F66" s="312">
        <f t="shared" ca="1" si="0"/>
        <v>5.0000000000000001E-3</v>
      </c>
      <c r="O66" s="1418" t="s">
        <v>404</v>
      </c>
      <c r="P66" s="1419" t="s">
        <v>841</v>
      </c>
      <c r="Q66" s="1420">
        <f ca="1">L60</f>
        <v>0</v>
      </c>
      <c r="R66" s="1420" t="s">
        <v>864</v>
      </c>
    </row>
    <row r="67" spans="1:18" s="1384" customFormat="1" ht="16.5" thickBot="1">
      <c r="A67" s="957" t="s">
        <v>394</v>
      </c>
      <c r="B67" s="967" t="s">
        <v>747</v>
      </c>
      <c r="C67" s="316">
        <f ca="1">C48-C58</f>
        <v>-245</v>
      </c>
      <c r="D67" s="963" t="s">
        <v>748</v>
      </c>
      <c r="E67" s="968"/>
      <c r="F67" s="969"/>
      <c r="O67" s="1428" t="s">
        <v>405</v>
      </c>
      <c r="P67" s="1419" t="s">
        <v>845</v>
      </c>
      <c r="Q67" s="1466">
        <f ca="1">L51</f>
        <v>220177</v>
      </c>
      <c r="R67" s="1420" t="s">
        <v>865</v>
      </c>
    </row>
    <row r="68" spans="1:18" s="1384" customFormat="1" ht="16.5" thickBot="1">
      <c r="A68" s="947" t="s">
        <v>395</v>
      </c>
      <c r="B68" s="948" t="s">
        <v>769</v>
      </c>
      <c r="C68" s="301">
        <f ca="1">ROUND(C67*(1-((1+F70)/(1+F68))^F69)/(F68-F70),0)</f>
        <v>-3544</v>
      </c>
      <c r="D68" s="965" t="s">
        <v>753</v>
      </c>
      <c r="E68" s="950" t="s">
        <v>754</v>
      </c>
      <c r="F68" s="312">
        <f ca="1">F40</f>
        <v>5.5E-2</v>
      </c>
      <c r="O68" s="1428" t="s">
        <v>406</v>
      </c>
      <c r="P68" s="1467" t="s">
        <v>866</v>
      </c>
      <c r="Q68" s="1420">
        <f ca="1">ROUND(Q69-Q70*Q71,0)</f>
        <v>11632</v>
      </c>
      <c r="R68" s="1420" t="s">
        <v>414</v>
      </c>
    </row>
    <row r="69" spans="1:18" s="1384" customFormat="1" ht="13.5" thickBot="1">
      <c r="A69" s="951"/>
      <c r="B69" s="952"/>
      <c r="C69" s="306"/>
      <c r="D69" s="970" t="s">
        <v>757</v>
      </c>
      <c r="E69" s="950" t="s">
        <v>758</v>
      </c>
      <c r="F69" s="333">
        <f ca="1">F41</f>
        <v>29.66</v>
      </c>
      <c r="O69" s="1428" t="s">
        <v>411</v>
      </c>
      <c r="P69" s="1467" t="s">
        <v>867</v>
      </c>
      <c r="Q69" s="1420">
        <f ca="1">C39</f>
        <v>13847</v>
      </c>
      <c r="R69" s="1420" t="s">
        <v>813</v>
      </c>
    </row>
    <row r="70" spans="1:18" s="1384" customFormat="1" ht="13.5" thickBot="1">
      <c r="A70" s="954"/>
      <c r="B70" s="955"/>
      <c r="C70" s="310"/>
      <c r="D70" s="966"/>
      <c r="E70" s="950" t="s">
        <v>761</v>
      </c>
      <c r="F70" s="1054"/>
      <c r="O70" s="1428" t="s">
        <v>412</v>
      </c>
      <c r="P70" s="1467" t="s">
        <v>868</v>
      </c>
      <c r="Q70" s="1420">
        <f ca="1">C13</f>
        <v>31649</v>
      </c>
      <c r="R70" s="1420" t="s">
        <v>813</v>
      </c>
    </row>
    <row r="71" spans="1:18" s="1384" customFormat="1" ht="13.5" thickBot="1">
      <c r="A71" s="971" t="s">
        <v>396</v>
      </c>
      <c r="B71" s="972" t="s">
        <v>771</v>
      </c>
      <c r="C71" s="336">
        <f ca="1">ROUND(C68*10000/F71,0)</f>
        <v>-753</v>
      </c>
      <c r="D71" s="973" t="s">
        <v>772</v>
      </c>
      <c r="E71" s="974" t="s">
        <v>773</v>
      </c>
      <c r="F71" s="339">
        <f ca="1">F43</f>
        <v>47066.759999999995</v>
      </c>
      <c r="O71" s="1428" t="s">
        <v>413</v>
      </c>
      <c r="P71" s="1467" t="s">
        <v>869</v>
      </c>
      <c r="Q71" s="1431">
        <f ca="1">C76</f>
        <v>7.0000000000000007E-2</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2215</v>
      </c>
      <c r="D75" s="1384"/>
      <c r="E75" s="1384"/>
      <c r="F75" s="1384"/>
      <c r="K75" s="1402"/>
      <c r="L75" s="1384"/>
      <c r="O75" s="1418" t="s">
        <v>409</v>
      </c>
      <c r="P75" s="1419" t="s">
        <v>833</v>
      </c>
      <c r="Q75" s="1420">
        <f ca="1">Q65+Q66</f>
        <v>265395</v>
      </c>
      <c r="R75" s="1420" t="s">
        <v>410</v>
      </c>
    </row>
    <row r="76" spans="1:18">
      <c r="B76" s="342" t="s">
        <v>791</v>
      </c>
      <c r="C76" s="343">
        <f ca="1">INDIRECT("'数据-取费表'!j"&amp;$G$1)</f>
        <v>7.0000000000000007E-2</v>
      </c>
      <c r="I76" s="1384"/>
      <c r="J76" s="1384"/>
      <c r="K76" s="1402"/>
      <c r="L76" s="1384"/>
    </row>
    <row r="77" spans="1:18">
      <c r="B77" s="344" t="s">
        <v>792</v>
      </c>
      <c r="C77" s="345"/>
      <c r="I77" s="1384"/>
      <c r="J77" s="1384"/>
      <c r="K77" s="1402"/>
      <c r="L77" s="1384"/>
    </row>
    <row r="78" spans="1:18">
      <c r="B78" s="270" t="s">
        <v>793</v>
      </c>
      <c r="C78" s="346"/>
    </row>
    <row r="79" spans="1:18">
      <c r="B79" s="340" t="s">
        <v>794</v>
      </c>
      <c r="C79" s="274">
        <f ca="1">1-C80</f>
        <v>0.84</v>
      </c>
    </row>
    <row r="80" spans="1:18">
      <c r="B80" s="340" t="s">
        <v>795</v>
      </c>
      <c r="C80" s="274">
        <f ca="1">ROUND(C75/C39,3)</f>
        <v>0.16</v>
      </c>
    </row>
    <row r="81" spans="2:3">
      <c r="B81" s="270" t="s">
        <v>796</v>
      </c>
      <c r="C81" s="238"/>
    </row>
    <row r="82" spans="2:3">
      <c r="B82" s="273" t="s">
        <v>797</v>
      </c>
      <c r="C82" s="275">
        <f ca="1">1-C83</f>
        <v>0.88100000000000001</v>
      </c>
    </row>
    <row r="83" spans="2:3">
      <c r="B83" s="273" t="s">
        <v>798</v>
      </c>
      <c r="C83" s="274">
        <f ca="1">ROUND(C13/C40,3)</f>
        <v>0.11899999999999999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1257</v>
      </c>
      <c r="B1" s="1747"/>
      <c r="C1" s="1748" t="s">
        <v>3499</v>
      </c>
      <c r="D1" s="1747"/>
      <c r="E1" s="1747"/>
      <c r="F1" s="1749" t="s">
        <v>1258</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1259</v>
      </c>
      <c r="B3" s="3636"/>
      <c r="C3" s="3636"/>
      <c r="D3" s="3636"/>
      <c r="E3" s="3636"/>
      <c r="F3" s="3636"/>
      <c r="G3" s="3636"/>
      <c r="H3" s="3636"/>
      <c r="I3" s="3636"/>
    </row>
    <row r="4" spans="1:12" ht="14.25">
      <c r="A4" s="1754" t="s">
        <v>1260</v>
      </c>
      <c r="B4" s="1755" t="s">
        <v>1261</v>
      </c>
      <c r="C4" s="1756" t="s">
        <v>3516</v>
      </c>
      <c r="D4" s="1756" t="s">
        <v>3514</v>
      </c>
      <c r="E4" s="3640" t="s">
        <v>1262</v>
      </c>
      <c r="F4" s="3641"/>
      <c r="G4" s="3641"/>
      <c r="H4" s="3641"/>
      <c r="I4" s="3642"/>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79" t="s">
        <v>1263</v>
      </c>
      <c r="B5" s="3634">
        <v>25</v>
      </c>
      <c r="C5" s="3637"/>
      <c r="D5" s="3625"/>
      <c r="E5" s="131" t="s">
        <v>1264</v>
      </c>
      <c r="F5" s="1757"/>
      <c r="G5" s="1757"/>
      <c r="H5" s="1757"/>
      <c r="I5" s="1373"/>
    </row>
    <row r="6" spans="1:12" ht="12.75">
      <c r="A6" s="3579"/>
      <c r="B6" s="3634"/>
      <c r="C6" s="3639"/>
      <c r="D6" s="3625"/>
      <c r="E6" s="131" t="s">
        <v>1265</v>
      </c>
      <c r="F6" s="1757"/>
      <c r="G6" s="1757"/>
      <c r="H6" s="1757"/>
      <c r="I6" s="1373"/>
    </row>
    <row r="7" spans="1:12" ht="12.75">
      <c r="A7" s="3579"/>
      <c r="B7" s="3634"/>
      <c r="C7" s="3638"/>
      <c r="D7" s="3625"/>
      <c r="E7" s="131" t="s">
        <v>1266</v>
      </c>
      <c r="F7" s="1757"/>
      <c r="G7" s="1757"/>
      <c r="H7" s="1757"/>
      <c r="I7" s="1373"/>
    </row>
    <row r="8" spans="1:12" ht="12.75">
      <c r="A8" s="3579" t="s">
        <v>1267</v>
      </c>
      <c r="B8" s="3634">
        <v>15</v>
      </c>
      <c r="C8" s="3637"/>
      <c r="D8" s="3625"/>
      <c r="E8" s="131" t="s">
        <v>1268</v>
      </c>
      <c r="F8" s="1757"/>
      <c r="G8" s="1757"/>
      <c r="H8" s="1757"/>
      <c r="I8" s="1373"/>
    </row>
    <row r="9" spans="1:12" ht="12.75">
      <c r="A9" s="3579"/>
      <c r="B9" s="3634"/>
      <c r="C9" s="3638"/>
      <c r="D9" s="3625"/>
      <c r="E9" s="131" t="s">
        <v>1269</v>
      </c>
      <c r="F9" s="1757"/>
      <c r="G9" s="1757"/>
      <c r="H9" s="1757"/>
      <c r="I9" s="1373"/>
    </row>
    <row r="10" spans="1:12" ht="12.75">
      <c r="A10" s="3579" t="s">
        <v>1270</v>
      </c>
      <c r="B10" s="3634">
        <v>15</v>
      </c>
      <c r="C10" s="3637"/>
      <c r="D10" s="3625"/>
      <c r="E10" s="131" t="s">
        <v>1271</v>
      </c>
      <c r="F10" s="1757"/>
      <c r="G10" s="1757"/>
      <c r="H10" s="1757"/>
      <c r="I10" s="1373"/>
    </row>
    <row r="11" spans="1:12" ht="12.75">
      <c r="A11" s="3579"/>
      <c r="B11" s="3634"/>
      <c r="C11" s="3638"/>
      <c r="D11" s="3625"/>
      <c r="E11" s="131" t="s">
        <v>1272</v>
      </c>
      <c r="F11" s="1757"/>
      <c r="G11" s="1757"/>
      <c r="H11" s="1757"/>
      <c r="I11" s="1373"/>
    </row>
    <row r="12" spans="1:12" ht="12.75">
      <c r="A12" s="3579" t="s">
        <v>1273</v>
      </c>
      <c r="B12" s="3634">
        <v>15</v>
      </c>
      <c r="C12" s="3637"/>
      <c r="D12" s="3625"/>
      <c r="E12" s="131" t="s">
        <v>1274</v>
      </c>
      <c r="F12" s="1757"/>
      <c r="G12" s="1757"/>
      <c r="H12" s="1757"/>
      <c r="I12" s="1373"/>
    </row>
    <row r="13" spans="1:12" ht="12.75">
      <c r="A13" s="3579"/>
      <c r="B13" s="3634"/>
      <c r="C13" s="3638"/>
      <c r="D13" s="3625"/>
      <c r="E13" s="131" t="s">
        <v>1275</v>
      </c>
      <c r="F13" s="1757"/>
      <c r="G13" s="1757"/>
      <c r="H13" s="1757"/>
      <c r="I13" s="1373"/>
    </row>
    <row r="14" spans="1:12" ht="12.75">
      <c r="A14" s="3579" t="s">
        <v>1276</v>
      </c>
      <c r="B14" s="3634">
        <v>30</v>
      </c>
      <c r="C14" s="3637">
        <v>5</v>
      </c>
      <c r="D14" s="3625">
        <v>5</v>
      </c>
      <c r="E14" s="131" t="s">
        <v>1277</v>
      </c>
      <c r="F14" s="1757"/>
      <c r="G14" s="1757"/>
      <c r="H14" s="1757"/>
      <c r="I14" s="1373"/>
    </row>
    <row r="15" spans="1:12" ht="12.75">
      <c r="A15" s="3579"/>
      <c r="B15" s="3634"/>
      <c r="C15" s="3639"/>
      <c r="D15" s="3625"/>
      <c r="E15" s="131" t="s">
        <v>1278</v>
      </c>
      <c r="F15" s="1757"/>
      <c r="G15" s="1757"/>
      <c r="H15" s="1757"/>
      <c r="I15" s="1373"/>
    </row>
    <row r="16" spans="1:12" ht="12.75">
      <c r="A16" s="3579"/>
      <c r="B16" s="3634"/>
      <c r="C16" s="3638"/>
      <c r="D16" s="3625"/>
      <c r="E16" s="131" t="s">
        <v>1279</v>
      </c>
      <c r="F16" s="1757"/>
      <c r="G16" s="1757"/>
      <c r="H16" s="1757"/>
      <c r="I16" s="1373"/>
    </row>
    <row r="17" spans="1:36" ht="15">
      <c r="A17" s="1758" t="s">
        <v>1280</v>
      </c>
      <c r="B17" s="56"/>
      <c r="C17" s="132">
        <f>SUM(C5:C16)</f>
        <v>5</v>
      </c>
      <c r="D17" s="132">
        <f>SUM(D5:D16)</f>
        <v>5</v>
      </c>
      <c r="E17" s="129"/>
      <c r="F17" s="129"/>
      <c r="G17" s="129"/>
      <c r="H17" s="129"/>
      <c r="I17" s="129"/>
      <c r="K17" s="302"/>
      <c r="L17" s="302" t="s">
        <v>1281</v>
      </c>
      <c r="M17" s="302" t="s">
        <v>1282</v>
      </c>
    </row>
    <row r="18" spans="1:36" ht="31.9" customHeight="1" thickBot="1">
      <c r="A18" s="1759" t="s">
        <v>1283</v>
      </c>
      <c r="B18" s="1760"/>
      <c r="C18" s="133">
        <f>ROUND(C17/SUM(C17:D17),2)</f>
        <v>0.5</v>
      </c>
      <c r="D18" s="133">
        <f>1-C18</f>
        <v>0.5</v>
      </c>
      <c r="E18" s="3656" t="s">
        <v>2126</v>
      </c>
      <c r="F18" s="3657"/>
      <c r="G18" s="3657"/>
      <c r="H18" s="3657"/>
      <c r="I18" s="3657"/>
      <c r="K18" s="302" t="s">
        <v>1284</v>
      </c>
      <c r="L18" s="302">
        <f>IF(C1="",'数据-汇总表'!E3,SUMIF(项目类型,C1,'数据-汇总表'!E17:E26)+SUMIF(项目类型,C1,'数据-汇总表'!I17:I26))</f>
        <v>5038.8999999999996</v>
      </c>
      <c r="M18" s="302">
        <f>IF(C1="",'数据-汇总表'!E3,SUMIF(项目类型,C1,'数据-汇总表'!E17:E26))</f>
        <v>5038.8999999999996</v>
      </c>
    </row>
    <row r="19" spans="1:36" ht="15">
      <c r="A19" s="1761" t="s">
        <v>1285</v>
      </c>
      <c r="B19" s="1762" t="s">
        <v>1286</v>
      </c>
      <c r="C19" s="134">
        <f ca="1">SUMIF(INDIRECT("'"&amp;C4&amp;"'"&amp;"!A:A"),'结果表(商业)'!B19,INDIRECT("'"&amp;C4&amp;"'"&amp;"!B:B"))</f>
        <v>34265</v>
      </c>
      <c r="D19" s="135">
        <f ca="1">SUMIF(INDIRECT("'"&amp;D4&amp;"'"&amp;"!A:A"),'结果表(商业)'!B19,INDIRECT("'"&amp;D4&amp;"'"&amp;"!B:B"))</f>
        <v>31866</v>
      </c>
      <c r="E19" s="1761" t="s">
        <v>1287</v>
      </c>
      <c r="F19" s="1762" t="s">
        <v>1286</v>
      </c>
      <c r="G19" s="136">
        <f ca="1">ROUND(C19*$C$18+D19*$D$18,0)</f>
        <v>33066</v>
      </c>
      <c r="H19" s="1763" t="s">
        <v>1288</v>
      </c>
      <c r="I19" s="129"/>
      <c r="K19" s="302" t="s">
        <v>1289</v>
      </c>
      <c r="L19" s="302">
        <f>IF(C1="",'数据-汇总表'!D3,SUMIF(项目类型,C1,'数据-汇总表'!D17:D26)+SUMIF(项目类型,C1,'数据-汇总表'!H17:H27))</f>
        <v>720.88</v>
      </c>
      <c r="M19" s="302">
        <f>IF(C1="",'数据-汇总表'!D3,SUMIF(项目类型,C1,'数据-汇总表'!D17:D26))</f>
        <v>720.88</v>
      </c>
    </row>
    <row r="20" spans="1:36" ht="15">
      <c r="A20" s="1764"/>
      <c r="B20" s="1026" t="s">
        <v>1290</v>
      </c>
      <c r="C20" s="137">
        <f ca="1">SUMIF(INDIRECT("'"&amp;C4&amp;"'"&amp;"!A:A"),'结果表(商业)'!B20,INDIRECT("'"&amp;C4&amp;"'"&amp;"!B:B"))</f>
        <v>68000</v>
      </c>
      <c r="D20" s="138">
        <f ca="1">SUMIF(INDIRECT("'"&amp;D4&amp;"'"&amp;"!A:A"),'结果表(商业)'!B20,INDIRECT("'"&amp;D4&amp;"'"&amp;"!B:B"))</f>
        <v>63240</v>
      </c>
      <c r="E20" s="1764"/>
      <c r="F20" s="1026" t="s">
        <v>1290</v>
      </c>
      <c r="G20" s="139">
        <f ca="1">ROUND(C20*$C$18+D20*$D$18,0)</f>
        <v>65620</v>
      </c>
      <c r="H20" s="808" t="s">
        <v>1291</v>
      </c>
      <c r="I20" s="129"/>
    </row>
    <row r="21" spans="1:36" ht="15" customHeight="1" thickBot="1">
      <c r="A21" s="828"/>
      <c r="B21" s="1765" t="s">
        <v>1292</v>
      </c>
      <c r="C21" s="719">
        <f ca="1">ROUND(C19*10000/L19,0)</f>
        <v>475322</v>
      </c>
      <c r="D21" s="720">
        <f ca="1">ROUND(D19*10000/L19,0)</f>
        <v>442043</v>
      </c>
      <c r="E21" s="828"/>
      <c r="F21" s="1765" t="s">
        <v>1292</v>
      </c>
      <c r="G21" s="140">
        <f ca="1">ROUND(G19*10000/L19,0)</f>
        <v>458689</v>
      </c>
      <c r="H21" s="1766" t="s">
        <v>1291</v>
      </c>
      <c r="I21" s="129"/>
    </row>
    <row r="22" spans="1:36" ht="15" thickBot="1">
      <c r="A22" s="1688" t="s">
        <v>1293</v>
      </c>
      <c r="B22" s="1767"/>
      <c r="C22" s="1768"/>
      <c r="D22" s="721">
        <f ca="1">IF(C19&lt;D19,D19/C19-1,C19/D19-1)</f>
        <v>7.5284001757358832E-2</v>
      </c>
      <c r="E22" s="129"/>
      <c r="F22" s="129"/>
      <c r="G22" s="129"/>
      <c r="H22" s="129"/>
      <c r="I22" s="129"/>
    </row>
    <row r="23" spans="1:36" ht="13.5" thickBot="1">
      <c r="A23" s="1747"/>
      <c r="B23" s="1747"/>
      <c r="C23" s="1747"/>
      <c r="D23" s="1747"/>
      <c r="E23" s="129"/>
      <c r="F23" s="129"/>
      <c r="G23" s="129"/>
      <c r="H23" s="129"/>
      <c r="I23" s="129"/>
    </row>
    <row r="24" spans="1:36" ht="14.25">
      <c r="A24" s="3649" t="s">
        <v>1294</v>
      </c>
      <c r="B24" s="1762" t="s">
        <v>1286</v>
      </c>
      <c r="C24" s="136">
        <f>IF(B30=0,0,D30)</f>
        <v>0</v>
      </c>
      <c r="D24" s="1769"/>
      <c r="E24" s="129"/>
      <c r="F24" s="129"/>
      <c r="G24" s="129"/>
      <c r="H24" s="129">
        <f>'数据-取费表'!AH10*45</f>
        <v>17640</v>
      </c>
      <c r="I24" s="129"/>
    </row>
    <row r="25" spans="1:36" ht="14.25">
      <c r="A25" s="3650"/>
      <c r="B25" s="1026" t="s">
        <v>1290</v>
      </c>
      <c r="C25" s="141">
        <f>IF(B30=0,0,C30)</f>
        <v>0</v>
      </c>
      <c r="D25" s="1770"/>
      <c r="E25" s="129"/>
      <c r="F25" s="129"/>
      <c r="G25" s="129"/>
      <c r="H25" s="129"/>
      <c r="I25" s="129"/>
    </row>
    <row r="26" spans="1:36" ht="13.5" customHeight="1">
      <c r="A26" s="1771" t="s">
        <v>1295</v>
      </c>
      <c r="B26" s="142" t="s">
        <v>1296</v>
      </c>
      <c r="C26" s="142" t="s">
        <v>1297</v>
      </c>
      <c r="D26" s="143" t="s">
        <v>1298</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1299</v>
      </c>
      <c r="B30" s="142"/>
      <c r="C30" s="142"/>
      <c r="D30" s="142"/>
      <c r="E30" s="2303" t="s">
        <v>2127</v>
      </c>
      <c r="F30" s="129"/>
      <c r="G30" s="129"/>
      <c r="H30" s="129"/>
      <c r="I30" s="129"/>
    </row>
    <row r="31" spans="1:36" s="2309" customFormat="1" ht="26.45" customHeight="1" thickTop="1" thickBot="1">
      <c r="A31" s="2304"/>
      <c r="B31" s="2305"/>
      <c r="C31" s="2305"/>
      <c r="D31" s="2305"/>
      <c r="E31" s="2305"/>
      <c r="F31" s="2305"/>
      <c r="G31" s="2305"/>
      <c r="H31" s="2305"/>
      <c r="I31" s="2306" t="s">
        <v>2128</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1300</v>
      </c>
      <c r="B32" s="1774"/>
      <c r="C32" s="144">
        <f ca="1">IF(D32="总价",G19-C24,G20-C25)</f>
        <v>33066</v>
      </c>
      <c r="D32" s="1775" t="s">
        <v>3533</v>
      </c>
      <c r="E32" s="129"/>
      <c r="F32" s="129"/>
      <c r="G32" s="129"/>
      <c r="H32" s="129"/>
      <c r="I32" s="129"/>
    </row>
    <row r="33" spans="1:15" ht="15">
      <c r="A33" s="786" t="s">
        <v>1301</v>
      </c>
      <c r="B33" s="1776"/>
      <c r="C33" s="1777"/>
      <c r="D33" s="1778"/>
      <c r="E33" s="1779" t="s">
        <v>1302</v>
      </c>
      <c r="F33" s="1780" t="str">
        <f>IF(D32="楼面单价","取值（单价）","取值（总价）")</f>
        <v>取值（总价）</v>
      </c>
      <c r="G33" s="129"/>
      <c r="H33" s="129"/>
      <c r="I33" s="129"/>
    </row>
    <row r="34" spans="1:15" ht="15">
      <c r="A34" s="1781"/>
      <c r="B34" s="1782" t="s">
        <v>1303</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1304</v>
      </c>
      <c r="F34" s="1330"/>
      <c r="G34" s="129"/>
      <c r="H34" s="129"/>
      <c r="I34" s="129"/>
    </row>
    <row r="35" spans="1:15" ht="15.75" thickBot="1">
      <c r="A35" s="1784"/>
      <c r="B35" s="1785" t="s">
        <v>1305</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1306</v>
      </c>
      <c r="F35" s="154"/>
      <c r="G35" s="129"/>
      <c r="H35" s="129"/>
      <c r="I35" s="129"/>
    </row>
    <row r="36" spans="1:15" ht="15.75" thickBot="1">
      <c r="A36" s="3626" t="s">
        <v>1307</v>
      </c>
      <c r="B36" s="1787" t="s">
        <v>1308</v>
      </c>
      <c r="C36" s="145"/>
      <c r="D36" s="1788"/>
      <c r="E36" s="1789"/>
      <c r="F36" s="1790"/>
      <c r="G36" s="129"/>
      <c r="H36" s="129"/>
      <c r="I36" s="129"/>
    </row>
    <row r="37" spans="1:15" ht="15.75" thickBot="1">
      <c r="A37" s="3627"/>
      <c r="B37" s="1674" t="s">
        <v>1309</v>
      </c>
      <c r="C37" s="147"/>
      <c r="D37" s="1139"/>
      <c r="E37" s="1139"/>
      <c r="F37" s="1790"/>
      <c r="G37" s="129"/>
      <c r="H37" s="129"/>
      <c r="I37" s="129"/>
    </row>
    <row r="38" spans="1:15" ht="15.75" thickBot="1">
      <c r="A38" s="3628"/>
      <c r="B38" s="1791" t="s">
        <v>1310</v>
      </c>
      <c r="C38" s="674"/>
      <c r="D38" s="1792" t="s">
        <v>1311</v>
      </c>
      <c r="E38" s="1139"/>
      <c r="F38" s="1790"/>
      <c r="G38" s="129"/>
      <c r="H38" s="129"/>
      <c r="I38" s="129"/>
    </row>
    <row r="39" spans="1:15" ht="15">
      <c r="A39" s="1764" t="s">
        <v>1312</v>
      </c>
      <c r="B39" s="1793" t="s">
        <v>1296</v>
      </c>
      <c r="C39" s="1794" t="s">
        <v>1297</v>
      </c>
      <c r="D39" s="1794" t="s">
        <v>1315</v>
      </c>
      <c r="E39" s="1795" t="s">
        <v>1298</v>
      </c>
      <c r="F39" s="1790"/>
      <c r="G39" s="129"/>
      <c r="H39" s="129"/>
      <c r="I39" s="129"/>
    </row>
    <row r="40" spans="1:15" ht="14.25">
      <c r="A40" s="1796" t="s">
        <v>1317</v>
      </c>
      <c r="B40" s="149"/>
      <c r="C40" s="150"/>
      <c r="D40" s="150"/>
      <c r="E40" s="151"/>
      <c r="F40" s="1790"/>
      <c r="G40" s="129"/>
      <c r="H40" s="129"/>
      <c r="I40" s="129"/>
    </row>
    <row r="41" spans="1:15" ht="14.25">
      <c r="A41" s="1796" t="s">
        <v>1318</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1319</v>
      </c>
      <c r="B44" s="1801"/>
      <c r="C44" s="1801"/>
      <c r="D44" s="1802"/>
      <c r="E44" s="1802"/>
      <c r="F44" s="1803"/>
      <c r="G44" s="1803"/>
      <c r="H44" s="1803"/>
      <c r="I44" s="1803"/>
      <c r="J44" s="1804" t="s">
        <v>1320</v>
      </c>
      <c r="K44" s="1805"/>
      <c r="L44" s="1805"/>
      <c r="M44" s="1805"/>
      <c r="N44" s="1805"/>
      <c r="O44" s="1805"/>
    </row>
    <row r="45" spans="1:15" ht="14.25" customHeight="1" thickBot="1">
      <c r="A45" s="3646" t="s">
        <v>1321</v>
      </c>
      <c r="B45" s="3647"/>
      <c r="C45" s="3648"/>
      <c r="D45" s="155">
        <f ca="1">ROUND(H101*F45,0)</f>
        <v>33066</v>
      </c>
      <c r="E45" s="156" t="s">
        <v>1322</v>
      </c>
      <c r="F45" s="157">
        <v>1</v>
      </c>
      <c r="G45" s="158" t="s">
        <v>1323</v>
      </c>
      <c r="H45" s="129"/>
      <c r="I45" s="129"/>
      <c r="J45" s="3566" t="s">
        <v>1324</v>
      </c>
      <c r="K45" s="3566"/>
      <c r="L45" s="3566"/>
      <c r="M45" s="3566"/>
      <c r="N45" s="3566"/>
      <c r="O45" s="3566"/>
    </row>
    <row r="46" spans="1:15" ht="14.25" customHeight="1">
      <c r="A46" s="3643" t="s">
        <v>1325</v>
      </c>
      <c r="B46" s="3644"/>
      <c r="C46" s="3644"/>
      <c r="D46" s="3644"/>
      <c r="E46" s="3644"/>
      <c r="F46" s="3644"/>
      <c r="G46" s="3645"/>
      <c r="H46" s="1806"/>
      <c r="I46" s="159"/>
      <c r="J46" s="3457">
        <v>1</v>
      </c>
      <c r="K46" s="3567" t="s">
        <v>1326</v>
      </c>
      <c r="L46" s="3567"/>
      <c r="M46" s="3568"/>
      <c r="N46" s="3568"/>
      <c r="O46" s="3568"/>
    </row>
    <row r="47" spans="1:15" ht="12" customHeight="1">
      <c r="A47" s="160" t="s">
        <v>1327</v>
      </c>
      <c r="B47" s="161"/>
      <c r="C47" s="162"/>
      <c r="D47" s="1087" t="s">
        <v>1328</v>
      </c>
      <c r="E47" s="302" t="s">
        <v>1329</v>
      </c>
      <c r="F47" s="163" t="s">
        <v>1330</v>
      </c>
      <c r="G47" s="2546" t="s">
        <v>1331</v>
      </c>
      <c r="H47" s="2547"/>
      <c r="I47" s="159"/>
      <c r="J47" s="3457">
        <v>2</v>
      </c>
      <c r="K47" s="3567" t="s">
        <v>1332</v>
      </c>
      <c r="L47" s="3567"/>
      <c r="M47" s="3569">
        <f>'数据-取费表'!B2</f>
        <v>45142</v>
      </c>
      <c r="N47" s="3569"/>
      <c r="O47" s="3569"/>
    </row>
    <row r="48" spans="1:15" ht="25.5">
      <c r="A48" s="3629" t="s">
        <v>1333</v>
      </c>
      <c r="B48" s="3630"/>
      <c r="C48" s="3630"/>
      <c r="D48" s="3452" t="b">
        <f>IF(H48="情况1",0,IF(H48="情况2",D52,IF(H48="情况3",D53,IF(H48="情况4",D54))))</f>
        <v>0</v>
      </c>
      <c r="E48" s="3467" t="str">
        <f>IF(H48="情况4","(销售额-原购置价)×税（费）率","销售额×税（费）率")</f>
        <v>销售额×税（费）率</v>
      </c>
      <c r="F48" s="2548">
        <f>IF(H48="情况1","免征",'数据-取费表'!B41)</f>
        <v>5.6000000000000001E-2</v>
      </c>
      <c r="G48" s="2549" t="s">
        <v>1334</v>
      </c>
      <c r="H48" s="2550"/>
      <c r="I48" s="1806"/>
      <c r="J48" s="3457">
        <v>3</v>
      </c>
      <c r="K48" s="3567" t="s">
        <v>1335</v>
      </c>
      <c r="L48" s="3567"/>
      <c r="M48" s="3570">
        <f ca="1">H101</f>
        <v>33066</v>
      </c>
      <c r="N48" s="3570"/>
      <c r="O48" s="3570"/>
    </row>
    <row r="49" spans="1:35" ht="25.5" customHeight="1">
      <c r="A49" s="3466" t="s">
        <v>1336</v>
      </c>
      <c r="B49" s="3615" t="s">
        <v>1337</v>
      </c>
      <c r="C49" s="3615"/>
      <c r="D49" s="1590">
        <v>0</v>
      </c>
      <c r="E49" s="324" t="s">
        <v>1338</v>
      </c>
      <c r="F49" s="3450" t="s">
        <v>28</v>
      </c>
      <c r="G49" s="3598"/>
      <c r="H49" s="2310" t="s">
        <v>2129</v>
      </c>
      <c r="I49" s="2311"/>
      <c r="J49" s="3457">
        <v>4</v>
      </c>
      <c r="K49" s="3567" t="str">
        <f>IF(项目基本情况!E8="房地产抵押价值","房地产抵押价值","抵押担保权已注销时的房地产抵押价值")</f>
        <v>房地产抵押价值</v>
      </c>
      <c r="L49" s="3567"/>
      <c r="M49" s="3570">
        <f ca="1">IF(项目基本情况!E8="房地产抵押价值",H107,H109)</f>
        <v>33066</v>
      </c>
      <c r="N49" s="3570"/>
      <c r="O49" s="3570"/>
    </row>
    <row r="50" spans="1:35" ht="25.5" customHeight="1">
      <c r="A50" s="2551"/>
      <c r="B50" s="3615" t="s">
        <v>1339</v>
      </c>
      <c r="C50" s="3615"/>
      <c r="D50" s="2552"/>
      <c r="E50" s="332"/>
      <c r="F50" s="3450"/>
      <c r="G50" s="3599"/>
      <c r="H50" s="2312" t="s">
        <v>2130</v>
      </c>
      <c r="I50" s="2311"/>
      <c r="J50" s="3566" t="s">
        <v>1340</v>
      </c>
      <c r="K50" s="3566"/>
      <c r="L50" s="3566"/>
      <c r="M50" s="3566"/>
      <c r="N50" s="3566"/>
      <c r="O50" s="3566"/>
    </row>
    <row r="51" spans="1:35" ht="20.45" customHeight="1">
      <c r="A51" s="2553"/>
      <c r="B51" s="3615" t="s">
        <v>1341</v>
      </c>
      <c r="C51" s="3615"/>
      <c r="D51" s="1087"/>
      <c r="E51" s="327"/>
      <c r="F51" s="3450"/>
      <c r="G51" s="3600"/>
      <c r="H51" s="2312" t="s">
        <v>2131</v>
      </c>
      <c r="I51" s="2311"/>
      <c r="J51" s="3451" t="s">
        <v>1342</v>
      </c>
      <c r="K51" s="3567" t="s">
        <v>1343</v>
      </c>
      <c r="L51" s="3567"/>
      <c r="M51" s="3451" t="s">
        <v>1344</v>
      </c>
      <c r="N51" s="3451" t="s">
        <v>1345</v>
      </c>
      <c r="O51" s="3451" t="s">
        <v>1346</v>
      </c>
    </row>
    <row r="52" spans="1:35" ht="24" customHeight="1">
      <c r="A52" s="3469" t="s">
        <v>1347</v>
      </c>
      <c r="B52" s="3615" t="s">
        <v>1348</v>
      </c>
      <c r="C52" s="3615"/>
      <c r="D52" s="1087">
        <f ca="1">ROUND(D45*'数据-取费表'!B41/(1+'数据-取费表'!C42),0)</f>
        <v>1764</v>
      </c>
      <c r="E52" s="3467" t="s">
        <v>1349</v>
      </c>
      <c r="F52" s="2554">
        <f>'数据-取费表'!B41</f>
        <v>5.6000000000000001E-2</v>
      </c>
      <c r="G52" s="2555"/>
      <c r="H52" s="2544"/>
      <c r="I52" s="1807"/>
      <c r="J52" s="3457">
        <v>1</v>
      </c>
      <c r="K52" s="3592" t="s">
        <v>1350</v>
      </c>
      <c r="L52" s="3592"/>
      <c r="M52" s="2525" t="b">
        <f>D48</f>
        <v>0</v>
      </c>
      <c r="N52" s="3457" t="str">
        <f>E48</f>
        <v>销售额×税（费）率</v>
      </c>
      <c r="O52" s="2526">
        <f>F48</f>
        <v>5.6000000000000001E-2</v>
      </c>
    </row>
    <row r="53" spans="1:35" ht="12" customHeight="1">
      <c r="A53" s="3469" t="s">
        <v>1351</v>
      </c>
      <c r="B53" s="3616" t="s">
        <v>2286</v>
      </c>
      <c r="C53" s="3617"/>
      <c r="D53" s="1087">
        <f ca="1">ROUND(D45*'数据-取费表'!B41/(1+'数据-取费表'!C42),0)</f>
        <v>1764</v>
      </c>
      <c r="E53" s="3467" t="s">
        <v>1349</v>
      </c>
      <c r="F53" s="2554">
        <f>'数据-取费表'!B41</f>
        <v>5.6000000000000001E-2</v>
      </c>
      <c r="G53" s="2555"/>
      <c r="H53" s="2544"/>
      <c r="I53" s="1807"/>
      <c r="J53" s="3457">
        <v>2</v>
      </c>
      <c r="K53" s="3592" t="s">
        <v>1352</v>
      </c>
      <c r="L53" s="3592"/>
      <c r="M53" s="2525">
        <f t="shared" ref="M53:O54" ca="1" si="0">D55</f>
        <v>17</v>
      </c>
      <c r="N53" s="3457" t="str">
        <f t="shared" si="0"/>
        <v>销售额×税（费）率</v>
      </c>
      <c r="O53" s="2526" t="str">
        <f t="shared" si="0"/>
        <v>免征</v>
      </c>
    </row>
    <row r="54" spans="1:35" ht="12" customHeight="1">
      <c r="A54" s="3469" t="s">
        <v>1353</v>
      </c>
      <c r="B54" s="3616" t="s">
        <v>2287</v>
      </c>
      <c r="C54" s="3617"/>
      <c r="D54" s="1087">
        <f ca="1">C68</f>
        <v>1763</v>
      </c>
      <c r="E54" s="327" t="s">
        <v>1354</v>
      </c>
      <c r="F54" s="2554">
        <f>'数据-取费表'!B41</f>
        <v>5.6000000000000001E-2</v>
      </c>
      <c r="G54" s="2555"/>
      <c r="H54" s="2556"/>
      <c r="I54" s="1807"/>
      <c r="J54" s="3457">
        <v>3</v>
      </c>
      <c r="K54" s="3592" t="s">
        <v>1355</v>
      </c>
      <c r="L54" s="3592"/>
      <c r="M54" s="2525">
        <f t="shared" ca="1" si="0"/>
        <v>18715</v>
      </c>
      <c r="N54" s="3457" t="str">
        <f t="shared" si="0"/>
        <v>增值额×税（费）率</v>
      </c>
      <c r="O54" s="2527" t="str">
        <f t="shared" si="0"/>
        <v>免征</v>
      </c>
    </row>
    <row r="55" spans="1:35" ht="24" customHeight="1">
      <c r="A55" s="3652" t="s">
        <v>1356</v>
      </c>
      <c r="B55" s="3630"/>
      <c r="C55" s="3630"/>
      <c r="D55" s="3452">
        <f ca="1">IF(H55="个人住宅",0,ROUND(D45*I55,0))</f>
        <v>17</v>
      </c>
      <c r="E55" s="3467" t="s">
        <v>1357</v>
      </c>
      <c r="F55" s="2554" t="str">
        <f>IF(H55="正常",I55,"免征")</f>
        <v>免征</v>
      </c>
      <c r="G55" s="2555"/>
      <c r="H55" s="2550"/>
      <c r="I55" s="165">
        <f>'数据-取费表'!B49</f>
        <v>5.0000000000000001E-4</v>
      </c>
      <c r="J55" s="3457">
        <f>IF(H59="非个人房产","",4)</f>
        <v>4</v>
      </c>
      <c r="K55" s="3592" t="str">
        <f>IF(H59="非个人房产","——","个人所得税")</f>
        <v>个人所得税</v>
      </c>
      <c r="L55" s="3592"/>
      <c r="M55" s="2528">
        <f ca="1">D59</f>
        <v>315</v>
      </c>
      <c r="N55" s="3458" t="str">
        <f>E59</f>
        <v>差额计税</v>
      </c>
      <c r="O55" s="2529">
        <f>F59</f>
        <v>0.01</v>
      </c>
    </row>
    <row r="56" spans="1:35" ht="24.75">
      <c r="A56" s="3652" t="s">
        <v>1358</v>
      </c>
      <c r="B56" s="3630"/>
      <c r="C56" s="3630"/>
      <c r="D56" s="3452">
        <f ca="1">IF(H56="个人住宅",D57,D58)</f>
        <v>18715</v>
      </c>
      <c r="E56" s="3467" t="s">
        <v>1359</v>
      </c>
      <c r="F56" s="2554" t="str">
        <f>IF(H56="正常",F58,"免征")</f>
        <v>免征</v>
      </c>
      <c r="G56" s="2557" t="s">
        <v>1360</v>
      </c>
      <c r="H56" s="2558"/>
      <c r="I56" s="1808"/>
      <c r="J56" s="3457"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3469" t="s">
        <v>1336</v>
      </c>
      <c r="B57" s="3616" t="s">
        <v>1361</v>
      </c>
      <c r="C57" s="3617"/>
      <c r="D57" s="1590">
        <v>0</v>
      </c>
      <c r="E57" s="324" t="s">
        <v>1338</v>
      </c>
      <c r="F57" s="302"/>
      <c r="G57" s="2555"/>
      <c r="H57" s="2559"/>
      <c r="I57" s="1808"/>
      <c r="J57" s="3592">
        <f>IF(AND(J55="",J56=""),4,IF(项目基本情况!K6="上海银行",'结果表(商业)'!J56+1,'结果表(商业)'!J55+1))</f>
        <v>5</v>
      </c>
      <c r="K57" s="3592" t="s">
        <v>1362</v>
      </c>
      <c r="L57" s="2530" t="s">
        <v>1363</v>
      </c>
      <c r="M57" s="2531"/>
      <c r="N57" s="2532">
        <f ca="1">SUMIF(M52:M56,"&lt;9e307")</f>
        <v>19047</v>
      </c>
      <c r="O57" s="2533"/>
      <c r="P57" s="2690">
        <f ca="1">N57/M49</f>
        <v>0.57602975866448924</v>
      </c>
    </row>
    <row r="58" spans="1:35" ht="24.75">
      <c r="A58" s="3469" t="s">
        <v>1347</v>
      </c>
      <c r="B58" s="3616" t="s">
        <v>1364</v>
      </c>
      <c r="C58" s="3615"/>
      <c r="D58" s="3452">
        <f ca="1">IF(H58="转让取得",C81,C97)</f>
        <v>18715</v>
      </c>
      <c r="E58" s="3467" t="s">
        <v>1359</v>
      </c>
      <c r="F58" s="302" t="s">
        <v>28</v>
      </c>
      <c r="G58" s="2555"/>
      <c r="H58" s="2558"/>
      <c r="I58" s="1808"/>
      <c r="J58" s="3592"/>
      <c r="K58" s="3592"/>
      <c r="L58" s="2530" t="s">
        <v>1365</v>
      </c>
      <c r="M58" s="2534"/>
      <c r="N58" s="2535" t="str">
        <f ca="1">NUMBERSTRING(INT(N57*10000),2)&amp;"元整"</f>
        <v>壹亿玖仟零肆拾柒万元整</v>
      </c>
      <c r="O58" s="2536"/>
    </row>
    <row r="59" spans="1:35" ht="24.75" thickBot="1">
      <c r="A59" s="3596" t="s">
        <v>1366</v>
      </c>
      <c r="B59" s="3597"/>
      <c r="C59" s="3597"/>
      <c r="D59" s="2560">
        <f ca="1">IF(H59="非个人房产","——",IF(H59="个人住宅（满五唯一有凭证）",0,IF(H59="个人其他（无凭证）",ROUND(D45*F59,0),ROUND(C67*F59,0))))</f>
        <v>315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1360</v>
      </c>
      <c r="H59" s="2314"/>
      <c r="I59" s="2313" t="s">
        <v>2132</v>
      </c>
      <c r="J59" s="3594">
        <f>J57+1</f>
        <v>6</v>
      </c>
      <c r="K59" s="3592" t="s">
        <v>1367</v>
      </c>
      <c r="L59" s="3457" t="s">
        <v>1363</v>
      </c>
      <c r="M59" s="2537"/>
      <c r="N59" s="2538">
        <f ca="1">M49-N57</f>
        <v>14019</v>
      </c>
      <c r="O59" s="2539"/>
    </row>
    <row r="60" spans="1:35" ht="12" customHeight="1">
      <c r="A60" s="1809"/>
      <c r="B60" s="1747"/>
      <c r="C60" s="1747"/>
      <c r="D60" s="1747"/>
      <c r="E60" s="1578"/>
      <c r="F60" s="1808"/>
      <c r="G60" s="1808"/>
      <c r="H60" s="1810"/>
      <c r="I60" s="129"/>
      <c r="J60" s="3595"/>
      <c r="K60" s="3592"/>
      <c r="L60" s="2530" t="s">
        <v>1365</v>
      </c>
      <c r="M60" s="2534"/>
      <c r="N60" s="2535" t="str">
        <f ca="1">NUMBERSTRING(INT(N59*10000),2)&amp;"元整"</f>
        <v>壹亿肆仟零壹拾玖万元整</v>
      </c>
      <c r="O60" s="2536"/>
    </row>
    <row r="61" spans="1:35" ht="13.5" thickBot="1">
      <c r="A61" s="3651" t="s">
        <v>1368</v>
      </c>
      <c r="B61" s="3651"/>
      <c r="C61" s="3651"/>
      <c r="D61" s="3651"/>
      <c r="E61" s="3651"/>
      <c r="F61" s="1808"/>
      <c r="G61" s="1808"/>
      <c r="H61" s="1810"/>
      <c r="I61" s="129"/>
      <c r="J61" s="3457">
        <f>J59+1</f>
        <v>7</v>
      </c>
      <c r="K61" s="3592" t="s">
        <v>1369</v>
      </c>
      <c r="L61" s="3592"/>
      <c r="M61" s="2540"/>
      <c r="N61" s="2541">
        <f ca="1">ROUND(N59*10000/'数据-汇总表'!E3,0)</f>
        <v>2084</v>
      </c>
      <c r="O61" s="2542"/>
    </row>
    <row r="62" spans="1:35" ht="12.75">
      <c r="A62" s="3611" t="s">
        <v>1370</v>
      </c>
      <c r="B62" s="3612"/>
      <c r="C62" s="3462"/>
      <c r="D62" s="3462" t="s">
        <v>1371</v>
      </c>
      <c r="E62" s="166" t="s">
        <v>1372</v>
      </c>
      <c r="F62" s="1808"/>
      <c r="G62" s="1808"/>
      <c r="H62" s="1810"/>
      <c r="I62" s="129"/>
    </row>
    <row r="63" spans="1:35" ht="12.75">
      <c r="A63" s="173" t="s">
        <v>330</v>
      </c>
      <c r="B63" s="167" t="s">
        <v>1373</v>
      </c>
      <c r="C63" s="2564">
        <f ca="1">ROUND((C64+C65)/(1+'数据-取费表'!C42),0)</f>
        <v>31491</v>
      </c>
      <c r="D63" s="167"/>
      <c r="E63" s="168"/>
      <c r="F63" s="1808"/>
      <c r="G63" s="1808"/>
      <c r="H63" s="1810"/>
      <c r="I63" s="129"/>
      <c r="J63" s="3575" t="s">
        <v>1374</v>
      </c>
      <c r="K63" s="3453" t="s">
        <v>1375</v>
      </c>
      <c r="L63" s="3453">
        <f ca="1">IF(M49&gt;10000,M49*0.5%,IF(AND(M49&gt;1000,M49&lt;=10000),M49*1%,IF(AND(M49&gt;100,M49&lt;=1000),M49*3%,IF(AND(M49&gt;10,M49&lt;=100),M49*5%,M49*8%))))</f>
        <v>165.33</v>
      </c>
      <c r="M63" s="302">
        <f ca="1">ROUND(L63,1)</f>
        <v>165.3</v>
      </c>
      <c r="N63" s="2543"/>
      <c r="Z63" s="1752"/>
      <c r="AI63" s="1753"/>
    </row>
    <row r="64" spans="1:35" ht="14.25" customHeight="1">
      <c r="A64" s="169" t="s">
        <v>325</v>
      </c>
      <c r="B64" s="170" t="s">
        <v>1376</v>
      </c>
      <c r="C64" s="2565">
        <f ca="1">D45</f>
        <v>33066</v>
      </c>
      <c r="D64" s="170" t="s">
        <v>26</v>
      </c>
      <c r="E64" s="172"/>
      <c r="F64" s="1808"/>
      <c r="G64" s="1808"/>
      <c r="H64" s="1810"/>
      <c r="I64" s="129"/>
      <c r="J64" s="3575"/>
      <c r="K64" s="3453" t="s">
        <v>1377</v>
      </c>
      <c r="L64" s="3453">
        <f ca="1">IF(M49&gt;2000,M49*0.5%,IF(AND(M49&gt;1000,M49&lt;=2000),M49*0.6%,IF(AND(M49&gt;500,M49&lt;=1000),M49*0.7%,IF(AND(M49&gt;200,M49&lt;=500),M49*0.8%,IF(AND(M49&gt;100,M49&lt;=200),M49*0.9%,IF(AND(M49&gt;50,M49&lt;=100),M49*1%,IF(AND(M49&gt;20,M49&lt;=50),M49*1.5%,IF(AND(M49&gt;10,M49&lt;=20),M49*2%,IF(AND(M49&gt;1,M49&lt;=10),M49*2.5%)))))))))</f>
        <v>165.33</v>
      </c>
      <c r="M64" s="302">
        <f t="shared" ref="M64:M65" ca="1" si="1">ROUND(L64,1)</f>
        <v>165.3</v>
      </c>
      <c r="N64" s="2544" t="s">
        <v>1378</v>
      </c>
      <c r="Z64" s="1752"/>
      <c r="AI64" s="1753"/>
    </row>
    <row r="65" spans="1:35" ht="14.25" customHeight="1">
      <c r="A65" s="169" t="s">
        <v>326</v>
      </c>
      <c r="B65" s="170" t="s">
        <v>1379</v>
      </c>
      <c r="C65" s="2566"/>
      <c r="D65" s="170"/>
      <c r="E65" s="172"/>
      <c r="F65" s="1808"/>
      <c r="G65" s="1808"/>
      <c r="H65" s="1810"/>
      <c r="I65" s="129"/>
      <c r="J65" s="3575"/>
      <c r="K65" s="3453" t="s">
        <v>1380</v>
      </c>
      <c r="L65" s="3453">
        <f ca="1">IF(M49&gt;1000,M49*0.1%,IF(AND(M49&gt;500,M49&lt;=1000),M49*0.5%,IF(AND(M49&gt;50,M49&lt;=500),M49*1%,IF(AND(M49&gt;1,M49&lt;=50),M49*1.5%))))</f>
        <v>33.066000000000003</v>
      </c>
      <c r="M65" s="302">
        <f t="shared" ca="1" si="1"/>
        <v>33.1</v>
      </c>
      <c r="N65" s="2544" t="s">
        <v>1378</v>
      </c>
      <c r="Z65" s="1752"/>
      <c r="AI65" s="1753"/>
    </row>
    <row r="66" spans="1:35" ht="14.25" customHeight="1">
      <c r="A66" s="173" t="s">
        <v>327</v>
      </c>
      <c r="B66" s="174" t="s">
        <v>1381</v>
      </c>
      <c r="C66" s="2567"/>
      <c r="D66" s="174" t="s">
        <v>26</v>
      </c>
      <c r="E66" s="1338" t="s">
        <v>666</v>
      </c>
      <c r="F66" s="1808"/>
      <c r="G66" s="1808"/>
      <c r="H66" s="1810"/>
      <c r="I66" s="129"/>
      <c r="J66" s="3575"/>
      <c r="K66" s="3453" t="s">
        <v>1382</v>
      </c>
      <c r="L66" s="3453">
        <f ca="1">M49*0.5%</f>
        <v>165.33</v>
      </c>
      <c r="M66" s="302">
        <f ca="1">IF(L66&gt;0.5,0.5,ROUND(L66,0))</f>
        <v>0.5</v>
      </c>
      <c r="N66" s="2544" t="s">
        <v>1383</v>
      </c>
      <c r="Z66" s="1752"/>
      <c r="AI66" s="1753"/>
    </row>
    <row r="67" spans="1:35" ht="14.25" customHeight="1">
      <c r="A67" s="173" t="s">
        <v>328</v>
      </c>
      <c r="B67" s="174" t="s">
        <v>1384</v>
      </c>
      <c r="C67" s="2568">
        <f ca="1">C63-C66</f>
        <v>31491</v>
      </c>
      <c r="D67" s="170" t="s">
        <v>26</v>
      </c>
      <c r="E67" s="172"/>
      <c r="F67" s="1808"/>
      <c r="G67" s="1808"/>
      <c r="H67" s="1810"/>
      <c r="I67" s="129"/>
      <c r="J67" s="3575"/>
      <c r="K67" s="3453" t="s">
        <v>1385</v>
      </c>
      <c r="L67" s="3453">
        <f ca="1">IF(M49&gt;=10000,(8.25+(M49-10000)*0.01%),IF(AND(M49&gt;=8000,M49&lt;10000),(7.85+(M49-8000)*0.02%),IF(AND(M49&gt;=5000,M49&lt;8000),(6.65+(M49-5000)*0.04%),IF(AND(M49&gt;=2000,M49&lt;5000),(4.25+(PM49-2000)*0.08%),IF(AND(M49&gt;=1000,M49&lt;2000),(2.75+(M49-1000)*0.15%),IF(AND(M49&gt;=100,M49&lt;1000),(0.5+(M49-100)*0.25%),IF(AND(M49&gt;0,M49&lt;100),M49*0.5%)))))))</f>
        <v>10.5566</v>
      </c>
      <c r="M67" s="302">
        <f ca="1">ROUND(L67*0.9,1)</f>
        <v>9.5</v>
      </c>
      <c r="N67" s="2543"/>
      <c r="Z67" s="1752"/>
      <c r="AI67" s="1753"/>
    </row>
    <row r="68" spans="1:35" ht="14.25" customHeight="1" thickBot="1">
      <c r="A68" s="176" t="s">
        <v>329</v>
      </c>
      <c r="B68" s="177" t="s">
        <v>1386</v>
      </c>
      <c r="C68" s="2569">
        <f ca="1">IF(C67&lt;=0,0,ROUND(C67*D68,0))</f>
        <v>1763</v>
      </c>
      <c r="D68" s="2570">
        <f>'数据-取费表'!B41</f>
        <v>5.6000000000000001E-2</v>
      </c>
      <c r="E68" s="178"/>
      <c r="F68" s="1808"/>
      <c r="G68" s="1808"/>
      <c r="H68" s="1810"/>
      <c r="I68" s="129"/>
      <c r="J68" s="3575"/>
      <c r="K68" s="3453" t="s">
        <v>1387</v>
      </c>
      <c r="L68" s="3453">
        <f ca="1">IF(M49&gt;10000,M49*0.5%,IF(AND(M49&gt;5000,M49&lt;=10000),M49*1%,IF(AND(M49&gt;1000,M49&lt;=5000),M49*2%,IF(AND(M49&gt;200,M49&lt;=1000),M49*3%,M49*5%))))</f>
        <v>165.33</v>
      </c>
      <c r="M68" s="302">
        <f ca="1">ROUND(L68,1)</f>
        <v>165.3</v>
      </c>
      <c r="N68" s="2543"/>
      <c r="Z68" s="1752"/>
      <c r="AI68" s="1753"/>
    </row>
    <row r="69" spans="1:35" s="1772" customFormat="1" ht="16.5" customHeight="1">
      <c r="A69" s="1811"/>
      <c r="B69" s="1812"/>
      <c r="C69" s="1813"/>
      <c r="D69" s="1814"/>
      <c r="E69" s="1815"/>
      <c r="F69" s="1578"/>
      <c r="G69" s="1578"/>
      <c r="H69" s="1577"/>
      <c r="I69" s="1747"/>
      <c r="J69" s="3575"/>
      <c r="K69" s="3453" t="s">
        <v>1388</v>
      </c>
      <c r="L69" s="3453"/>
      <c r="M69" s="302">
        <f ca="1">ROUND(SUM(M63:M68),0)</f>
        <v>539</v>
      </c>
      <c r="N69" s="2545">
        <f ca="1">M69/M49</f>
        <v>1.6300731869594146E-2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1389</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1370</v>
      </c>
      <c r="B71" s="3612"/>
      <c r="C71" s="3462"/>
      <c r="D71" s="3462" t="s">
        <v>1371</v>
      </c>
      <c r="E71" s="179" t="s">
        <v>1372</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1390</v>
      </c>
      <c r="C72" s="2568">
        <f ca="1">ROUND(D45/(1+'数据-取费表'!C42),0)</f>
        <v>31491</v>
      </c>
      <c r="D72" s="170" t="s">
        <v>26</v>
      </c>
      <c r="E72" s="3464"/>
      <c r="F72" s="3463"/>
      <c r="G72" s="3463"/>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1391</v>
      </c>
      <c r="C73" s="2568">
        <f ca="1">C74+C78</f>
        <v>189</v>
      </c>
      <c r="D73" s="170" t="s">
        <v>26</v>
      </c>
      <c r="E73" s="3464"/>
      <c r="F73" s="3463"/>
      <c r="G73" s="346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1392</v>
      </c>
      <c r="C74" s="170">
        <f>ROUND(IF(G77="2016年5月1日后购买",C75/(1+'数据-取费表'!C42)+C76+C77,C75+C76+C77),0)</f>
        <v>0</v>
      </c>
      <c r="D74" s="170" t="s">
        <v>26</v>
      </c>
      <c r="E74" s="3464"/>
      <c r="F74" s="3463"/>
      <c r="G74" s="346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1393</v>
      </c>
      <c r="C75" s="2571"/>
      <c r="D75" s="170" t="s">
        <v>26</v>
      </c>
      <c r="E75" s="184" t="s">
        <v>1394</v>
      </c>
      <c r="F75" s="2572"/>
      <c r="G75" s="184" t="s">
        <v>1395</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1396</v>
      </c>
      <c r="C76" s="170">
        <f>IF(F75="购房发票",ROUND(C75*H75*D76,0),0)</f>
        <v>0</v>
      </c>
      <c r="D76" s="2574">
        <v>0.05</v>
      </c>
      <c r="E76" s="3616" t="s">
        <v>1397</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1398</v>
      </c>
      <c r="C77" s="170">
        <f>ROUND(IF(G77="个人住宅",0,IF(G77="2016年5月1日前购买",C75*D77,C75*D77/(1+'数据-取费表'!C42))),0)</f>
        <v>0</v>
      </c>
      <c r="D77" s="2575">
        <f>'数据-取费表'!B48+'数据-取费表'!B49</f>
        <v>3.0499999999999999E-2</v>
      </c>
      <c r="E77" s="3452" t="s">
        <v>1399</v>
      </c>
      <c r="F77" s="186"/>
      <c r="G77" s="1822"/>
      <c r="H77" s="346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1400</v>
      </c>
      <c r="C78" s="2576">
        <f ca="1">ROUND(D45*D78/(1+'数据-取费表'!C42),0)</f>
        <v>189</v>
      </c>
      <c r="D78" s="2577">
        <f>'数据-取费表'!B43</f>
        <v>6.000000000000001E-3</v>
      </c>
      <c r="E78" s="3608" t="s">
        <v>1401</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1402</v>
      </c>
      <c r="C79" s="2568">
        <f ca="1">C72-C73</f>
        <v>31302</v>
      </c>
      <c r="D79" s="170" t="s">
        <v>26</v>
      </c>
      <c r="E79" s="3464"/>
      <c r="F79" s="3463"/>
      <c r="G79" s="346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1403</v>
      </c>
      <c r="C80" s="2578">
        <f ca="1">IF(C79&lt;=0,0,C79/C73)</f>
        <v>165.61904761904762</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3"/>
      <c r="G80" s="346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1404</v>
      </c>
      <c r="C81" s="2579">
        <f ca="1">ROUND(IF(C79&lt;=0,0,IF(C80&gt;=200%,C79*60%-C73*35%,IF(C80&gt;=100%,C79*50%-C73*15%,IF(C80&gt;=50%,C79*40%-C73*5%,IF(C80&lt;50%,C79*30%,0))))),0)</f>
        <v>18715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1405</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1370</v>
      </c>
      <c r="B84" s="3612"/>
      <c r="C84" s="3462"/>
      <c r="D84" s="3462" t="s">
        <v>1371</v>
      </c>
      <c r="E84" s="179" t="s">
        <v>1372</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1390</v>
      </c>
      <c r="C85" s="2568">
        <f ca="1">ROUND(D45/(1+'数据-取费表'!C42),0)</f>
        <v>31491</v>
      </c>
      <c r="D85" s="170" t="s">
        <v>26</v>
      </c>
      <c r="E85" s="3464"/>
      <c r="F85" s="3463"/>
      <c r="G85" s="346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1391</v>
      </c>
      <c r="C86" s="2568">
        <f ca="1">IF(H88="仅含出让金",C87+C90+C91+C92+C93+C94,C87+C91+C92+C93+C94)</f>
        <v>189</v>
      </c>
      <c r="D86" s="2581"/>
      <c r="E86" s="3464"/>
      <c r="F86" s="3463"/>
      <c r="G86" s="346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1406</v>
      </c>
      <c r="C87" s="2576">
        <f>C88+C89</f>
        <v>0</v>
      </c>
      <c r="D87" s="2577"/>
      <c r="E87" s="3459"/>
      <c r="F87" s="3460"/>
      <c r="G87" s="3460"/>
      <c r="H87" s="346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1407</v>
      </c>
      <c r="C88" s="2582"/>
      <c r="D88" s="2577"/>
      <c r="E88" s="193" t="s">
        <v>1408</v>
      </c>
      <c r="F88" s="3460"/>
      <c r="G88" s="194" t="s">
        <v>1409</v>
      </c>
      <c r="H88" s="1824"/>
      <c r="I88" s="1821"/>
      <c r="J88" s="2521"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1398</v>
      </c>
      <c r="C89" s="2576">
        <f>ROUND(C88*D89,0)</f>
        <v>0</v>
      </c>
      <c r="D89" s="2577">
        <f>'数据-取费表'!B48+'数据-取费表'!B49</f>
        <v>3.0499999999999999E-2</v>
      </c>
      <c r="E89" s="193" t="s">
        <v>1410</v>
      </c>
      <c r="F89" s="3460"/>
      <c r="G89" s="3460"/>
      <c r="H89" s="346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1411</v>
      </c>
      <c r="C90" s="2582"/>
      <c r="D90" s="2577"/>
      <c r="E90" s="193" t="str">
        <f>IF(H88="-","土地取得成本中已包含该笔费用"," ")</f>
        <v xml:space="preserve"> </v>
      </c>
      <c r="F90" s="3460"/>
      <c r="G90" s="3577" t="s">
        <v>2124</v>
      </c>
      <c r="H90" s="3578"/>
      <c r="I90" s="1821"/>
      <c r="J90" s="2521"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1412</v>
      </c>
      <c r="B91" s="170" t="s">
        <v>1413</v>
      </c>
      <c r="C91" s="2576">
        <f>IF(H91="——",成本法!C33,I91)</f>
        <v>0</v>
      </c>
      <c r="D91" s="2577"/>
      <c r="E91" s="3608" t="s">
        <v>1414</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1415</v>
      </c>
      <c r="B92" s="170" t="s">
        <v>1416</v>
      </c>
      <c r="C92" s="2576">
        <f>ROUND((C87+C90+C91)*D92,0)</f>
        <v>0</v>
      </c>
      <c r="D92" s="2583"/>
      <c r="E92" s="3608" t="s">
        <v>1417</v>
      </c>
      <c r="F92" s="3609"/>
      <c r="G92" s="3609"/>
      <c r="H92" s="3610"/>
      <c r="I92" s="1821"/>
      <c r="J92" s="2522"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1418</v>
      </c>
      <c r="B93" s="170" t="s">
        <v>1400</v>
      </c>
      <c r="C93" s="2576">
        <f ca="1">ROUND(D45*D93/(1+'数据-取费表'!C42),0)</f>
        <v>189</v>
      </c>
      <c r="D93" s="2577">
        <f>'数据-取费表'!B43</f>
        <v>6.000000000000001E-3</v>
      </c>
      <c r="E93" s="3608" t="s">
        <v>1401</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1419</v>
      </c>
      <c r="B94" s="170" t="s">
        <v>1420</v>
      </c>
      <c r="C94" s="2582">
        <f>ROUND((C87+C90+C91)*D94,0)</f>
        <v>0</v>
      </c>
      <c r="D94" s="2577">
        <v>0.2</v>
      </c>
      <c r="E94" s="3653" t="s">
        <v>1421</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1402</v>
      </c>
      <c r="C95" s="2568">
        <f ca="1">ROUND(C85-C86,0)</f>
        <v>31302</v>
      </c>
      <c r="D95" s="170" t="s">
        <v>26</v>
      </c>
      <c r="E95" s="3464"/>
      <c r="F95" s="3463"/>
      <c r="G95" s="346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1403</v>
      </c>
      <c r="C96" s="2578">
        <f ca="1">IF(C95&lt;=0,0,C95/C86)</f>
        <v>165.61904761904762</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3"/>
      <c r="G96" s="346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1404</v>
      </c>
      <c r="C97" s="2579">
        <f ca="1">ROUND(IF(C95&lt;=0,0,IF(C96&gt;=200%,C95*60%-C86*35%,IF(C96&gt;=100%,C95*50%-C86*15%,IF(C96&gt;=50%,C95*40%-C86*5%,IF(C96&lt;50%,C95*30%,0))))),0)</f>
        <v>18715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1422</v>
      </c>
      <c r="B99" s="1747"/>
      <c r="C99" s="1747"/>
      <c r="D99" s="1747"/>
      <c r="E99" s="1578"/>
      <c r="F99" s="1578"/>
      <c r="G99" s="1578"/>
      <c r="H99" s="1577"/>
      <c r="I99" s="129"/>
    </row>
    <row r="100" spans="1:35" ht="18.75" customHeight="1">
      <c r="A100" s="3558" t="s">
        <v>1423</v>
      </c>
      <c r="B100" s="3559"/>
      <c r="C100" s="3559"/>
      <c r="D100" s="3593"/>
      <c r="E100" s="3559" t="s">
        <v>1424</v>
      </c>
      <c r="F100" s="3559"/>
      <c r="G100" s="3559"/>
      <c r="H100" s="3593"/>
      <c r="I100" s="129"/>
    </row>
    <row r="101" spans="1:35" ht="18.75" customHeight="1">
      <c r="A101" s="3601" t="s">
        <v>1425</v>
      </c>
      <c r="B101" s="3602"/>
      <c r="C101" s="2585" t="str">
        <f>C4</f>
        <v>比较法-商业</v>
      </c>
      <c r="D101" s="2586" t="str">
        <f>D4</f>
        <v>收益法(商业)</v>
      </c>
      <c r="E101" s="3571" t="s">
        <v>1426</v>
      </c>
      <c r="F101" s="3572"/>
      <c r="G101" s="1827" t="s">
        <v>1427</v>
      </c>
      <c r="H101" s="2595">
        <f ca="1">H118</f>
        <v>33066</v>
      </c>
      <c r="I101" s="129"/>
    </row>
    <row r="102" spans="1:35" ht="18.75" customHeight="1">
      <c r="A102" s="3603" t="s">
        <v>1428</v>
      </c>
      <c r="B102" s="2584" t="s">
        <v>1427</v>
      </c>
      <c r="C102" s="2585">
        <f ca="1">IF(D32="楼面单价",ROUND(C19,0),C19)</f>
        <v>34265</v>
      </c>
      <c r="D102" s="2586">
        <f ca="1">IF(D32="楼面单价",ROUND(D19,0),D19)</f>
        <v>31866</v>
      </c>
      <c r="E102" s="3571"/>
      <c r="F102" s="3572"/>
      <c r="G102" s="1827" t="s">
        <v>1429</v>
      </c>
      <c r="H102" s="2555">
        <f ca="1">I118</f>
        <v>65621</v>
      </c>
      <c r="I102" s="129"/>
    </row>
    <row r="103" spans="1:35" ht="42.75" customHeight="1">
      <c r="A103" s="3603"/>
      <c r="B103" s="2584" t="s">
        <v>1429</v>
      </c>
      <c r="C103" s="2587">
        <f ca="1">C20</f>
        <v>68000</v>
      </c>
      <c r="D103" s="2588">
        <f ca="1">D20</f>
        <v>63240</v>
      </c>
      <c r="E103" s="3564" t="s">
        <v>1430</v>
      </c>
      <c r="F103" s="3565"/>
      <c r="G103" s="1828" t="s">
        <v>1431</v>
      </c>
      <c r="H103" s="2595">
        <f>IF(D36="正常操作",H104+H105+H106,H105+H106)</f>
        <v>0</v>
      </c>
      <c r="I103" s="129"/>
    </row>
    <row r="104" spans="1:35" ht="18.75" customHeight="1">
      <c r="A104" s="3603" t="s">
        <v>1432</v>
      </c>
      <c r="B104" s="2589" t="s">
        <v>1427</v>
      </c>
      <c r="C104" s="2590">
        <f ca="1">H118</f>
        <v>33066</v>
      </c>
      <c r="D104" s="2591"/>
      <c r="E104" s="1674" t="s">
        <v>1433</v>
      </c>
      <c r="F104" s="1666"/>
      <c r="G104" s="1828" t="s">
        <v>1431</v>
      </c>
      <c r="H104" s="2596">
        <f>IF(D36="同一抵押权人同一抵押物续贷",C36&amp;"（续贷，未扣减，详见特别提示）",C36)</f>
        <v>0</v>
      </c>
      <c r="I104" s="129"/>
    </row>
    <row r="105" spans="1:35" ht="18.75" customHeight="1" thickBot="1">
      <c r="A105" s="3613"/>
      <c r="B105" s="2592" t="s">
        <v>1429</v>
      </c>
      <c r="C105" s="2593">
        <f ca="1">I118</f>
        <v>65621</v>
      </c>
      <c r="D105" s="2594"/>
      <c r="E105" s="1674" t="s">
        <v>1434</v>
      </c>
      <c r="F105" s="1666"/>
      <c r="G105" s="1828" t="s">
        <v>1431</v>
      </c>
      <c r="H105" s="2597">
        <f>C37</f>
        <v>0</v>
      </c>
      <c r="I105" s="129"/>
    </row>
    <row r="106" spans="1:35" ht="18.75" customHeight="1">
      <c r="A106" s="1747" t="s">
        <v>1435</v>
      </c>
      <c r="B106" s="1747"/>
      <c r="C106" s="1747"/>
      <c r="D106" s="1747"/>
      <c r="E106" s="1829" t="s">
        <v>1436</v>
      </c>
      <c r="F106" s="1666"/>
      <c r="G106" s="1828" t="s">
        <v>1431</v>
      </c>
      <c r="H106" s="2597">
        <f>C38</f>
        <v>0</v>
      </c>
      <c r="I106" s="129"/>
    </row>
    <row r="107" spans="1:35" ht="18.75" customHeight="1">
      <c r="A107" s="129"/>
      <c r="B107" s="129"/>
      <c r="C107" s="129"/>
      <c r="D107" s="129"/>
      <c r="E107" s="3604" t="str">
        <f>IF(项目基本情况!E8="已注销","——","3.房地产抵押价值")</f>
        <v>3.房地产抵押价值</v>
      </c>
      <c r="F107" s="3572"/>
      <c r="G107" s="1827" t="s">
        <v>1427</v>
      </c>
      <c r="H107" s="2595">
        <f ca="1">IF(E107="——","——",H101-H103)</f>
        <v>33066</v>
      </c>
      <c r="I107" s="129"/>
    </row>
    <row r="108" spans="1:35" ht="18.75" customHeight="1">
      <c r="A108" s="129"/>
      <c r="B108" s="129"/>
      <c r="C108" s="129"/>
      <c r="D108" s="129"/>
      <c r="E108" s="3604"/>
      <c r="F108" s="3572"/>
      <c r="G108" s="1827" t="s">
        <v>1429</v>
      </c>
      <c r="H108" s="2555">
        <f ca="1">IF(H107=H101,H102,ROUND(H107*10000/'数据-汇总表'!E3,0))</f>
        <v>65621</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1427</v>
      </c>
      <c r="H109" s="2598" t="str">
        <f>IF(E109="——","——",H101-H105-H106)</f>
        <v>——</v>
      </c>
      <c r="I109" s="129"/>
    </row>
    <row r="110" spans="1:35" ht="18.75" customHeight="1">
      <c r="A110" s="129"/>
      <c r="B110" s="129"/>
      <c r="C110" s="129"/>
      <c r="D110" s="129"/>
      <c r="E110" s="3604"/>
      <c r="F110" s="3572"/>
      <c r="G110" s="1827" t="s">
        <v>1429</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1427</v>
      </c>
      <c r="H111" s="2595" t="str">
        <f>IF(E111="——","——",N59)</f>
        <v>——</v>
      </c>
      <c r="I111" s="129"/>
    </row>
    <row r="112" spans="1:35" ht="18.75" customHeight="1" thickBot="1">
      <c r="A112" s="129"/>
      <c r="B112" s="129"/>
      <c r="C112" s="129"/>
      <c r="D112" s="129"/>
      <c r="E112" s="3606"/>
      <c r="F112" s="3607"/>
      <c r="G112" s="1830" t="s">
        <v>1429</v>
      </c>
      <c r="H112" s="2599" t="str">
        <f>IF(E111="——","——",N61)</f>
        <v>——</v>
      </c>
      <c r="I112" s="129"/>
    </row>
    <row r="113" spans="1:27" ht="18.75" customHeight="1">
      <c r="A113" s="129"/>
      <c r="B113" s="129"/>
      <c r="C113" s="129"/>
      <c r="D113" s="129"/>
      <c r="E113" s="3614" t="s">
        <v>1435</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1437</v>
      </c>
      <c r="B115" s="3623"/>
      <c r="C115" s="3623"/>
      <c r="D115" s="3623"/>
      <c r="E115" s="3623"/>
      <c r="F115" s="3623"/>
      <c r="G115" s="3623"/>
      <c r="H115" s="3623"/>
      <c r="I115" s="3624"/>
    </row>
    <row r="116" spans="1:27" ht="27" customHeight="1">
      <c r="A116" s="3579" t="s">
        <v>1438</v>
      </c>
      <c r="B116" s="3583" t="s">
        <v>1439</v>
      </c>
      <c r="C116" s="3583" t="s">
        <v>1440</v>
      </c>
      <c r="D116" s="3589" t="s">
        <v>1441</v>
      </c>
      <c r="E116" s="3590"/>
      <c r="F116" s="3621" t="s">
        <v>1442</v>
      </c>
      <c r="G116" s="3621"/>
      <c r="H116" s="3579" t="s">
        <v>1443</v>
      </c>
      <c r="I116" s="3579"/>
    </row>
    <row r="117" spans="1:27" ht="18.75" customHeight="1">
      <c r="A117" s="3579"/>
      <c r="B117" s="3584"/>
      <c r="C117" s="3584"/>
      <c r="D117" s="3455" t="s">
        <v>1444</v>
      </c>
      <c r="E117" s="3455" t="s">
        <v>1445</v>
      </c>
      <c r="F117" s="3455" t="s">
        <v>1444</v>
      </c>
      <c r="G117" s="3455" t="s">
        <v>1446</v>
      </c>
      <c r="H117" s="3455" t="s">
        <v>1444</v>
      </c>
      <c r="I117" s="3455" t="s">
        <v>1446</v>
      </c>
    </row>
    <row r="118" spans="1:27" ht="24.75" customHeight="1">
      <c r="A118" s="2600" t="str">
        <f>项目基本情况!S2</f>
        <v>北京市房地产</v>
      </c>
      <c r="B118" s="3455">
        <f>M18</f>
        <v>5038.8999999999996</v>
      </c>
      <c r="C118" s="3455">
        <f>M19</f>
        <v>720.88</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f ca="1">ROUND(IF(D32="总价",C32,I118*B118/10000),0)</f>
        <v>33066</v>
      </c>
      <c r="I118" s="3455">
        <f ca="1">ROUND(IF(D32="楼面单价",C32,H118*10000/B118),0)</f>
        <v>65621</v>
      </c>
    </row>
    <row r="119" spans="1:27" ht="18.75" customHeight="1">
      <c r="A119" s="3579" t="s">
        <v>1447</v>
      </c>
      <c r="B119" s="3579"/>
      <c r="C119" s="3579"/>
      <c r="D119" s="3585" t="e">
        <f ca="1">NUMBERSTRING(INT(D118*10000),2)&amp;"元整"</f>
        <v>#REF!</v>
      </c>
      <c r="E119" s="3586"/>
      <c r="F119" s="3585" t="e">
        <f ca="1">NUMBERSTRING(INT(F118*10000),2)&amp;"元整"</f>
        <v>#REF!</v>
      </c>
      <c r="G119" s="3586"/>
      <c r="H119" s="3585" t="str">
        <f ca="1">NUMBERSTRING(INT(H118*10000),2)&amp;"元整"</f>
        <v>叁亿叁仟零陆拾陆万元整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1447</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33066</v>
      </c>
      <c r="E122" s="3581"/>
      <c r="F122" s="3581"/>
      <c r="G122" s="3581"/>
      <c r="H122" s="3581"/>
      <c r="I122" s="3582"/>
      <c r="AA122" s="725"/>
    </row>
    <row r="123" spans="1:27" ht="18.75" customHeight="1">
      <c r="A123" s="3579" t="s">
        <v>1447</v>
      </c>
      <c r="B123" s="3579"/>
      <c r="C123" s="3579"/>
      <c r="D123" s="3585" t="str">
        <f ca="1">NUMBERSTRING(INT(D122*10000),2)&amp;"元整"</f>
        <v>叁亿叁仟零陆拾陆万元整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1447</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1447</v>
      </c>
      <c r="B127" s="3579"/>
      <c r="C127" s="3579"/>
      <c r="D127" s="3585" t="e">
        <f>NUMBERSTRING(INT(D126*10000),2)&amp;"元整"</f>
        <v>#VALUE!</v>
      </c>
      <c r="E127" s="3587"/>
      <c r="F127" s="3587"/>
      <c r="G127" s="3587"/>
      <c r="H127" s="3587"/>
      <c r="I127" s="3586"/>
      <c r="AA127" s="725"/>
    </row>
    <row r="128" spans="1:27" ht="21.75" customHeight="1">
      <c r="A128" s="3588" t="s">
        <v>1448</v>
      </c>
      <c r="B128" s="3588"/>
      <c r="C128" s="3588"/>
      <c r="D128" s="3588"/>
      <c r="E128" s="3588"/>
      <c r="F128" s="3588"/>
      <c r="G128" s="3588"/>
      <c r="H128" s="3588"/>
      <c r="I128" s="3588"/>
      <c r="AA128" s="725"/>
    </row>
    <row r="129" spans="1:35" ht="21.75" customHeight="1">
      <c r="A129" s="1831" t="s">
        <v>1449</v>
      </c>
      <c r="B129" s="1832"/>
      <c r="C129" s="1833" t="s">
        <v>1450</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1451</v>
      </c>
      <c r="G135" s="1848"/>
      <c r="H135" s="1848"/>
      <c r="I135" s="1849" t="s">
        <v>1452</v>
      </c>
    </row>
    <row r="136" spans="1:35" ht="21.75" customHeight="1">
      <c r="A136" s="725"/>
      <c r="B136" s="1850"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1454</v>
      </c>
    </row>
    <row r="139" spans="1:35" ht="21.75" customHeight="1">
      <c r="A139" s="725"/>
      <c r="B139" s="1850" t="s">
        <v>1455</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1454</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1761</v>
      </c>
      <c r="C1" s="1238" t="s">
        <v>1657</v>
      </c>
      <c r="D1" s="1225" t="s">
        <v>3499</v>
      </c>
      <c r="E1" s="3424" t="s">
        <v>3512</v>
      </c>
      <c r="F1" s="1879" t="s">
        <v>3513</v>
      </c>
      <c r="G1" s="1235" t="s">
        <v>1762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1457</v>
      </c>
      <c r="B2" s="1164">
        <f>IF(E1="项目模式",IF(C2="——",ROUND(C49*D3/10000,0),ROUND(C49*D3/10000,0)-D2),IF(E1="单套模式",IF(C2="——",ROUND(C49*D3/10000,4),ROUND(C49*D3/10000,4)-D2)))</f>
        <v>34265</v>
      </c>
      <c r="C2" s="1881" t="s">
        <v>43</v>
      </c>
      <c r="D2" s="1115" t="e">
        <f ca="1">IF(E1="项目模式",SUMIF(INDIRECT("'"&amp;F2&amp;"'"&amp;"!A:A"),"承租人权益价值",INDIRECT("'"&amp;F2&amp;"'"&amp;"!c:c")),SUMIF(INDIRECT("'"&amp;F2&amp;"'"&amp;"!A:A"),"承租人权益价值（单套）",INDIRECT("'"&amp;F2&amp;"'"&amp;"!c:c")))</f>
        <v>#REF!</v>
      </c>
      <c r="E2" s="1882" t="s">
        <v>1458</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1459</v>
      </c>
      <c r="B3" s="558">
        <f>IF(C2="——",C49,ROUND(B2*10000/D3,0))</f>
        <v>68000</v>
      </c>
      <c r="C3" s="354" t="s">
        <v>1763</v>
      </c>
      <c r="D3" s="353">
        <f>IF(D1="",'数据-汇总表'!E3,SUMIF('数据-汇总表'!$C19:$C33,D1,'数据-汇总表'!$E19:$E33))</f>
        <v>5038.8999999999996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1764</v>
      </c>
      <c r="B4" s="356"/>
      <c r="C4" s="3679" t="s">
        <v>1765</v>
      </c>
      <c r="D4" s="3680"/>
      <c r="E4" s="3681" t="s">
        <v>1766</v>
      </c>
      <c r="F4" s="3682"/>
      <c r="G4" s="3679" t="s">
        <v>1767</v>
      </c>
      <c r="H4" s="3680"/>
      <c r="I4" s="3679" t="s">
        <v>1768</v>
      </c>
      <c r="J4" s="3680"/>
      <c r="K4" s="559" t="s">
        <v>1769</v>
      </c>
      <c r="L4" s="2715"/>
      <c r="M4" s="2716"/>
      <c r="N4" s="2716"/>
      <c r="O4" s="2716"/>
      <c r="P4" s="3717" t="s">
        <v>1770</v>
      </c>
      <c r="Q4" s="3718"/>
      <c r="R4" s="3715" t="s">
        <v>1766</v>
      </c>
      <c r="S4" s="3716"/>
      <c r="T4" s="3715" t="s">
        <v>1767</v>
      </c>
      <c r="U4" s="3716"/>
      <c r="V4" s="3692" t="s">
        <v>1768</v>
      </c>
      <c r="W4" s="3692"/>
      <c r="X4" s="1355"/>
      <c r="Y4" s="3715" t="s">
        <v>1770</v>
      </c>
      <c r="Z4" s="3716"/>
      <c r="AA4" s="3714" t="s">
        <v>1766</v>
      </c>
      <c r="AB4" s="3692" t="s">
        <v>1767</v>
      </c>
      <c r="AC4" s="3714" t="s">
        <v>1768</v>
      </c>
    </row>
    <row r="5" spans="1:29" ht="15">
      <c r="A5" s="358"/>
      <c r="B5" s="359"/>
      <c r="C5" s="3669" t="s">
        <v>1668</v>
      </c>
      <c r="D5" s="3670"/>
      <c r="E5" s="3667" t="s">
        <v>1669</v>
      </c>
      <c r="F5" s="3668"/>
      <c r="G5" s="3669" t="s">
        <v>1670</v>
      </c>
      <c r="H5" s="3670"/>
      <c r="I5" s="3669" t="s">
        <v>1671</v>
      </c>
      <c r="J5" s="3670"/>
      <c r="K5" s="559"/>
      <c r="L5" s="2715"/>
      <c r="M5" s="2716"/>
      <c r="N5" s="2716"/>
      <c r="O5" s="2716"/>
      <c r="P5" s="3719"/>
      <c r="Q5" s="3686"/>
      <c r="R5" s="3665"/>
      <c r="S5" s="3666"/>
      <c r="T5" s="3665"/>
      <c r="U5" s="3666"/>
      <c r="V5" s="3692"/>
      <c r="W5" s="3692"/>
      <c r="X5" s="1355"/>
      <c r="Y5" s="3665"/>
      <c r="Z5" s="3666"/>
      <c r="AA5" s="3659"/>
      <c r="AB5" s="3692"/>
      <c r="AC5" s="3659"/>
    </row>
    <row r="6" spans="1:29" ht="15.75" thickBot="1">
      <c r="A6" s="360"/>
      <c r="B6" s="361"/>
      <c r="C6" s="3671" t="s">
        <v>1672</v>
      </c>
      <c r="D6" s="3672"/>
      <c r="E6" s="3673" t="s">
        <v>1672</v>
      </c>
      <c r="F6" s="3674"/>
      <c r="G6" s="3671" t="s">
        <v>1672</v>
      </c>
      <c r="H6" s="3672"/>
      <c r="I6" s="3671" t="s">
        <v>1672</v>
      </c>
      <c r="J6" s="3672"/>
      <c r="K6" s="559" t="s">
        <v>1673</v>
      </c>
      <c r="L6" s="2715"/>
      <c r="M6" s="2716"/>
      <c r="N6" s="2716"/>
      <c r="O6" s="2716"/>
      <c r="P6" s="3720"/>
      <c r="Q6" s="3688"/>
      <c r="R6" s="3665"/>
      <c r="S6" s="3666"/>
      <c r="T6" s="3689"/>
      <c r="U6" s="3690"/>
      <c r="V6" s="3692"/>
      <c r="W6" s="3692"/>
      <c r="X6" s="1355"/>
      <c r="Y6" s="3689"/>
      <c r="Z6" s="3690"/>
      <c r="AA6" s="3660"/>
      <c r="AB6" s="3692"/>
      <c r="AC6" s="3660"/>
    </row>
    <row r="7" spans="1:29" s="108" customFormat="1" ht="15.75" thickBot="1">
      <c r="A7" s="362" t="s">
        <v>1674</v>
      </c>
      <c r="B7" s="363"/>
      <c r="C7" s="364">
        <f>'数据-取费表'!B2</f>
        <v>45142</v>
      </c>
      <c r="D7" s="365">
        <v>100</v>
      </c>
      <c r="E7" s="366">
        <f>C7</f>
        <v>45142</v>
      </c>
      <c r="F7" s="367">
        <f>SUMIF(58:58,YEAR(E7)&amp;"-"&amp;MONTH(E7),59:59)</f>
        <v>100</v>
      </c>
      <c r="G7" s="366">
        <f>C7</f>
        <v>45142</v>
      </c>
      <c r="H7" s="365">
        <f>SUMIF(58:58,YEAR(G7)&amp;"-"&amp;MONTH(G7),59:59)</f>
        <v>100</v>
      </c>
      <c r="I7" s="366">
        <f>C7</f>
        <v>45142</v>
      </c>
      <c r="J7" s="365">
        <f>SUMIF(58:58,YEAR(I7)&amp;"-"&amp;MONTH(I7),59:59)</f>
        <v>100</v>
      </c>
      <c r="K7" s="560"/>
      <c r="L7" s="2717"/>
      <c r="M7" s="2718"/>
      <c r="N7" s="2718"/>
      <c r="O7" s="2718"/>
      <c r="P7" s="3661" t="s">
        <v>1675</v>
      </c>
      <c r="Q7" s="3694"/>
      <c r="R7" s="701" t="s">
        <v>14</v>
      </c>
      <c r="S7" s="702">
        <f t="shared" ref="S7:S15" si="0">F7</f>
        <v>100</v>
      </c>
      <c r="T7" s="701" t="s">
        <v>14</v>
      </c>
      <c r="U7" s="702">
        <f t="shared" ref="U7:U15" si="1">H7</f>
        <v>100</v>
      </c>
      <c r="V7" s="701" t="s">
        <v>14</v>
      </c>
      <c r="W7" s="702">
        <f t="shared" ref="W7:W15" si="2">J7</f>
        <v>100</v>
      </c>
      <c r="X7" s="703"/>
      <c r="Y7" s="3661" t="s">
        <v>1675</v>
      </c>
      <c r="Z7" s="3662"/>
      <c r="AA7" s="704">
        <f>D7/F7</f>
        <v>1</v>
      </c>
      <c r="AB7" s="704">
        <f>D7/H7</f>
        <v>1</v>
      </c>
      <c r="AC7" s="704">
        <f>D7/J7</f>
        <v>1</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1" t="s">
        <v>1678</v>
      </c>
      <c r="Q8" s="3662"/>
      <c r="R8" s="701" t="s">
        <v>14</v>
      </c>
      <c r="S8" s="702">
        <f t="shared" si="0"/>
        <v>100</v>
      </c>
      <c r="T8" s="701" t="s">
        <v>14</v>
      </c>
      <c r="U8" s="702">
        <f t="shared" si="1"/>
        <v>100</v>
      </c>
      <c r="V8" s="701" t="s">
        <v>14</v>
      </c>
      <c r="W8" s="702">
        <f t="shared" si="2"/>
        <v>100</v>
      </c>
      <c r="X8" s="703"/>
      <c r="Y8" s="3661" t="s">
        <v>1678</v>
      </c>
      <c r="Z8" s="366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704">
        <f t="shared" si="5"/>
        <v>1</v>
      </c>
    </row>
    <row r="10" spans="1:29" s="378" customFormat="1" ht="27">
      <c r="A10" s="374"/>
      <c r="B10" s="375" t="s">
        <v>1683</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71.25">
      <c r="A15" s="391" t="s">
        <v>1685</v>
      </c>
      <c r="B15" s="61" t="s">
        <v>1772</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1686</v>
      </c>
      <c r="Q15" s="1352" t="str">
        <f t="shared" si="6"/>
        <v>商业繁华度</v>
      </c>
      <c r="R15" s="705" t="s">
        <v>14</v>
      </c>
      <c r="S15" s="706">
        <f t="shared" si="0"/>
        <v>100</v>
      </c>
      <c r="T15" s="705" t="s">
        <v>14</v>
      </c>
      <c r="U15" s="706">
        <f t="shared" si="1"/>
        <v>100</v>
      </c>
      <c r="V15" s="705" t="s">
        <v>14</v>
      </c>
      <c r="W15" s="706">
        <f t="shared" si="2"/>
        <v>100</v>
      </c>
      <c r="X15" s="1355"/>
      <c r="Y15" s="3697"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98"/>
      <c r="Z16" s="1356"/>
      <c r="AA16" s="1353">
        <v>1</v>
      </c>
      <c r="AB16" s="1353">
        <v>1</v>
      </c>
      <c r="AC16" s="1353">
        <v>1</v>
      </c>
    </row>
    <row r="17" spans="1:29" ht="85.5">
      <c r="A17" s="379"/>
      <c r="B17" s="402" t="s">
        <v>1254</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1773</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1774</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98"/>
      <c r="Z22" s="1356"/>
      <c r="AA22" s="1353">
        <v>1</v>
      </c>
      <c r="AB22" s="1353">
        <v>1</v>
      </c>
      <c r="AC22" s="1353">
        <v>1</v>
      </c>
    </row>
    <row r="23" spans="1:29" ht="57">
      <c r="A23" s="379"/>
      <c r="B23" s="402" t="s">
        <v>1256</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1777</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1689</v>
      </c>
      <c r="B32" s="63" t="s">
        <v>1779</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1691</v>
      </c>
      <c r="Q32" s="1352" t="str">
        <f t="shared" si="11"/>
        <v>商业类型</v>
      </c>
      <c r="R32" s="705" t="s">
        <v>14</v>
      </c>
      <c r="S32" s="706">
        <f t="shared" si="12"/>
        <v>100</v>
      </c>
      <c r="T32" s="705" t="s">
        <v>14</v>
      </c>
      <c r="U32" s="706">
        <f t="shared" si="13"/>
        <v>100</v>
      </c>
      <c r="V32" s="705" t="s">
        <v>14</v>
      </c>
      <c r="W32" s="706">
        <f t="shared" si="14"/>
        <v>100</v>
      </c>
      <c r="X32" s="1355"/>
      <c r="Y32" s="3702"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0"/>
      <c r="Q33" s="707" t="str">
        <f t="shared" si="11"/>
        <v>项目建筑规模</v>
      </c>
      <c r="R33" s="708" t="s">
        <v>14</v>
      </c>
      <c r="S33" s="709">
        <f t="shared" si="12"/>
        <v>100</v>
      </c>
      <c r="T33" s="708" t="s">
        <v>14</v>
      </c>
      <c r="U33" s="709">
        <f t="shared" si="13"/>
        <v>100</v>
      </c>
      <c r="V33" s="708" t="s">
        <v>14</v>
      </c>
      <c r="W33" s="709">
        <f t="shared" si="14"/>
        <v>100</v>
      </c>
      <c r="X33" s="710"/>
      <c r="Y33" s="3702"/>
      <c r="Z33" s="711" t="str">
        <f t="shared" si="15"/>
        <v>项目建筑规模</v>
      </c>
      <c r="AA33" s="1353">
        <f t="shared" si="3"/>
        <v>1</v>
      </c>
      <c r="AB33" s="1353">
        <f t="shared" si="4"/>
        <v>1</v>
      </c>
      <c r="AC33" s="1353">
        <f t="shared" si="5"/>
        <v>1</v>
      </c>
    </row>
    <row r="34" spans="1:29" ht="15">
      <c r="A34" s="423"/>
      <c r="B34" s="375" t="s">
        <v>1693</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1780</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1781</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700"/>
      <c r="Q36" s="1352" t="str">
        <f t="shared" si="11"/>
        <v>成新度</v>
      </c>
      <c r="R36" s="705" t="s">
        <v>14</v>
      </c>
      <c r="S36" s="706">
        <f t="shared" si="12"/>
        <v>100</v>
      </c>
      <c r="T36" s="705" t="s">
        <v>14</v>
      </c>
      <c r="U36" s="706">
        <f t="shared" si="13"/>
        <v>100</v>
      </c>
      <c r="V36" s="705" t="s">
        <v>14</v>
      </c>
      <c r="W36" s="706">
        <f t="shared" si="14"/>
        <v>100</v>
      </c>
      <c r="X36" s="1355"/>
      <c r="Y36" s="3702"/>
      <c r="Z36" s="1356" t="str">
        <f t="shared" si="15"/>
        <v>成新度</v>
      </c>
      <c r="AA36" s="1353">
        <f t="shared" si="3"/>
        <v>1</v>
      </c>
      <c r="AB36" s="1353">
        <f t="shared" si="4"/>
        <v>1</v>
      </c>
      <c r="AC36" s="1353">
        <f t="shared" si="5"/>
        <v>1</v>
      </c>
    </row>
    <row r="37" spans="1:29" s="108" customFormat="1" ht="15">
      <c r="A37" s="424"/>
      <c r="B37" s="375" t="s">
        <v>1782</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1783</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1691</v>
      </c>
      <c r="Q38" s="1352" t="str">
        <f t="shared" si="11"/>
        <v>业态</v>
      </c>
      <c r="R38" s="705" t="s">
        <v>14</v>
      </c>
      <c r="S38" s="706">
        <f t="shared" si="12"/>
        <v>100</v>
      </c>
      <c r="T38" s="705" t="s">
        <v>14</v>
      </c>
      <c r="U38" s="706">
        <f t="shared" si="13"/>
        <v>100</v>
      </c>
      <c r="V38" s="705" t="s">
        <v>14</v>
      </c>
      <c r="W38" s="706">
        <f t="shared" si="14"/>
        <v>100</v>
      </c>
      <c r="X38" s="1355"/>
      <c r="Y38" s="3702" t="s">
        <v>1691</v>
      </c>
      <c r="Z38" s="1356" t="str">
        <f t="shared" si="15"/>
        <v>业态</v>
      </c>
      <c r="AA38" s="1353">
        <f t="shared" si="3"/>
        <v>1</v>
      </c>
      <c r="AB38" s="1353">
        <f t="shared" si="4"/>
        <v>1</v>
      </c>
      <c r="AC38" s="1353">
        <f t="shared" si="5"/>
        <v>1</v>
      </c>
    </row>
    <row r="39" spans="1:29" ht="15">
      <c r="A39" s="423"/>
      <c r="B39" s="375" t="s">
        <v>1784</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1787</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1703</v>
      </c>
      <c r="B47" s="431"/>
      <c r="C47" s="1154" t="s">
        <v>0</v>
      </c>
      <c r="D47" s="1155"/>
      <c r="E47" s="1156">
        <v>68000</v>
      </c>
      <c r="F47" s="1157"/>
      <c r="G47" s="1158">
        <f>E47</f>
        <v>68000</v>
      </c>
      <c r="H47" s="1159"/>
      <c r="I47" s="1156">
        <f>E47</f>
        <v>68000</v>
      </c>
      <c r="J47" s="1159"/>
      <c r="K47" s="714"/>
      <c r="L47" s="2724"/>
      <c r="M47" s="2725"/>
      <c r="N47" s="2716"/>
      <c r="O47" s="2725"/>
      <c r="P47" s="3704" t="str">
        <f>A47</f>
        <v>成交单价（元/平方米）</v>
      </c>
      <c r="Q47" s="3704"/>
      <c r="R47" s="3692">
        <f>E47</f>
        <v>68000</v>
      </c>
      <c r="S47" s="3692"/>
      <c r="T47" s="3692">
        <f>G47</f>
        <v>68000</v>
      </c>
      <c r="U47" s="3692"/>
      <c r="V47" s="3692">
        <f>I47</f>
        <v>68000</v>
      </c>
      <c r="W47" s="3692"/>
      <c r="X47" s="690"/>
      <c r="Y47" s="712"/>
      <c r="Z47" s="690"/>
      <c r="AA47" s="690"/>
      <c r="AB47" s="690"/>
      <c r="AC47" s="690"/>
    </row>
    <row r="48" spans="1:29" ht="15.75" thickBot="1">
      <c r="A48" s="437" t="s">
        <v>1788</v>
      </c>
      <c r="B48" s="438"/>
      <c r="C48" s="1160">
        <f>R49</f>
        <v>68000</v>
      </c>
      <c r="D48" s="2317" t="s">
        <v>2133</v>
      </c>
      <c r="E48" s="1161">
        <f>R48</f>
        <v>68000</v>
      </c>
      <c r="F48" s="2318"/>
      <c r="G48" s="1160">
        <f>T48</f>
        <v>68000</v>
      </c>
      <c r="H48" s="2318"/>
      <c r="I48" s="1161">
        <f>V48</f>
        <v>68000</v>
      </c>
      <c r="J48" s="2318"/>
      <c r="K48" s="2320">
        <f>F48+H48+J48</f>
        <v>0</v>
      </c>
      <c r="L48" s="2724"/>
      <c r="M48" s="2725"/>
      <c r="N48" s="2716"/>
      <c r="O48" s="2725"/>
      <c r="P48" s="3704" t="str">
        <f>A48</f>
        <v>比较价值（元/平方米）</v>
      </c>
      <c r="Q48" s="3704"/>
      <c r="R48" s="3705">
        <f>IF(F1="售价",ROUND(PRODUCT(R47,AA7:AA46),0),ROUND(PRODUCT(R47,AA7:AA46),1))</f>
        <v>68000</v>
      </c>
      <c r="S48" s="3705"/>
      <c r="T48" s="3705">
        <f>IF(F1="售价",ROUND(PRODUCT(T47,AB7:AB46),0),ROUND(PRODUCT(T47,AB7:AB46),1))</f>
        <v>68000</v>
      </c>
      <c r="U48" s="3705"/>
      <c r="V48" s="3705">
        <f>IF(F1="售价",ROUND(PRODUCT(V47,AC7:AC46),0),ROUND(PRODUCT(V47,AC7:AC46),1))</f>
        <v>68000</v>
      </c>
      <c r="W48" s="3705"/>
      <c r="X48" s="690"/>
      <c r="Y48" s="690"/>
      <c r="Z48" s="690"/>
      <c r="AA48" s="690"/>
      <c r="AB48" s="690"/>
      <c r="AC48" s="690"/>
    </row>
    <row r="49" spans="1:29" ht="15.75" thickBot="1">
      <c r="A49" s="441" t="s">
        <v>1789</v>
      </c>
      <c r="B49" s="442"/>
      <c r="C49" s="1163">
        <f>R49</f>
        <v>68000</v>
      </c>
      <c r="D49" s="1163"/>
      <c r="E49" s="1163"/>
      <c r="F49" s="1163"/>
      <c r="G49" s="1163"/>
      <c r="H49" s="1163"/>
      <c r="I49" s="1163"/>
      <c r="J49" s="1163"/>
      <c r="K49" s="715"/>
      <c r="L49" s="2724"/>
      <c r="M49" s="2725"/>
      <c r="N49" s="2716"/>
      <c r="O49" s="2725"/>
      <c r="P49" s="3721" t="str">
        <f>A49</f>
        <v>估价对象XX用房的比较价值（楼面单价，元/平方米）</v>
      </c>
      <c r="Q49" s="3722"/>
      <c r="R49" s="3723">
        <f>IF(F1="售价",ROUND(IF(D48="简单平均",AVERAGE(R48:V48),R48*F48+T48*H48+V48*J48),0),ROUND(IF(D48="简单平均",AVERAGE(R48:V48),R48*F48+T48*H48+V48*J48),1))</f>
        <v>68000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1790</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1791</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1792</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1793</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1674</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1711</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1676</v>
      </c>
      <c r="B61" s="459"/>
      <c r="C61" s="471" t="s">
        <v>1771</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1714</v>
      </c>
      <c r="B63" s="477" t="s">
        <v>1680</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1683</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1685</v>
      </c>
      <c r="B76" s="477" t="s">
        <v>1715</v>
      </c>
      <c r="C76" s="522" t="s">
        <v>1716</v>
      </c>
      <c r="D76" s="522" t="s">
        <v>1717</v>
      </c>
      <c r="E76" s="522" t="s">
        <v>1718</v>
      </c>
      <c r="F76" s="522" t="s">
        <v>1719</v>
      </c>
      <c r="G76" s="522" t="s">
        <v>1720</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1721</v>
      </c>
      <c r="C78" s="527" t="s">
        <v>1716</v>
      </c>
      <c r="D78" s="527" t="s">
        <v>1717</v>
      </c>
      <c r="E78" s="527" t="s">
        <v>1718</v>
      </c>
      <c r="F78" s="527" t="s">
        <v>1719</v>
      </c>
      <c r="G78" s="527" t="s">
        <v>1720</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1722</v>
      </c>
      <c r="C80" s="527" t="s">
        <v>1716</v>
      </c>
      <c r="D80" s="527" t="s">
        <v>1717</v>
      </c>
      <c r="E80" s="527" t="s">
        <v>1718</v>
      </c>
      <c r="F80" s="527" t="s">
        <v>1719</v>
      </c>
      <c r="G80" s="527" t="s">
        <v>1720</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1774</v>
      </c>
      <c r="C82" s="608" t="s">
        <v>1794</v>
      </c>
      <c r="D82" s="608" t="s">
        <v>1795</v>
      </c>
      <c r="E82" s="608" t="s">
        <v>1796</v>
      </c>
      <c r="F82" s="608" t="s">
        <v>1797</v>
      </c>
      <c r="G82" s="608" t="s">
        <v>1798</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1728</v>
      </c>
      <c r="C84" s="527" t="s">
        <v>1716</v>
      </c>
      <c r="D84" s="527" t="s">
        <v>1717</v>
      </c>
      <c r="E84" s="527" t="s">
        <v>1718</v>
      </c>
      <c r="F84" s="527" t="s">
        <v>1719</v>
      </c>
      <c r="G84" s="527" t="s">
        <v>1720</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1799</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1689</v>
      </c>
      <c r="B100" s="477" t="s">
        <v>1800</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1732</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1733</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1735</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1737</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1801</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1802</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1803</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1804</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1739</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t="s">
        <v>3499</v>
      </c>
      <c r="D1" s="1362" t="s">
        <v>43</v>
      </c>
      <c r="E1" s="1363" t="s">
        <v>673</v>
      </c>
      <c r="F1" s="1062">
        <f ca="1">J53</f>
        <v>29.66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f ca="1">C40+J29+L46</f>
        <v>31866</v>
      </c>
      <c r="C2" s="1387" t="s">
        <v>800</v>
      </c>
      <c r="D2" s="1387"/>
      <c r="E2" s="1388"/>
      <c r="F2" s="1389"/>
      <c r="G2" s="2706"/>
      <c r="H2" s="2695"/>
      <c r="I2" s="2695"/>
      <c r="J2" s="2695"/>
      <c r="K2" s="2696"/>
      <c r="L2" s="2695"/>
      <c r="M2" s="2695"/>
    </row>
    <row r="3" spans="1:37" ht="18" customHeight="1" thickBot="1">
      <c r="A3" s="1390" t="s">
        <v>801</v>
      </c>
      <c r="B3" s="1391">
        <f ca="1">IF(ISERROR(B2*10000/F43),0,ROUND(B2*10000/F43,0))</f>
        <v>63240</v>
      </c>
      <c r="C3" s="1387" t="s">
        <v>802</v>
      </c>
      <c r="D3" s="1387"/>
      <c r="E3" s="1388"/>
      <c r="F3" s="1389"/>
      <c r="G3" s="2706"/>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2155</v>
      </c>
      <c r="D5" s="1364" t="s">
        <v>688</v>
      </c>
      <c r="E5" s="1071"/>
      <c r="F5" s="1072"/>
      <c r="G5" s="1384"/>
      <c r="H5" s="299">
        <v>1</v>
      </c>
      <c r="I5" s="300" t="s">
        <v>687</v>
      </c>
      <c r="J5" s="1070">
        <f ca="1">J6+J10+J12</f>
        <v>0</v>
      </c>
      <c r="K5" s="1364" t="s">
        <v>688</v>
      </c>
      <c r="L5" s="1071"/>
      <c r="M5" s="1072"/>
    </row>
    <row r="6" spans="1:37" ht="18" customHeight="1">
      <c r="A6" s="1069" t="s">
        <v>398</v>
      </c>
      <c r="B6" s="3711" t="s">
        <v>689</v>
      </c>
      <c r="C6" s="1074">
        <f ca="1">ROUND(F6*F8*F7*(1-F9)/10000,0)</f>
        <v>2152</v>
      </c>
      <c r="D6" s="155" t="s">
        <v>2104</v>
      </c>
      <c r="E6" s="302" t="s">
        <v>691</v>
      </c>
      <c r="F6" s="303">
        <f ca="1">INDIRECT("'数据-取费表'!u"&amp;$G$1)</f>
        <v>13</v>
      </c>
      <c r="G6" s="1384"/>
      <c r="H6" s="1069" t="s">
        <v>398</v>
      </c>
      <c r="I6" s="3711" t="s">
        <v>689</v>
      </c>
      <c r="J6" s="301">
        <f ca="1">ROUND(M6*M8*M7*(1-M9)/10000,0)</f>
        <v>0</v>
      </c>
      <c r="K6" s="155" t="s">
        <v>2103</v>
      </c>
      <c r="L6" s="302" t="s">
        <v>691</v>
      </c>
      <c r="M6" s="303">
        <f ca="1">INDIRECT("'数据-取费表'!z"&amp;$G$1)</f>
        <v>0</v>
      </c>
    </row>
    <row r="7" spans="1:37" ht="18" customHeight="1">
      <c r="A7" s="1073"/>
      <c r="B7" s="3712"/>
      <c r="C7" s="1075"/>
      <c r="D7" s="307"/>
      <c r="E7" s="3454" t="s">
        <v>692</v>
      </c>
      <c r="F7" s="303">
        <f ca="1">IF(INDIRECT("'数据-取费表'!ah"&amp;$G$1)="",INDIRECT("'数据-取费表'!k"&amp;$G$1),INDIRECT("'数据-取费表'!ah"&amp;$G$1))</f>
        <v>5038.8999999999996</v>
      </c>
      <c r="G7" s="1384"/>
      <c r="H7" s="304"/>
      <c r="I7" s="3712"/>
      <c r="J7" s="306"/>
      <c r="K7" s="307"/>
      <c r="L7" s="302" t="s">
        <v>692</v>
      </c>
      <c r="M7" s="303">
        <f ca="1">F7</f>
        <v>5038.8999999999996</v>
      </c>
    </row>
    <row r="8" spans="1:37" ht="18" customHeight="1">
      <c r="A8" s="304"/>
      <c r="B8" s="3712"/>
      <c r="C8" s="306"/>
      <c r="D8" s="307"/>
      <c r="E8" s="302" t="s">
        <v>693</v>
      </c>
      <c r="F8" s="303">
        <f ca="1">INDIRECT("'数据-取费表'!ai"&amp;$G$1)</f>
        <v>365</v>
      </c>
      <c r="G8" s="1384"/>
      <c r="H8" s="304"/>
      <c r="I8" s="3712"/>
      <c r="J8" s="306"/>
      <c r="K8" s="307"/>
      <c r="L8" s="302" t="s">
        <v>693</v>
      </c>
      <c r="M8" s="303">
        <f ca="1">INDIRECT("'数据-取费表'!ai"&amp;$G$1)</f>
        <v>365</v>
      </c>
    </row>
    <row r="9" spans="1:37" ht="18" customHeight="1">
      <c r="A9" s="304"/>
      <c r="B9" s="3713"/>
      <c r="C9" s="306"/>
      <c r="D9" s="307"/>
      <c r="E9" s="302" t="s">
        <v>694</v>
      </c>
      <c r="F9" s="312">
        <f ca="1">INDIRECT("'数据-取费表'!w"&amp;$G$1)</f>
        <v>0.1</v>
      </c>
      <c r="G9" s="1384"/>
      <c r="H9" s="304"/>
      <c r="I9" s="3713"/>
      <c r="J9" s="306"/>
      <c r="K9" s="307"/>
      <c r="L9" s="313" t="s">
        <v>694</v>
      </c>
      <c r="M9" s="314">
        <f ca="1">INDIRECT("'数据-取费表'!ab"&amp;$G$1)</f>
        <v>0</v>
      </c>
    </row>
    <row r="10" spans="1:37" ht="18" customHeight="1">
      <c r="A10" s="1069" t="s">
        <v>402</v>
      </c>
      <c r="B10" s="1365" t="s">
        <v>695</v>
      </c>
      <c r="C10" s="316">
        <f ca="1">ROUND(IF(F10="押一",C6/12*F11,IF(F10="押二",C6/12*2*F11,IF(F10="押三",C6/12*3*F11,C11*F11))),0)</f>
        <v>3</v>
      </c>
      <c r="D10" s="1366" t="s">
        <v>2111</v>
      </c>
      <c r="E10" s="313" t="s">
        <v>696</v>
      </c>
      <c r="F10" s="1116" t="s">
        <v>3507</v>
      </c>
      <c r="G10" s="1384"/>
      <c r="H10" s="1069" t="s">
        <v>402</v>
      </c>
      <c r="I10" s="1365" t="s">
        <v>695</v>
      </c>
      <c r="J10" s="301">
        <f ca="1">ROUND(IF(M10="押一",J6/12*M11,IF(M10="押二",J6/12*2*M11,IF(M10="押三",J6/12*3*M11,J11*M11))),0)</f>
        <v>0</v>
      </c>
      <c r="K10" s="1366" t="s">
        <v>2111</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3528</v>
      </c>
      <c r="D13" s="3448" t="s">
        <v>700</v>
      </c>
      <c r="E13" s="3448" t="s">
        <v>701</v>
      </c>
      <c r="F13" s="1082">
        <f ca="1">INDIRECT("'数据-取费表'!y"&amp;$G$1)</f>
        <v>0.8</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2771</v>
      </c>
      <c r="D14" s="3464" t="s">
        <v>703</v>
      </c>
      <c r="E14" s="3463"/>
      <c r="F14" s="319"/>
      <c r="G14" s="1384"/>
      <c r="H14" s="982" t="s">
        <v>398</v>
      </c>
      <c r="I14" s="302" t="s">
        <v>704</v>
      </c>
      <c r="J14" s="21">
        <f ca="1">C29</f>
        <v>4410</v>
      </c>
      <c r="K14" s="3452"/>
      <c r="L14" s="807"/>
      <c r="M14" s="808"/>
    </row>
    <row r="15" spans="1:37" s="1397" customFormat="1" ht="18" customHeight="1" thickBot="1">
      <c r="A15" s="982" t="s">
        <v>399</v>
      </c>
      <c r="B15" s="302" t="s">
        <v>705</v>
      </c>
      <c r="C15" s="21">
        <f ca="1">ROUND(C14*F15,0)</f>
        <v>139</v>
      </c>
      <c r="D15" s="3449" t="s">
        <v>706</v>
      </c>
      <c r="E15" s="3449"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24</v>
      </c>
      <c r="K16" s="1087" t="s">
        <v>710</v>
      </c>
      <c r="L16" s="3468"/>
      <c r="M16" s="1072"/>
    </row>
    <row r="17" spans="1:37" s="1397" customFormat="1" ht="18" customHeight="1">
      <c r="A17" s="982" t="s">
        <v>676</v>
      </c>
      <c r="B17" s="302" t="s">
        <v>711</v>
      </c>
      <c r="C17" s="21">
        <f ca="1">ROUND(F17*(F43+INDIRECT("'数据-取费表'!S"&amp;$G$1))/10000,0)</f>
        <v>101</v>
      </c>
      <c r="D17" s="302" t="s">
        <v>712</v>
      </c>
      <c r="E17" s="302" t="s">
        <v>713</v>
      </c>
      <c r="F17" s="23">
        <f>'数据-取费表'!B35</f>
        <v>200</v>
      </c>
      <c r="G17" s="1396"/>
      <c r="H17" s="982" t="s">
        <v>398</v>
      </c>
      <c r="I17" s="302" t="s">
        <v>714</v>
      </c>
      <c r="J17" s="2316">
        <f ca="1">ROUND(IF(AND(项目基本情况!B11="自然人",项目基本情况!B10="北京市"),J6*M17/(1+'数据-取费表'!C42),J18+J19+J20),2)</f>
        <v>1.73</v>
      </c>
      <c r="K17" s="3464" t="s">
        <v>715</v>
      </c>
      <c r="L17" s="3467" t="s">
        <v>716</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42</v>
      </c>
      <c r="D18" s="302" t="s">
        <v>706</v>
      </c>
      <c r="E18" s="302" t="s">
        <v>707</v>
      </c>
      <c r="F18" s="322">
        <f>'数据-取费表'!B36</f>
        <v>1.4999999999999999E-2</v>
      </c>
      <c r="G18" s="1396"/>
      <c r="H18" s="982" t="s">
        <v>397</v>
      </c>
      <c r="I18" s="302" t="s">
        <v>718</v>
      </c>
      <c r="J18" s="21">
        <f ca="1">ROUND(J6*M18/(1+'数据-取费表'!C42),2)</f>
        <v>0</v>
      </c>
      <c r="K18" s="3467"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3053</v>
      </c>
      <c r="D19" s="131" t="s">
        <v>721</v>
      </c>
      <c r="E19" s="3471"/>
      <c r="F19" s="23"/>
      <c r="G19" s="1384"/>
      <c r="H19" s="982" t="s">
        <v>399</v>
      </c>
      <c r="I19" s="302" t="s">
        <v>722</v>
      </c>
      <c r="J19" s="21">
        <f ca="1">IF(K19="按租金收入计税",ROUND(J6*M19/(1+'数据-取费表'!C42),2),ROUND(C29*M19*0.7,2))</f>
        <v>0</v>
      </c>
      <c r="K19" s="1370" t="s">
        <v>3337</v>
      </c>
      <c r="L19" s="302" t="s">
        <v>707</v>
      </c>
      <c r="M19" s="322">
        <f>IF(K19="按租金收入计税",'数据-取费表'!B51,'数据-取费表'!B50)</f>
        <v>0.12</v>
      </c>
    </row>
    <row r="20" spans="1:37" s="1397" customFormat="1" ht="18" customHeight="1">
      <c r="A20" s="982" t="s">
        <v>402</v>
      </c>
      <c r="B20" s="302" t="s">
        <v>723</v>
      </c>
      <c r="C20" s="21">
        <f ca="1">ROUND(C19*F20,0)</f>
        <v>61</v>
      </c>
      <c r="D20" s="2428" t="s">
        <v>724</v>
      </c>
      <c r="E20" s="302" t="s">
        <v>707</v>
      </c>
      <c r="F20" s="322">
        <f>'数据-取费表'!B37</f>
        <v>0.02</v>
      </c>
      <c r="G20" s="1396"/>
      <c r="H20" s="982" t="s">
        <v>675</v>
      </c>
      <c r="I20" s="155" t="s">
        <v>725</v>
      </c>
      <c r="J20" s="22">
        <f ca="1">ROUND(M20*M21/10000,2)</f>
        <v>1.73</v>
      </c>
      <c r="K20" s="324" t="s">
        <v>726</v>
      </c>
      <c r="L20" s="302" t="s">
        <v>727</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2428" t="s">
        <v>729</v>
      </c>
      <c r="E21" s="302" t="s">
        <v>730</v>
      </c>
      <c r="F21" s="322">
        <f>'数据-取费表'!B38</f>
        <v>0.02</v>
      </c>
      <c r="G21" s="1396"/>
      <c r="H21" s="326"/>
      <c r="I21" s="311"/>
      <c r="J21" s="26"/>
      <c r="K21" s="327"/>
      <c r="L21" s="302" t="s">
        <v>731</v>
      </c>
      <c r="M21" s="303">
        <f ca="1">INDIRECT("'数据-取费表'!r"&amp;$G$1)</f>
        <v>720.88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3471"/>
      <c r="F22" s="23"/>
      <c r="G22" s="1384"/>
      <c r="H22" s="982" t="s">
        <v>402</v>
      </c>
      <c r="I22" s="302" t="s">
        <v>733</v>
      </c>
      <c r="J22" s="21">
        <f ca="1">ROUND(J14*M22,2)</f>
        <v>22.05</v>
      </c>
      <c r="K22" s="3467" t="s">
        <v>734</v>
      </c>
      <c r="L22" s="302" t="s">
        <v>707</v>
      </c>
      <c r="M22" s="328">
        <f ca="1">INDIRECT("'数据-取费表'!Ak"&amp;$G$1)</f>
        <v>5.0000000000000001E-3</v>
      </c>
    </row>
    <row r="23" spans="1:37" s="1397" customFormat="1" ht="18" customHeight="1">
      <c r="A23" s="982" t="s">
        <v>397</v>
      </c>
      <c r="B23" s="302" t="s">
        <v>735</v>
      </c>
      <c r="C23" s="21">
        <f ca="1">IF('数据-取费表'!B22&lt;=1,ROUND(C19*F24*F23/2,0)+ROUND(C20*F24*F23/2,0),ROUND(C19*(POWER((1+F24),F23/2)-1),0)+ROUND(C20*(POWER((1+F24),F23/2)-1),0))</f>
        <v>167</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3467" t="s">
        <v>738</v>
      </c>
      <c r="L23" s="302" t="s">
        <v>707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1.1000000000000001E-3</v>
      </c>
      <c r="D24" s="329" t="str">
        <f>IF(F23&lt;=1,"销售费用×利率×(建设周期÷2)","销售费用×((1+利率)^(建设周期÷2)-1)")</f>
        <v>销售费用×((1+利率)^(建设周期÷2)-1)</v>
      </c>
      <c r="E24" s="302" t="s">
        <v>742</v>
      </c>
      <c r="F24" s="331">
        <f ca="1">'数据-取费表'!B40</f>
        <v>3.5499999999999997E-2</v>
      </c>
      <c r="G24" s="1396"/>
      <c r="H24" s="1089" t="s">
        <v>678</v>
      </c>
      <c r="I24" s="1090" t="s">
        <v>723</v>
      </c>
      <c r="J24" s="1091">
        <f ca="1">ROUND(J5*M24,2)</f>
        <v>0</v>
      </c>
      <c r="K24" s="1092" t="s">
        <v>743</v>
      </c>
      <c r="L24" s="1090" t="s">
        <v>707</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3471"/>
      <c r="F25" s="23"/>
      <c r="G25" s="1384"/>
      <c r="H25" s="1079" t="s">
        <v>394</v>
      </c>
      <c r="I25" s="1094" t="s">
        <v>747</v>
      </c>
      <c r="J25" s="310">
        <f ca="1">J5-J16</f>
        <v>-24</v>
      </c>
      <c r="K25" s="1095" t="s">
        <v>748</v>
      </c>
      <c r="L25" s="1096"/>
      <c r="M25" s="1097"/>
    </row>
    <row r="26" spans="1:37">
      <c r="A26" s="982" t="s">
        <v>397</v>
      </c>
      <c r="B26" s="302" t="s">
        <v>749</v>
      </c>
      <c r="C26" s="21">
        <f ca="1">ROUND((C19+C20)*F26,0)</f>
        <v>779</v>
      </c>
      <c r="D26" s="2428" t="s">
        <v>750</v>
      </c>
      <c r="E26" s="313" t="s">
        <v>751</v>
      </c>
      <c r="F26" s="312">
        <f ca="1">INDIRECT("'数据-取费表'!q"&amp;$G$1)</f>
        <v>0.25</v>
      </c>
      <c r="G26" s="1384"/>
      <c r="H26" s="299" t="s">
        <v>395</v>
      </c>
      <c r="I26" s="300" t="s">
        <v>752</v>
      </c>
      <c r="J26" s="301">
        <f ca="1">IF(J5&lt;&gt;0,ROUND(J25*(1-((1+M28)/(1+M26))^M27)/(M26-M28),0),0)</f>
        <v>0</v>
      </c>
      <c r="K26" s="324" t="s">
        <v>753</v>
      </c>
      <c r="L26" s="302" t="s">
        <v>754</v>
      </c>
      <c r="M26" s="312">
        <f ca="1">INDIRECT("'数据-取费表'!I"&amp;$G$1)</f>
        <v>0.06</v>
      </c>
    </row>
    <row r="27" spans="1:37" ht="18" customHeight="1">
      <c r="A27" s="982" t="s">
        <v>399</v>
      </c>
      <c r="B27" s="302" t="s">
        <v>755</v>
      </c>
      <c r="C27" s="21">
        <f ca="1">ROUND(F21*F26,4)</f>
        <v>5.0000000000000001E-3</v>
      </c>
      <c r="D27" s="2428" t="s">
        <v>756</v>
      </c>
      <c r="E27" s="3449"/>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2428"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4410</v>
      </c>
      <c r="D29" s="1092"/>
      <c r="E29" s="1090"/>
      <c r="F29" s="1093"/>
      <c r="G29" s="1396"/>
      <c r="H29" s="334" t="s">
        <v>396</v>
      </c>
      <c r="I29" s="335" t="s">
        <v>763</v>
      </c>
      <c r="J29" s="336">
        <f ca="1">ROUND(J26/(1+F40)^F41,0)</f>
        <v>0</v>
      </c>
      <c r="K29" s="337" t="s">
        <v>764</v>
      </c>
      <c r="L29" s="338"/>
      <c r="M29" s="339">
        <f ca="1">INDIRECT("'数据-取费表'!k"&amp;$G$1)</f>
        <v>5038.8999999999996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399</v>
      </c>
      <c r="D30" s="1087" t="s">
        <v>710</v>
      </c>
      <c r="E30" s="3468"/>
      <c r="F30" s="1072"/>
      <c r="G30" s="1384"/>
      <c r="H30" s="2697"/>
      <c r="I30" s="1398"/>
      <c r="J30" s="1399"/>
      <c r="K30" s="2475"/>
      <c r="L30" s="2698"/>
      <c r="M30" s="2699"/>
    </row>
    <row r="31" spans="1:37" ht="18" customHeight="1">
      <c r="A31" s="982" t="s">
        <v>398</v>
      </c>
      <c r="B31" s="302" t="s">
        <v>714</v>
      </c>
      <c r="C31" s="2316">
        <f ca="1">ROUND(IF(AND(项目基本情况!B11="自然人",项目基本情况!B10="北京市"),C6*F31/(1+'数据-取费表'!C42),C32+C33+C34),2)</f>
        <v>362.44</v>
      </c>
      <c r="D31" s="3464" t="s">
        <v>715</v>
      </c>
      <c r="E31" s="3467" t="s">
        <v>765</v>
      </c>
      <c r="F31" s="2315" t="str">
        <f>IF(项目基本情况!B11="企业","——",IF(M47="住宅",IF(F6*F7*F8/12/(1+'数据-取费表'!F30)&gt;100000,4%,2.5%),IF(F6*F7*F8/12/(1+'数据-取费表'!F30)&gt;100000,12%,7%)))</f>
        <v>——</v>
      </c>
      <c r="G31" s="1384"/>
      <c r="H31" s="2806" t="s">
        <v>2305</v>
      </c>
      <c r="I31" s="1398"/>
      <c r="J31" s="1399"/>
      <c r="K31" s="2475"/>
      <c r="L31" s="2698"/>
      <c r="M31" s="2699"/>
    </row>
    <row r="32" spans="1:37" ht="18" customHeight="1">
      <c r="A32" s="982" t="s">
        <v>397</v>
      </c>
      <c r="B32" s="302" t="s">
        <v>718</v>
      </c>
      <c r="C32" s="21">
        <f ca="1">IF(项目基本情况!B11="自然人","——",ROUND(C6*F32/(1+'数据-取费表'!C42),2))</f>
        <v>114.77</v>
      </c>
      <c r="D32" s="3467" t="s">
        <v>719</v>
      </c>
      <c r="E32" s="302" t="s">
        <v>707</v>
      </c>
      <c r="F32" s="331">
        <f>'数据-取费表'!B41</f>
        <v>5.6000000000000001E-2</v>
      </c>
      <c r="G32" s="1384"/>
      <c r="H32" s="2697"/>
      <c r="I32" s="1398"/>
      <c r="J32" s="1399"/>
      <c r="K32" s="2475"/>
      <c r="L32" s="2698"/>
      <c r="M32" s="2699"/>
    </row>
    <row r="33" spans="1:18" ht="18" customHeight="1">
      <c r="A33" s="982" t="s">
        <v>399</v>
      </c>
      <c r="B33" s="302" t="s">
        <v>722</v>
      </c>
      <c r="C33" s="21">
        <f ca="1">IF(项目基本情况!B11="自然人","——",IF(D33="按租金收入计税",ROUND(C6*F33/(1+'数据-取费表'!C42),2),IF(D33="按房产原值计税",ROUND(C29*F33*0.7,2),INDIRECT("'数据-取费表'!Aj"&amp;$G$1))))</f>
        <v>245.94</v>
      </c>
      <c r="D33" s="1370" t="s">
        <v>3337</v>
      </c>
      <c r="E33" s="302" t="s">
        <v>707</v>
      </c>
      <c r="F33" s="322">
        <f>IF(D33="按票据","——",IF(D33="按租金收入计税",'数据-取费表'!B51,'数据-取费表'!B50))</f>
        <v>0.12</v>
      </c>
      <c r="G33" s="1384"/>
      <c r="H33" s="2700"/>
      <c r="I33" s="1398"/>
      <c r="J33" s="1399"/>
      <c r="K33" s="2701"/>
      <c r="L33" s="2700"/>
      <c r="M33" s="2700"/>
    </row>
    <row r="34" spans="1:18" ht="18" customHeight="1">
      <c r="A34" s="1069" t="s">
        <v>675</v>
      </c>
      <c r="B34" s="155" t="s">
        <v>725</v>
      </c>
      <c r="C34" s="22">
        <f ca="1">IF(项目基本情况!B11="自然人","——",ROUND(F34*F35/10000,2))</f>
        <v>1.73</v>
      </c>
      <c r="D34" s="324" t="s">
        <v>726</v>
      </c>
      <c r="E34" s="302" t="s">
        <v>727</v>
      </c>
      <c r="F34" s="325">
        <f>'数据-取费表'!B52</f>
        <v>24</v>
      </c>
      <c r="G34" s="1384"/>
      <c r="H34" s="2697"/>
      <c r="I34" s="1398"/>
      <c r="J34" s="1399"/>
      <c r="K34" s="2702"/>
      <c r="L34" s="2703"/>
      <c r="M34" s="2703"/>
    </row>
    <row r="35" spans="1:18" ht="18" customHeight="1">
      <c r="A35" s="1103"/>
      <c r="B35" s="1101"/>
      <c r="C35" s="26"/>
      <c r="D35" s="327"/>
      <c r="E35" s="302" t="s">
        <v>731</v>
      </c>
      <c r="F35" s="303">
        <f ca="1">INDIRECT("'数据-取费表'!r"&amp;$G$1)</f>
        <v>720.88</v>
      </c>
      <c r="G35" s="1384"/>
      <c r="H35" s="2697"/>
      <c r="I35" s="1398"/>
      <c r="J35" s="1399"/>
      <c r="K35" s="2701"/>
      <c r="L35" s="2700"/>
      <c r="M35" s="2700"/>
    </row>
    <row r="36" spans="1:18" ht="18" customHeight="1">
      <c r="A36" s="1102" t="s">
        <v>402</v>
      </c>
      <c r="B36" s="302" t="s">
        <v>733</v>
      </c>
      <c r="C36" s="21">
        <f ca="1">ROUND(C29*F36,2)</f>
        <v>22.05</v>
      </c>
      <c r="D36" s="3467" t="s">
        <v>766</v>
      </c>
      <c r="E36" s="302" t="s">
        <v>707</v>
      </c>
      <c r="F36" s="328">
        <f ca="1">INDIRECT("'数据-取费表'!Ak"&amp;$G$1)</f>
        <v>5.0000000000000001E-3</v>
      </c>
      <c r="G36" s="1384"/>
      <c r="H36" s="2700"/>
      <c r="I36" s="1398"/>
      <c r="J36" s="1399"/>
      <c r="K36" s="2544"/>
      <c r="L36" s="2700"/>
      <c r="M36" s="2700"/>
    </row>
    <row r="37" spans="1:18" ht="18" customHeight="1">
      <c r="A37" s="982" t="s">
        <v>437</v>
      </c>
      <c r="B37" s="302" t="s">
        <v>737</v>
      </c>
      <c r="C37" s="21">
        <f ca="1">ROUND(C13*F37,2)</f>
        <v>3.53</v>
      </c>
      <c r="D37" s="3467" t="s">
        <v>738</v>
      </c>
      <c r="E37" s="302" t="s">
        <v>707</v>
      </c>
      <c r="F37" s="330">
        <f ca="1">INDIRECT("'数据-取费表'!Al"&amp;$G$1)</f>
        <v>1E-3</v>
      </c>
      <c r="G37" s="1384"/>
      <c r="H37" s="2700"/>
      <c r="I37" s="1398"/>
      <c r="J37" s="1399"/>
      <c r="K37" s="2544"/>
      <c r="L37" s="2700"/>
      <c r="M37" s="2700"/>
    </row>
    <row r="38" spans="1:18" ht="18" customHeight="1" thickBot="1">
      <c r="A38" s="1089" t="s">
        <v>678</v>
      </c>
      <c r="B38" s="1090" t="s">
        <v>723</v>
      </c>
      <c r="C38" s="1091">
        <f ca="1">ROUND(C5*F38,2)</f>
        <v>10.78</v>
      </c>
      <c r="D38" s="1092" t="s">
        <v>743</v>
      </c>
      <c r="E38" s="1090" t="s">
        <v>707</v>
      </c>
      <c r="F38" s="1086">
        <f ca="1">INDIRECT("'数据-取费表'!Am"&amp;$G$1)</f>
        <v>5.0000000000000001E-3</v>
      </c>
      <c r="G38" s="1384"/>
      <c r="H38" s="2700"/>
      <c r="I38" s="1398"/>
      <c r="J38" s="1399"/>
      <c r="K38" s="2704"/>
      <c r="L38" s="2700"/>
      <c r="M38" s="2700"/>
    </row>
    <row r="39" spans="1:18" ht="24.6" customHeight="1" thickTop="1">
      <c r="A39" s="1079" t="s">
        <v>394</v>
      </c>
      <c r="B39" s="1094" t="s">
        <v>747</v>
      </c>
      <c r="C39" s="310">
        <f ca="1">C5-C30</f>
        <v>1756</v>
      </c>
      <c r="D39" s="1095" t="s">
        <v>748</v>
      </c>
      <c r="E39" s="1096"/>
      <c r="F39" s="1097"/>
      <c r="G39" s="1384"/>
      <c r="H39" s="2700"/>
      <c r="I39" s="1398"/>
      <c r="J39" s="1399"/>
      <c r="K39" s="2704"/>
      <c r="L39" s="2700"/>
      <c r="M39" s="2700"/>
    </row>
    <row r="40" spans="1:18" ht="18" customHeight="1">
      <c r="A40" s="299" t="s">
        <v>395</v>
      </c>
      <c r="B40" s="300" t="s">
        <v>769</v>
      </c>
      <c r="C40" s="301">
        <f ca="1">ROUND(C39*(1-((1+F42)/(1+F40))^F41)/(F40-F42),0)</f>
        <v>31638</v>
      </c>
      <c r="D40" s="324" t="s">
        <v>753</v>
      </c>
      <c r="E40" s="302" t="s">
        <v>754</v>
      </c>
      <c r="F40" s="312">
        <f ca="1">INDIRECT("'数据-取费表'!I"&amp;$G$1)</f>
        <v>0.06</v>
      </c>
      <c r="G40" s="1384"/>
      <c r="H40" s="1461"/>
      <c r="I40" s="1398"/>
      <c r="J40" s="1399"/>
      <c r="K40" s="2704"/>
      <c r="L40" s="1461"/>
      <c r="M40" s="1461"/>
    </row>
    <row r="41" spans="1:18" ht="18" customHeight="1">
      <c r="A41" s="304"/>
      <c r="B41" s="305"/>
      <c r="C41" s="306"/>
      <c r="D41" s="332" t="s">
        <v>770</v>
      </c>
      <c r="E41" s="302" t="s">
        <v>758</v>
      </c>
      <c r="F41" s="333">
        <f ca="1">IF(INDIRECT("'数据-取费表'!af"&amp;$G$1)=0,INDIRECT("'数据-取费表'!ae"&amp;$G$1),INDIRECT("'数据-取费表'!af"&amp;$G$1))</f>
        <v>29.66</v>
      </c>
      <c r="G41" s="1384"/>
      <c r="H41" s="1191"/>
      <c r="I41" s="1398"/>
      <c r="J41" s="1399"/>
      <c r="K41" s="2544"/>
      <c r="L41" s="1191"/>
      <c r="M41" s="1191"/>
    </row>
    <row r="42" spans="1:18" ht="18" customHeight="1">
      <c r="A42" s="308"/>
      <c r="B42" s="309"/>
      <c r="C42" s="310"/>
      <c r="D42" s="327"/>
      <c r="E42" s="302" t="s">
        <v>761</v>
      </c>
      <c r="F42" s="312">
        <f ca="1">INDIRECT("'数据-取费表'!v"&amp;$G$1)</f>
        <v>2.5000000000000001E-2</v>
      </c>
      <c r="G42" s="1384"/>
      <c r="H42" s="1191"/>
      <c r="I42" s="1398"/>
      <c r="J42" s="1399"/>
      <c r="K42" s="2544"/>
      <c r="L42" s="1191"/>
      <c r="M42" s="1191"/>
    </row>
    <row r="43" spans="1:18" ht="18" customHeight="1" thickBot="1">
      <c r="A43" s="334" t="s">
        <v>396</v>
      </c>
      <c r="B43" s="335" t="s">
        <v>771</v>
      </c>
      <c r="C43" s="336">
        <f ca="1">ROUND(C40*10000/F43,0)</f>
        <v>62788</v>
      </c>
      <c r="D43" s="337" t="s">
        <v>772</v>
      </c>
      <c r="E43" s="338" t="s">
        <v>773</v>
      </c>
      <c r="F43" s="339">
        <f ca="1">INDIRECT("'数据-取费表'!k"&amp;$G$1)</f>
        <v>5038.8999999999996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803</v>
      </c>
      <c r="P45" s="1461"/>
      <c r="Q45" s="1461"/>
      <c r="R45" s="1461"/>
    </row>
    <row r="46" spans="1:18" s="1384" customFormat="1" ht="13.5" thickBot="1">
      <c r="A46" s="1404" t="s">
        <v>804</v>
      </c>
      <c r="C46" s="1405">
        <f ca="1">C68-C40</f>
        <v>-32022</v>
      </c>
      <c r="D46" s="1406" t="str">
        <f>C2</f>
        <v>万元</v>
      </c>
      <c r="E46" s="1400"/>
      <c r="F46" s="1400"/>
      <c r="I46" s="1407" t="s">
        <v>805</v>
      </c>
      <c r="J46" s="1408"/>
      <c r="K46" s="1409"/>
      <c r="L46" s="1410">
        <f ca="1">IF(M47="住宅",0,IF(L48&gt;J51,L60,J60))</f>
        <v>228</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t="s">
        <v>3508</v>
      </c>
      <c r="K47" s="1416" t="s">
        <v>811</v>
      </c>
      <c r="L47" s="1417">
        <f ca="1">INDIRECT("'数据-取费表'!d"&amp;$G$1)</f>
        <v>50</v>
      </c>
      <c r="M47" s="1380" t="str">
        <f>IF(ISNUMBER(FIND("住宅",C1)),"住宅","非住宅")</f>
        <v>非住宅</v>
      </c>
      <c r="O47" s="1418" t="s">
        <v>403</v>
      </c>
      <c r="P47" s="1419" t="s">
        <v>812</v>
      </c>
      <c r="Q47" s="1420">
        <f ca="1">C40+J29</f>
        <v>31638</v>
      </c>
      <c r="R47" s="1420" t="s">
        <v>813</v>
      </c>
    </row>
    <row r="48" spans="1:18" s="1384" customFormat="1" ht="28.5" thickBot="1">
      <c r="A48" s="1110" t="s">
        <v>438</v>
      </c>
      <c r="B48" s="300" t="s">
        <v>687</v>
      </c>
      <c r="C48" s="3470">
        <f ca="1">C49+C53+C55</f>
        <v>0</v>
      </c>
      <c r="D48" s="1112"/>
      <c r="E48" s="1113"/>
      <c r="F48" s="962"/>
      <c r="G48" s="722"/>
      <c r="H48" s="723"/>
      <c r="I48" s="1421" t="s">
        <v>814</v>
      </c>
      <c r="J48" s="1422" t="s">
        <v>3509</v>
      </c>
      <c r="K48" s="1423" t="s">
        <v>815</v>
      </c>
      <c r="L48" s="1424">
        <f ca="1">INDIRECT("'数据-取费表'!f"&amp;$G$1)</f>
        <v>29.66</v>
      </c>
      <c r="O48" s="1418" t="s">
        <v>404</v>
      </c>
      <c r="P48" s="1419" t="s">
        <v>816</v>
      </c>
      <c r="Q48" s="1420">
        <f ca="1">J60</f>
        <v>228</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c r="K49" s="1423" t="s">
        <v>819</v>
      </c>
      <c r="L49" s="1427"/>
      <c r="O49" s="1428" t="s">
        <v>405</v>
      </c>
      <c r="P49" s="1419" t="s">
        <v>820</v>
      </c>
      <c r="Q49" s="1420">
        <f ca="1">C29</f>
        <v>4410</v>
      </c>
      <c r="R49" s="1420" t="s">
        <v>813</v>
      </c>
    </row>
    <row r="50" spans="1:18" s="1384" customFormat="1" ht="13.5" thickBot="1">
      <c r="A50" s="976"/>
      <c r="B50" s="979"/>
      <c r="C50" s="1118"/>
      <c r="D50" s="953"/>
      <c r="E50" s="1056" t="s">
        <v>692</v>
      </c>
      <c r="F50" s="1057">
        <f ca="1">F7</f>
        <v>5038.8999999999996</v>
      </c>
      <c r="H50" s="723"/>
      <c r="I50" s="1421" t="s">
        <v>821</v>
      </c>
      <c r="J50" s="1429">
        <f>SUMPRODUCT((I63:I65=J47)*(J62:L62=J48)*(J63:L65))</f>
        <v>60</v>
      </c>
      <c r="K50" s="1423" t="s">
        <v>822</v>
      </c>
      <c r="L50" s="1427"/>
      <c r="M50" s="1430"/>
      <c r="O50" s="1428" t="s">
        <v>406</v>
      </c>
      <c r="P50" s="1419" t="s">
        <v>823</v>
      </c>
      <c r="Q50" s="1431">
        <f ca="1">J58</f>
        <v>0.50600000000000001</v>
      </c>
      <c r="R50" s="1420"/>
    </row>
    <row r="51" spans="1:18" s="1384" customFormat="1" ht="13.5" thickBot="1">
      <c r="A51" s="977"/>
      <c r="B51" s="979"/>
      <c r="C51" s="980"/>
      <c r="D51" s="953"/>
      <c r="E51" s="981" t="s">
        <v>693</v>
      </c>
      <c r="F51" s="303">
        <f ca="1">F8</f>
        <v>365</v>
      </c>
      <c r="I51" s="1432" t="s">
        <v>824</v>
      </c>
      <c r="J51" s="1433">
        <f>IF(J49="",J50,J49+J50-YEAR('数据-取费表'!B2))</f>
        <v>60</v>
      </c>
      <c r="K51" s="1434" t="s">
        <v>825</v>
      </c>
      <c r="L51" s="1435">
        <f ca="1">ROUND(-PV(INDIRECT("'数据-取费表'!h"&amp;$G$1),J51,(C39-C13*C76),0),0)</f>
        <v>28565</v>
      </c>
      <c r="M51" s="1436"/>
      <c r="O51" s="1428" t="s">
        <v>407</v>
      </c>
      <c r="P51" s="1419" t="s">
        <v>826</v>
      </c>
      <c r="Q51" s="1431">
        <f>J52</f>
        <v>0.08</v>
      </c>
      <c r="R51" s="1420"/>
    </row>
    <row r="52" spans="1:18" s="1384" customFormat="1" ht="13.5" thickBot="1">
      <c r="A52" s="977"/>
      <c r="B52" s="979"/>
      <c r="C52" s="980"/>
      <c r="D52" s="953"/>
      <c r="E52" s="981" t="s">
        <v>694</v>
      </c>
      <c r="F52" s="1054"/>
      <c r="I52" s="1437" t="s">
        <v>827</v>
      </c>
      <c r="J52" s="1438">
        <v>0.08</v>
      </c>
      <c r="K52" s="1437" t="s">
        <v>828</v>
      </c>
      <c r="L52" s="1438"/>
      <c r="O52" s="1428" t="s">
        <v>408</v>
      </c>
      <c r="P52" s="1419" t="s">
        <v>829</v>
      </c>
      <c r="Q52" s="1420">
        <f ca="1">J53</f>
        <v>29.66</v>
      </c>
      <c r="R52" s="1420" t="s">
        <v>830</v>
      </c>
    </row>
    <row r="53" spans="1:18" s="1384" customFormat="1" ht="24.75" thickBot="1">
      <c r="A53" s="1152" t="s">
        <v>440</v>
      </c>
      <c r="B53" s="1373" t="s">
        <v>695</v>
      </c>
      <c r="C53" s="316">
        <f ca="1">ROUND(IF(F53="押一",C49/12*F11,IF(F53="押二",C49/12*2*F11,IF(F53="押三",C49/12*3*F11,C54*F11))),0)</f>
        <v>0</v>
      </c>
      <c r="D53" s="1366" t="s">
        <v>2111</v>
      </c>
      <c r="E53" s="313" t="s">
        <v>696</v>
      </c>
      <c r="F53" s="1116"/>
      <c r="I53" s="1439" t="s">
        <v>831</v>
      </c>
      <c r="J53" s="2168">
        <f ca="1">IF(M47="住宅",IF(D1="——",MAX(J51,L48),MAX(J51,L48-'数据-取费表'!B24)),IF(D1="——",MIN(J51,L48),MIN(J51,L48-'数据-取费表'!B24)))</f>
        <v>29.66</v>
      </c>
      <c r="K53" s="3709" t="s">
        <v>832</v>
      </c>
      <c r="L53" s="3710"/>
      <c r="O53" s="1418" t="s">
        <v>409</v>
      </c>
      <c r="P53" s="1419" t="s">
        <v>833</v>
      </c>
      <c r="Q53" s="1420">
        <f ca="1">Q47+Q48</f>
        <v>31866</v>
      </c>
      <c r="R53" s="1420" t="s">
        <v>410</v>
      </c>
    </row>
    <row r="54" spans="1:18" s="1384" customFormat="1" ht="13.5" thickBot="1">
      <c r="A54" s="1153"/>
      <c r="B54" s="1367" t="s">
        <v>674</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834</v>
      </c>
      <c r="P54" s="1381"/>
      <c r="Q54" s="1381"/>
      <c r="R54" s="1381"/>
    </row>
    <row r="55" spans="1:18" s="1384" customFormat="1" ht="13.5" thickBot="1">
      <c r="A55" s="1083" t="s">
        <v>437</v>
      </c>
      <c r="B55" s="1369" t="s">
        <v>698</v>
      </c>
      <c r="C55" s="1084"/>
      <c r="D55" s="1366"/>
      <c r="E55" s="3456"/>
      <c r="F55" s="1440"/>
      <c r="I55" s="1443" t="s">
        <v>835</v>
      </c>
      <c r="J55" s="1444">
        <f ca="1">ROUND(IF(J47="钢混",J57/J50,1-(1-2%)*(J50-J57)/J50),3)</f>
        <v>0.50600000000000001</v>
      </c>
      <c r="K55" s="1445" t="s">
        <v>836</v>
      </c>
      <c r="L55" s="1446"/>
      <c r="O55" s="1411" t="s">
        <v>806</v>
      </c>
      <c r="P55" s="1412" t="s">
        <v>807</v>
      </c>
      <c r="Q55" s="1413" t="s">
        <v>808</v>
      </c>
      <c r="R55" s="1413" t="s">
        <v>809</v>
      </c>
    </row>
    <row r="56" spans="1:18" s="1384" customFormat="1" ht="25.5" thickTop="1" thickBot="1">
      <c r="A56" s="957">
        <v>2</v>
      </c>
      <c r="B56" s="958" t="s">
        <v>699</v>
      </c>
      <c r="C56" s="232">
        <f ca="1">C13</f>
        <v>3528</v>
      </c>
      <c r="D56" s="1447"/>
      <c r="E56" s="1448"/>
      <c r="F56" s="1440"/>
      <c r="I56" s="1449" t="s">
        <v>837</v>
      </c>
      <c r="J56" s="1450" t="s">
        <v>3503</v>
      </c>
      <c r="K56" s="1421" t="s">
        <v>838</v>
      </c>
      <c r="L56" s="1424" t="str">
        <f ca="1">IF(L48&lt;J51,"——",L48-J53)</f>
        <v>——</v>
      </c>
      <c r="O56" s="1418" t="s">
        <v>403</v>
      </c>
      <c r="P56" s="1419" t="s">
        <v>812</v>
      </c>
      <c r="Q56" s="1420">
        <f ca="1">C40+J29</f>
        <v>31638</v>
      </c>
      <c r="R56" s="1420" t="s">
        <v>813</v>
      </c>
    </row>
    <row r="57" spans="1:18" s="1384" customFormat="1" ht="24.75" thickBot="1">
      <c r="A57" s="1451"/>
      <c r="B57" s="950" t="s">
        <v>762</v>
      </c>
      <c r="C57" s="238">
        <f ca="1">C29</f>
        <v>4410</v>
      </c>
      <c r="D57" s="1452"/>
      <c r="E57" s="1453"/>
      <c r="F57" s="1454"/>
      <c r="I57" s="1455" t="s">
        <v>839</v>
      </c>
      <c r="J57" s="1456">
        <f ca="1">IF(OR(M47="住宅",J51&lt;L48,J56="是"),"——",J51-L48)</f>
        <v>30.34</v>
      </c>
      <c r="K57" s="1421" t="s">
        <v>840</v>
      </c>
      <c r="L57" s="1424" t="str">
        <f ca="1">IF(L48&lt;J51,"——",IF(L55="比较法",L49,IF(L55="基准地价",L50,L51)))</f>
        <v>——</v>
      </c>
      <c r="O57" s="1418" t="s">
        <v>404</v>
      </c>
      <c r="P57" s="1419" t="s">
        <v>841</v>
      </c>
      <c r="Q57" s="1420">
        <f ca="1">L60</f>
        <v>0</v>
      </c>
      <c r="R57" s="1420" t="s">
        <v>842</v>
      </c>
    </row>
    <row r="58" spans="1:18" s="1384" customFormat="1" ht="24.75" thickBot="1">
      <c r="A58" s="315" t="s">
        <v>393</v>
      </c>
      <c r="B58" s="958" t="s">
        <v>709</v>
      </c>
      <c r="C58" s="316">
        <f ca="1">ROUND(C59+C64+C65+C66,0)</f>
        <v>28</v>
      </c>
      <c r="D58" s="960" t="s">
        <v>710</v>
      </c>
      <c r="E58" s="961"/>
      <c r="F58" s="962"/>
      <c r="I58" s="1455" t="s">
        <v>843</v>
      </c>
      <c r="J58" s="1457">
        <f ca="1">IF(J55&lt;0.4,0.4,J55)</f>
        <v>0.50600000000000001</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6">
        <f ca="1">ROUND(IF(AND(项目基本情况!B11="自然人",项目基本情况!B10="北京市"),C49*F59/(1+'数据-取费表'!C42),C60+C61+C62),0)</f>
        <v>2</v>
      </c>
      <c r="D59" s="963" t="s">
        <v>715</v>
      </c>
      <c r="E59" s="964" t="s">
        <v>716</v>
      </c>
      <c r="F59" s="2315" t="str">
        <f>IF(项目基本情况!B11="企业","——",IF('数据-取费表'!B10="住宅",IF(F49*F50*F51/12/(1+'数据-取费表'!F30)&gt;100000,4%,2.5%),IF(F49*F50*F51/12/(1+'数据-取费表'!F30)&gt;100000,12%,7%)))</f>
        <v>——</v>
      </c>
      <c r="I59" s="1455" t="s">
        <v>846</v>
      </c>
      <c r="J59" s="1456">
        <f ca="1">IF(OR(M47="住宅",J51&lt;L48,J56="是"),"——",ROUND(C29*J58,0))</f>
        <v>2231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f ca="1">IF(OR(M47="住宅",J51&lt;L48,J56="是"),"0",ROUND(J59/(1+J52)^J53,0))</f>
        <v>228</v>
      </c>
      <c r="K60" s="1460" t="s">
        <v>849</v>
      </c>
      <c r="L60" s="1459">
        <f ca="1">IF(OR(M47="住宅",L48&lt;J51),0,ROUND(L57*(L58/L59-1),0))</f>
        <v>0</v>
      </c>
      <c r="O60" s="1428" t="s">
        <v>407</v>
      </c>
      <c r="P60" s="1419" t="s">
        <v>850</v>
      </c>
      <c r="Q60" s="1420" t="e">
        <f ca="1">L58</f>
        <v>#DIV/0!</v>
      </c>
      <c r="R60" s="1420" t="s">
        <v>851</v>
      </c>
    </row>
    <row r="61" spans="1:18" s="1384" customFormat="1" ht="13.5" thickBot="1">
      <c r="A61" s="982" t="s">
        <v>776</v>
      </c>
      <c r="B61" s="950" t="s">
        <v>722</v>
      </c>
      <c r="C61" s="21">
        <f ca="1">IF(项目基本情况!B11="自然人","——",IF(D61="按租金收入计税",ROUND(C49*F61/(1+'数据-取费表'!C42),2),IF(D61="按房产原值计税",ROUND(C57*F61*0.7,2),INDIRECT("'数据-取费表'!Aj"&amp;$G$1))))</f>
        <v>0</v>
      </c>
      <c r="D61" s="1370" t="s">
        <v>3337</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725</v>
      </c>
      <c r="C62" s="22">
        <f ca="1">IF(项目基本情况!B11="自然人","——",ROUND(F62*F63/10000,2))</f>
        <v>1.73</v>
      </c>
      <c r="D62" s="965" t="s">
        <v>726</v>
      </c>
      <c r="E62" s="950" t="s">
        <v>727</v>
      </c>
      <c r="F62" s="325">
        <f t="shared" si="0"/>
        <v>24</v>
      </c>
      <c r="I62" s="1462" t="s">
        <v>853</v>
      </c>
      <c r="J62" s="1463" t="s">
        <v>854</v>
      </c>
      <c r="K62" s="1463" t="s">
        <v>855</v>
      </c>
      <c r="L62" s="1463" t="s">
        <v>856</v>
      </c>
      <c r="M62" s="1464" t="s">
        <v>857</v>
      </c>
      <c r="O62" s="1418" t="s">
        <v>409</v>
      </c>
      <c r="P62" s="1419" t="s">
        <v>858</v>
      </c>
      <c r="Q62" s="1420">
        <f ca="1">Q56+Q57</f>
        <v>31638</v>
      </c>
      <c r="R62" s="1420" t="s">
        <v>410</v>
      </c>
    </row>
    <row r="63" spans="1:18" s="1384" customFormat="1" ht="13.5" thickBot="1">
      <c r="A63" s="326"/>
      <c r="B63" s="956"/>
      <c r="C63" s="26"/>
      <c r="D63" s="966"/>
      <c r="E63" s="950" t="s">
        <v>783</v>
      </c>
      <c r="F63" s="303">
        <f t="shared" ca="1" si="0"/>
        <v>720.88</v>
      </c>
      <c r="I63" s="1462" t="s">
        <v>859</v>
      </c>
      <c r="J63" s="1463">
        <v>70</v>
      </c>
      <c r="K63" s="1463">
        <v>50</v>
      </c>
      <c r="L63" s="1463">
        <v>80</v>
      </c>
      <c r="M63" s="1465">
        <v>0.02</v>
      </c>
      <c r="O63" s="1403" t="s">
        <v>860</v>
      </c>
      <c r="P63" s="1381"/>
      <c r="Q63" s="1381"/>
      <c r="R63" s="1381"/>
    </row>
    <row r="64" spans="1:18" s="1384" customFormat="1" ht="13.5" thickBot="1">
      <c r="A64" s="982" t="s">
        <v>784</v>
      </c>
      <c r="B64" s="950" t="s">
        <v>733</v>
      </c>
      <c r="C64" s="21">
        <f ca="1">ROUND(C57*F64,2)</f>
        <v>22.05</v>
      </c>
      <c r="D64" s="964" t="s">
        <v>786</v>
      </c>
      <c r="E64" s="950" t="s">
        <v>778</v>
      </c>
      <c r="F64" s="328">
        <f t="shared" ca="1" si="0"/>
        <v>5.0000000000000001E-3</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3.53</v>
      </c>
      <c r="D65" s="964" t="s">
        <v>738</v>
      </c>
      <c r="E65" s="950" t="s">
        <v>707</v>
      </c>
      <c r="F65" s="330">
        <f t="shared" ca="1" si="0"/>
        <v>1E-3</v>
      </c>
      <c r="I65" s="1462" t="s">
        <v>862</v>
      </c>
      <c r="J65" s="1463">
        <v>40</v>
      </c>
      <c r="K65" s="1463">
        <v>30</v>
      </c>
      <c r="L65" s="1463">
        <v>50</v>
      </c>
      <c r="M65" s="1465">
        <v>0.02</v>
      </c>
      <c r="O65" s="1418" t="s">
        <v>403</v>
      </c>
      <c r="P65" s="1419" t="s">
        <v>812</v>
      </c>
      <c r="Q65" s="1420">
        <f ca="1">C40+J29</f>
        <v>31638</v>
      </c>
      <c r="R65" s="1420" t="s">
        <v>813</v>
      </c>
    </row>
    <row r="66" spans="1:18" s="1384" customFormat="1" ht="16.5" thickBot="1">
      <c r="A66" s="982" t="s">
        <v>788</v>
      </c>
      <c r="B66" s="950" t="s">
        <v>723</v>
      </c>
      <c r="C66" s="21">
        <f ca="1">ROUND(C48*F66,2)</f>
        <v>0</v>
      </c>
      <c r="D66" s="964" t="s">
        <v>789</v>
      </c>
      <c r="E66" s="950" t="s">
        <v>707</v>
      </c>
      <c r="F66" s="312">
        <f t="shared" ca="1" si="0"/>
        <v>5.0000000000000001E-3</v>
      </c>
      <c r="O66" s="1418" t="s">
        <v>404</v>
      </c>
      <c r="P66" s="1419" t="s">
        <v>841</v>
      </c>
      <c r="Q66" s="1420">
        <f ca="1">L60</f>
        <v>0</v>
      </c>
      <c r="R66" s="1420" t="s">
        <v>864</v>
      </c>
    </row>
    <row r="67" spans="1:18" s="1384" customFormat="1" ht="16.5" thickBot="1">
      <c r="A67" s="957" t="s">
        <v>394</v>
      </c>
      <c r="B67" s="967" t="s">
        <v>747</v>
      </c>
      <c r="C67" s="316">
        <f ca="1">C48-C58</f>
        <v>-28</v>
      </c>
      <c r="D67" s="963" t="s">
        <v>748</v>
      </c>
      <c r="E67" s="968"/>
      <c r="F67" s="969"/>
      <c r="O67" s="1428" t="s">
        <v>405</v>
      </c>
      <c r="P67" s="1419" t="s">
        <v>845</v>
      </c>
      <c r="Q67" s="1466">
        <f ca="1">L51</f>
        <v>28565</v>
      </c>
      <c r="R67" s="1420" t="s">
        <v>865</v>
      </c>
    </row>
    <row r="68" spans="1:18" s="1384" customFormat="1" ht="16.5" thickBot="1">
      <c r="A68" s="947" t="s">
        <v>395</v>
      </c>
      <c r="B68" s="948" t="s">
        <v>769</v>
      </c>
      <c r="C68" s="301">
        <f ca="1">ROUND(C67*(1-((1+F70)/(1+F68))^F69)/(F68-F70),0)</f>
        <v>-384</v>
      </c>
      <c r="D68" s="965" t="s">
        <v>753</v>
      </c>
      <c r="E68" s="950" t="s">
        <v>754</v>
      </c>
      <c r="F68" s="312">
        <f ca="1">F40</f>
        <v>0.06</v>
      </c>
      <c r="O68" s="1428" t="s">
        <v>406</v>
      </c>
      <c r="P68" s="1467" t="s">
        <v>866</v>
      </c>
      <c r="Q68" s="1420">
        <f ca="1">ROUND(Q69-Q70*Q71,0)</f>
        <v>1509</v>
      </c>
      <c r="R68" s="1420" t="s">
        <v>414</v>
      </c>
    </row>
    <row r="69" spans="1:18" s="1384" customFormat="1" ht="13.5" thickBot="1">
      <c r="A69" s="951"/>
      <c r="B69" s="952"/>
      <c r="C69" s="306"/>
      <c r="D69" s="970" t="s">
        <v>757</v>
      </c>
      <c r="E69" s="950" t="s">
        <v>758</v>
      </c>
      <c r="F69" s="333">
        <f ca="1">F41</f>
        <v>29.66</v>
      </c>
      <c r="O69" s="1428" t="s">
        <v>411</v>
      </c>
      <c r="P69" s="1467" t="s">
        <v>867</v>
      </c>
      <c r="Q69" s="1420">
        <f ca="1">C39</f>
        <v>1756</v>
      </c>
      <c r="R69" s="1420" t="s">
        <v>813</v>
      </c>
    </row>
    <row r="70" spans="1:18" s="1384" customFormat="1" ht="13.5" thickBot="1">
      <c r="A70" s="954"/>
      <c r="B70" s="955"/>
      <c r="C70" s="310"/>
      <c r="D70" s="966"/>
      <c r="E70" s="950" t="s">
        <v>761</v>
      </c>
      <c r="F70" s="1054"/>
      <c r="O70" s="1428" t="s">
        <v>412</v>
      </c>
      <c r="P70" s="1467" t="s">
        <v>868</v>
      </c>
      <c r="Q70" s="1420">
        <f ca="1">C13</f>
        <v>3528</v>
      </c>
      <c r="R70" s="1420" t="s">
        <v>813</v>
      </c>
    </row>
    <row r="71" spans="1:18" s="1384" customFormat="1" ht="13.5" thickBot="1">
      <c r="A71" s="971" t="s">
        <v>396</v>
      </c>
      <c r="B71" s="972" t="s">
        <v>771</v>
      </c>
      <c r="C71" s="336">
        <f ca="1">ROUND(C68*10000/F71,0)</f>
        <v>-762</v>
      </c>
      <c r="D71" s="973" t="s">
        <v>772</v>
      </c>
      <c r="E71" s="974" t="s">
        <v>773</v>
      </c>
      <c r="F71" s="339">
        <f ca="1">F43</f>
        <v>5038.8999999999996</v>
      </c>
      <c r="O71" s="1428" t="s">
        <v>413</v>
      </c>
      <c r="P71" s="1467" t="s">
        <v>869</v>
      </c>
      <c r="Q71" s="1431">
        <f ca="1">C76</f>
        <v>7.0000000000000007E-2</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247</v>
      </c>
      <c r="D75" s="1384"/>
      <c r="E75" s="1384"/>
      <c r="F75" s="1384"/>
      <c r="K75" s="1402"/>
      <c r="L75" s="1384"/>
      <c r="O75" s="1418" t="s">
        <v>409</v>
      </c>
      <c r="P75" s="1419" t="s">
        <v>833</v>
      </c>
      <c r="Q75" s="1420">
        <f ca="1">Q65+Q66</f>
        <v>31638</v>
      </c>
      <c r="R75" s="1420" t="s">
        <v>410</v>
      </c>
    </row>
    <row r="76" spans="1:18">
      <c r="B76" s="342" t="s">
        <v>791</v>
      </c>
      <c r="C76" s="343">
        <f ca="1">INDIRECT("'数据-取费表'!j"&amp;$G$1)</f>
        <v>7.0000000000000007E-2</v>
      </c>
      <c r="I76" s="1384"/>
      <c r="J76" s="1384"/>
      <c r="K76" s="1402"/>
      <c r="L76" s="1384"/>
    </row>
    <row r="77" spans="1:18">
      <c r="B77" s="344" t="s">
        <v>792</v>
      </c>
      <c r="C77" s="345"/>
      <c r="I77" s="1384"/>
      <c r="J77" s="1384"/>
      <c r="K77" s="1402"/>
      <c r="L77" s="1384"/>
    </row>
    <row r="78" spans="1:18">
      <c r="B78" s="270" t="s">
        <v>793</v>
      </c>
      <c r="C78" s="346"/>
    </row>
    <row r="79" spans="1:18">
      <c r="B79" s="340" t="s">
        <v>794</v>
      </c>
      <c r="C79" s="274">
        <f ca="1">1-C80</f>
        <v>0.85899999999999999</v>
      </c>
    </row>
    <row r="80" spans="1:18">
      <c r="B80" s="340" t="s">
        <v>795</v>
      </c>
      <c r="C80" s="274">
        <f ca="1">ROUND(C75/C39,3)</f>
        <v>0.14099999999999999</v>
      </c>
    </row>
    <row r="81" spans="2:3">
      <c r="B81" s="270" t="s">
        <v>796</v>
      </c>
      <c r="C81" s="238"/>
    </row>
    <row r="82" spans="2:3">
      <c r="B82" s="273" t="s">
        <v>797</v>
      </c>
      <c r="C82" s="275">
        <f ca="1">1-C83</f>
        <v>0.88800000000000001</v>
      </c>
    </row>
    <row r="83" spans="2:3">
      <c r="B83" s="273" t="s">
        <v>798</v>
      </c>
      <c r="C83" s="274">
        <f ca="1">ROUND(C13/C40,3)</f>
        <v>0.112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1257</v>
      </c>
      <c r="B1" s="1747"/>
      <c r="C1" s="1748" t="s">
        <v>3497</v>
      </c>
      <c r="D1" s="1747"/>
      <c r="E1" s="1747"/>
      <c r="F1" s="1749" t="s">
        <v>1258</v>
      </c>
      <c r="G1" s="1561"/>
      <c r="H1" s="1750" t="str">
        <f>IF(G1="现房","——","估价对象范围")</f>
        <v>估价对象范围</v>
      </c>
      <c r="I1" s="1751"/>
    </row>
    <row r="2" spans="1:12" ht="21.75" customHeight="1" thickBot="1">
      <c r="A2" s="3631" t="str">
        <f>项目基本情况!S2</f>
        <v>北京市房地产</v>
      </c>
      <c r="B2" s="3632"/>
      <c r="C2" s="3632"/>
      <c r="D2" s="3632"/>
      <c r="E2" s="3632"/>
      <c r="F2" s="3632"/>
      <c r="G2" s="3632"/>
      <c r="H2" s="3632"/>
      <c r="I2" s="3633"/>
    </row>
    <row r="3" spans="1:12" ht="12.75">
      <c r="A3" s="3635" t="s">
        <v>1259</v>
      </c>
      <c r="B3" s="3636"/>
      <c r="C3" s="3636"/>
      <c r="D3" s="3636"/>
      <c r="E3" s="3636"/>
      <c r="F3" s="3636"/>
      <c r="G3" s="3636"/>
      <c r="H3" s="3636"/>
      <c r="I3" s="3636"/>
    </row>
    <row r="4" spans="1:12" ht="14.25">
      <c r="A4" s="1754" t="s">
        <v>1260</v>
      </c>
      <c r="B4" s="1755" t="s">
        <v>1261</v>
      </c>
      <c r="C4" s="1756" t="s">
        <v>3532</v>
      </c>
      <c r="D4" s="1756" t="s">
        <v>3517</v>
      </c>
      <c r="E4" s="3640" t="s">
        <v>1262</v>
      </c>
      <c r="F4" s="3641"/>
      <c r="G4" s="3641"/>
      <c r="H4" s="3641"/>
      <c r="I4" s="3642"/>
      <c r="K4" s="146" t="str">
        <f>IF(ISNUMBER(FIND("比较法",'结果表(地下商业)'!C4)),"比较法",IF(ISNUMBER(FIND("成本法",'结果表(地下商业)'!C4)),"成本法",IF(ISNUMBER(FIND("假设开发法",'结果表(地下商业)'!C4)),"假设开发法",IF(ISNUMBER(FIND("收益法",'结果表(地下商业)'!C4)),"收益法","基准地价系数修正法"))))</f>
        <v>成本法</v>
      </c>
      <c r="L4" s="146"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spans="1:12" ht="12.75">
      <c r="A5" s="3579" t="s">
        <v>1263</v>
      </c>
      <c r="B5" s="3634">
        <v>25</v>
      </c>
      <c r="C5" s="3637"/>
      <c r="D5" s="3625"/>
      <c r="E5" s="131" t="s">
        <v>1264</v>
      </c>
      <c r="F5" s="1757"/>
      <c r="G5" s="1757"/>
      <c r="H5" s="1757"/>
      <c r="I5" s="1373"/>
    </row>
    <row r="6" spans="1:12" ht="12.75">
      <c r="A6" s="3579"/>
      <c r="B6" s="3634"/>
      <c r="C6" s="3639"/>
      <c r="D6" s="3625"/>
      <c r="E6" s="131" t="s">
        <v>1265</v>
      </c>
      <c r="F6" s="1757"/>
      <c r="G6" s="1757"/>
      <c r="H6" s="1757"/>
      <c r="I6" s="1373"/>
    </row>
    <row r="7" spans="1:12" ht="12.75">
      <c r="A7" s="3579"/>
      <c r="B7" s="3634"/>
      <c r="C7" s="3638"/>
      <c r="D7" s="3625"/>
      <c r="E7" s="131" t="s">
        <v>1266</v>
      </c>
      <c r="F7" s="1757"/>
      <c r="G7" s="1757"/>
      <c r="H7" s="1757"/>
      <c r="I7" s="1373"/>
    </row>
    <row r="8" spans="1:12" ht="12.75">
      <c r="A8" s="3579" t="s">
        <v>1267</v>
      </c>
      <c r="B8" s="3634">
        <v>15</v>
      </c>
      <c r="C8" s="3637"/>
      <c r="D8" s="3625"/>
      <c r="E8" s="131" t="s">
        <v>1268</v>
      </c>
      <c r="F8" s="1757"/>
      <c r="G8" s="1757"/>
      <c r="H8" s="1757"/>
      <c r="I8" s="1373"/>
    </row>
    <row r="9" spans="1:12" ht="12.75">
      <c r="A9" s="3579"/>
      <c r="B9" s="3634"/>
      <c r="C9" s="3638"/>
      <c r="D9" s="3625"/>
      <c r="E9" s="131" t="s">
        <v>1269</v>
      </c>
      <c r="F9" s="1757"/>
      <c r="G9" s="1757"/>
      <c r="H9" s="1757"/>
      <c r="I9" s="1373"/>
    </row>
    <row r="10" spans="1:12" ht="12.75">
      <c r="A10" s="3579" t="s">
        <v>1270</v>
      </c>
      <c r="B10" s="3634">
        <v>15</v>
      </c>
      <c r="C10" s="3637"/>
      <c r="D10" s="3625"/>
      <c r="E10" s="131" t="s">
        <v>1271</v>
      </c>
      <c r="F10" s="1757"/>
      <c r="G10" s="1757"/>
      <c r="H10" s="1757"/>
      <c r="I10" s="1373"/>
    </row>
    <row r="11" spans="1:12" ht="12.75">
      <c r="A11" s="3579"/>
      <c r="B11" s="3634"/>
      <c r="C11" s="3638"/>
      <c r="D11" s="3625"/>
      <c r="E11" s="131" t="s">
        <v>1272</v>
      </c>
      <c r="F11" s="1757"/>
      <c r="G11" s="1757"/>
      <c r="H11" s="1757"/>
      <c r="I11" s="1373"/>
    </row>
    <row r="12" spans="1:12" ht="12.75">
      <c r="A12" s="3579" t="s">
        <v>1273</v>
      </c>
      <c r="B12" s="3634">
        <v>15</v>
      </c>
      <c r="C12" s="3637"/>
      <c r="D12" s="3625"/>
      <c r="E12" s="131" t="s">
        <v>1274</v>
      </c>
      <c r="F12" s="1757"/>
      <c r="G12" s="1757"/>
      <c r="H12" s="1757"/>
      <c r="I12" s="1373"/>
    </row>
    <row r="13" spans="1:12" ht="12.75">
      <c r="A13" s="3579"/>
      <c r="B13" s="3634"/>
      <c r="C13" s="3638"/>
      <c r="D13" s="3625"/>
      <c r="E13" s="131" t="s">
        <v>1275</v>
      </c>
      <c r="F13" s="1757"/>
      <c r="G13" s="1757"/>
      <c r="H13" s="1757"/>
      <c r="I13" s="1373"/>
    </row>
    <row r="14" spans="1:12" ht="12.75">
      <c r="A14" s="3579" t="s">
        <v>1276</v>
      </c>
      <c r="B14" s="3634">
        <v>30</v>
      </c>
      <c r="C14" s="3637">
        <v>4</v>
      </c>
      <c r="D14" s="3625">
        <v>6</v>
      </c>
      <c r="E14" s="131" t="s">
        <v>1277</v>
      </c>
      <c r="F14" s="1757"/>
      <c r="G14" s="1757"/>
      <c r="H14" s="1757"/>
      <c r="I14" s="1373"/>
    </row>
    <row r="15" spans="1:12" ht="12.75">
      <c r="A15" s="3579"/>
      <c r="B15" s="3634"/>
      <c r="C15" s="3639"/>
      <c r="D15" s="3625"/>
      <c r="E15" s="131" t="s">
        <v>1278</v>
      </c>
      <c r="F15" s="1757"/>
      <c r="G15" s="1757"/>
      <c r="H15" s="1757"/>
      <c r="I15" s="1373"/>
    </row>
    <row r="16" spans="1:12" ht="12.75">
      <c r="A16" s="3579"/>
      <c r="B16" s="3634"/>
      <c r="C16" s="3638"/>
      <c r="D16" s="3625"/>
      <c r="E16" s="131" t="s">
        <v>1279</v>
      </c>
      <c r="F16" s="1757"/>
      <c r="G16" s="1757"/>
      <c r="H16" s="1757"/>
      <c r="I16" s="1373"/>
    </row>
    <row r="17" spans="1:36" ht="15">
      <c r="A17" s="1758" t="s">
        <v>1280</v>
      </c>
      <c r="B17" s="56"/>
      <c r="C17" s="132">
        <f>SUM(C5:C16)</f>
        <v>4</v>
      </c>
      <c r="D17" s="132">
        <f>SUM(D5:D16)</f>
        <v>6</v>
      </c>
      <c r="E17" s="129"/>
      <c r="F17" s="129"/>
      <c r="G17" s="129"/>
      <c r="H17" s="129"/>
      <c r="I17" s="129"/>
      <c r="K17" s="302"/>
      <c r="L17" s="302" t="s">
        <v>1281</v>
      </c>
      <c r="M17" s="302" t="s">
        <v>1282</v>
      </c>
    </row>
    <row r="18" spans="1:36" ht="31.9" customHeight="1" thickBot="1">
      <c r="A18" s="1759" t="s">
        <v>1283</v>
      </c>
      <c r="B18" s="1760"/>
      <c r="C18" s="133">
        <f>ROUND(C17/SUM(C17:D17),2)</f>
        <v>0.4</v>
      </c>
      <c r="D18" s="133">
        <f>1-C18</f>
        <v>0.6</v>
      </c>
      <c r="E18" s="3656" t="s">
        <v>2126</v>
      </c>
      <c r="F18" s="3657"/>
      <c r="G18" s="3657"/>
      <c r="H18" s="3657"/>
      <c r="I18" s="3657"/>
      <c r="K18" s="302" t="s">
        <v>1284</v>
      </c>
      <c r="L18" s="302">
        <f>IF(C1="",'数据-汇总表'!E3,SUMIF(项目类型,C1,'数据-汇总表'!E17:E26)+SUMIF(项目类型,C1,'数据-汇总表'!I17:I26))</f>
        <v>3962.1600000000008</v>
      </c>
      <c r="M18" s="302">
        <f>IF(C1="",'数据-汇总表'!E3,SUMIF(项目类型,C1,'数据-汇总表'!E17:E26))</f>
        <v>3962.1600000000008</v>
      </c>
    </row>
    <row r="19" spans="1:36" ht="15">
      <c r="A19" s="1761" t="s">
        <v>1285</v>
      </c>
      <c r="B19" s="1762" t="s">
        <v>1286</v>
      </c>
      <c r="C19" s="134">
        <f ca="1">SUMIF(INDIRECT("'"&amp;C4&amp;"'"&amp;"!A:A"),'结果表(地下商业)'!B19,INDIRECT("'"&amp;C4&amp;"'"&amp;"!B:B"))</f>
        <v>15078</v>
      </c>
      <c r="D19" s="135">
        <f ca="1">SUMIF(INDIRECT("'"&amp;D4&amp;"'"&amp;"!A:A"),'结果表(地下商业)'!B19,INDIRECT("'"&amp;D4&amp;"'"&amp;"!B:B"))</f>
        <v>9572</v>
      </c>
      <c r="E19" s="1761" t="s">
        <v>1287</v>
      </c>
      <c r="F19" s="1762" t="s">
        <v>1286</v>
      </c>
      <c r="G19" s="136">
        <f ca="1">ROUND(C19*$C$18+D19*$D$18,0)</f>
        <v>11774</v>
      </c>
      <c r="H19" s="1763" t="s">
        <v>1288</v>
      </c>
      <c r="I19" s="129"/>
      <c r="K19" s="302" t="s">
        <v>1289</v>
      </c>
      <c r="L19" s="302">
        <f>IF(C1="",'数据-汇总表'!D3,SUMIF(项目类型,C1,'数据-汇总表'!D17:D26)+SUMIF(项目类型,C1,'数据-汇总表'!H17:H27))</f>
        <v>566.84</v>
      </c>
      <c r="M19" s="302">
        <f>IF(C1="",'数据-汇总表'!D3,SUMIF(项目类型,C1,'数据-汇总表'!D17:D26))</f>
        <v>566.84</v>
      </c>
    </row>
    <row r="20" spans="1:36" ht="15">
      <c r="A20" s="1764"/>
      <c r="B20" s="1026" t="s">
        <v>1290</v>
      </c>
      <c r="C20" s="137">
        <f ca="1">SUMIF(INDIRECT("'"&amp;C4&amp;"'"&amp;"!A:A"),'结果表(地下商业)'!B20,INDIRECT("'"&amp;C4&amp;"'"&amp;"!B:B"))</f>
        <v>38055</v>
      </c>
      <c r="D20" s="138">
        <f ca="1">SUMIF(INDIRECT("'"&amp;D4&amp;"'"&amp;"!A:A"),'结果表(地下商业)'!B20,INDIRECT("'"&amp;D4&amp;"'"&amp;"!B:B"))</f>
        <v>24159</v>
      </c>
      <c r="E20" s="1764"/>
      <c r="F20" s="1026" t="s">
        <v>1290</v>
      </c>
      <c r="G20" s="139">
        <f ca="1">ROUND(C20*$C$18+D20*$D$18,0)</f>
        <v>29717</v>
      </c>
      <c r="H20" s="808" t="s">
        <v>1291</v>
      </c>
      <c r="I20" s="129"/>
    </row>
    <row r="21" spans="1:36" ht="15" customHeight="1" thickBot="1">
      <c r="A21" s="828"/>
      <c r="B21" s="1765" t="s">
        <v>1292</v>
      </c>
      <c r="C21" s="719">
        <f ca="1">ROUND(C19*10000/L19,0)</f>
        <v>266001</v>
      </c>
      <c r="D21" s="720">
        <f ca="1">ROUND(D19*10000/L19,0)</f>
        <v>168866</v>
      </c>
      <c r="E21" s="828"/>
      <c r="F21" s="1765" t="s">
        <v>1292</v>
      </c>
      <c r="G21" s="140">
        <f ca="1">ROUND(G19*10000/L19,0)</f>
        <v>207713</v>
      </c>
      <c r="H21" s="1766" t="s">
        <v>1291</v>
      </c>
      <c r="I21" s="129"/>
    </row>
    <row r="22" spans="1:36" ht="15" thickBot="1">
      <c r="A22" s="1688" t="s">
        <v>1293</v>
      </c>
      <c r="B22" s="1767"/>
      <c r="C22" s="1768"/>
      <c r="D22" s="721">
        <f ca="1">IF(C19&lt;D19,D19/C19-1,C19/D19-1)</f>
        <v>0.57521938988717092</v>
      </c>
      <c r="E22" s="129"/>
      <c r="F22" s="129"/>
      <c r="G22" s="129"/>
      <c r="H22" s="129"/>
      <c r="I22" s="129"/>
    </row>
    <row r="23" spans="1:36" ht="13.5" thickBot="1">
      <c r="A23" s="1747"/>
      <c r="B23" s="1747"/>
      <c r="C23" s="1747"/>
      <c r="D23" s="1747"/>
      <c r="E23" s="129"/>
      <c r="F23" s="129"/>
      <c r="G23" s="129"/>
      <c r="H23" s="129"/>
      <c r="I23" s="129"/>
    </row>
    <row r="24" spans="1:36" ht="14.25">
      <c r="A24" s="3649" t="s">
        <v>1294</v>
      </c>
      <c r="B24" s="1762" t="s">
        <v>1286</v>
      </c>
      <c r="C24" s="136">
        <f>IF(B30=0,0,D30)</f>
        <v>0</v>
      </c>
      <c r="D24" s="1769"/>
      <c r="E24" s="129"/>
      <c r="F24" s="129"/>
      <c r="G24" s="129"/>
      <c r="H24" s="129">
        <f>'数据-取费表'!AH10*45</f>
        <v>17640</v>
      </c>
      <c r="I24" s="129"/>
    </row>
    <row r="25" spans="1:36" ht="14.25">
      <c r="A25" s="3650"/>
      <c r="B25" s="1026" t="s">
        <v>1290</v>
      </c>
      <c r="C25" s="141">
        <f>IF(B30=0,0,C30)</f>
        <v>0</v>
      </c>
      <c r="D25" s="1770"/>
      <c r="E25" s="129"/>
      <c r="F25" s="129"/>
      <c r="G25" s="129"/>
      <c r="H25" s="129"/>
      <c r="I25" s="129"/>
    </row>
    <row r="26" spans="1:36" ht="13.5" customHeight="1">
      <c r="A26" s="1771" t="s">
        <v>1295</v>
      </c>
      <c r="B26" s="142" t="s">
        <v>1296</v>
      </c>
      <c r="C26" s="142" t="s">
        <v>1297</v>
      </c>
      <c r="D26" s="143" t="s">
        <v>1298</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1299</v>
      </c>
      <c r="B30" s="142"/>
      <c r="C30" s="142"/>
      <c r="D30" s="142"/>
      <c r="E30" s="2303" t="s">
        <v>2127</v>
      </c>
      <c r="F30" s="129"/>
      <c r="G30" s="129"/>
      <c r="H30" s="129"/>
      <c r="I30" s="129"/>
    </row>
    <row r="31" spans="1:36" s="2309" customFormat="1" ht="26.45" customHeight="1" thickTop="1" thickBot="1">
      <c r="A31" s="2304"/>
      <c r="B31" s="2305"/>
      <c r="C31" s="2305"/>
      <c r="D31" s="2305"/>
      <c r="E31" s="2305"/>
      <c r="F31" s="2305"/>
      <c r="G31" s="2305"/>
      <c r="H31" s="2305"/>
      <c r="I31" s="2306" t="s">
        <v>2128</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1300</v>
      </c>
      <c r="B32" s="1774"/>
      <c r="C32" s="144">
        <f ca="1">IF(D32="总价",G19-C24,G20-C25)</f>
        <v>11774</v>
      </c>
      <c r="D32" s="1775" t="s">
        <v>3533</v>
      </c>
      <c r="E32" s="129"/>
      <c r="F32" s="129"/>
      <c r="G32" s="129"/>
      <c r="H32" s="129"/>
      <c r="I32" s="129"/>
    </row>
    <row r="33" spans="1:15" ht="15">
      <c r="A33" s="786" t="s">
        <v>1301</v>
      </c>
      <c r="B33" s="1776"/>
      <c r="C33" s="1777"/>
      <c r="D33" s="1778"/>
      <c r="E33" s="1779" t="s">
        <v>1302</v>
      </c>
      <c r="F33" s="1780" t="str">
        <f>IF(D32="楼面单价","取值（单价）","取值（总价）")</f>
        <v>取值（总价）</v>
      </c>
      <c r="G33" s="129"/>
      <c r="H33" s="129"/>
      <c r="I33" s="129"/>
    </row>
    <row r="34" spans="1:15" ht="15">
      <c r="A34" s="1781"/>
      <c r="B34" s="1782" t="s">
        <v>1303</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1304</v>
      </c>
      <c r="F34" s="1330"/>
      <c r="G34" s="129"/>
      <c r="H34" s="129"/>
      <c r="I34" s="129"/>
    </row>
    <row r="35" spans="1:15" ht="15.75" thickBot="1">
      <c r="A35" s="1784"/>
      <c r="B35" s="1785" t="s">
        <v>1305</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1306</v>
      </c>
      <c r="F35" s="154"/>
      <c r="G35" s="129"/>
      <c r="H35" s="129"/>
      <c r="I35" s="129"/>
    </row>
    <row r="36" spans="1:15" ht="15.75" thickBot="1">
      <c r="A36" s="3626" t="s">
        <v>1307</v>
      </c>
      <c r="B36" s="1787" t="s">
        <v>1308</v>
      </c>
      <c r="C36" s="145"/>
      <c r="D36" s="1788"/>
      <c r="E36" s="1789"/>
      <c r="F36" s="1790"/>
      <c r="G36" s="129"/>
      <c r="H36" s="129"/>
      <c r="I36" s="129"/>
    </row>
    <row r="37" spans="1:15" ht="15.75" thickBot="1">
      <c r="A37" s="3627"/>
      <c r="B37" s="1674" t="s">
        <v>1309</v>
      </c>
      <c r="C37" s="147"/>
      <c r="D37" s="1139"/>
      <c r="E37" s="1139"/>
      <c r="F37" s="1790"/>
      <c r="G37" s="129"/>
      <c r="H37" s="129"/>
      <c r="I37" s="129"/>
    </row>
    <row r="38" spans="1:15" ht="15.75" thickBot="1">
      <c r="A38" s="3628"/>
      <c r="B38" s="1791" t="s">
        <v>1310</v>
      </c>
      <c r="C38" s="674"/>
      <c r="D38" s="1792" t="s">
        <v>1311</v>
      </c>
      <c r="E38" s="1139"/>
      <c r="F38" s="1790"/>
      <c r="G38" s="129"/>
      <c r="H38" s="129"/>
      <c r="I38" s="129"/>
    </row>
    <row r="39" spans="1:15" ht="15">
      <c r="A39" s="1764" t="s">
        <v>1312</v>
      </c>
      <c r="B39" s="1793" t="s">
        <v>1296</v>
      </c>
      <c r="C39" s="1794" t="s">
        <v>1297</v>
      </c>
      <c r="D39" s="1794" t="s">
        <v>1315</v>
      </c>
      <c r="E39" s="1795" t="s">
        <v>1298</v>
      </c>
      <c r="F39" s="1790"/>
      <c r="G39" s="129"/>
      <c r="H39" s="129"/>
      <c r="I39" s="129"/>
    </row>
    <row r="40" spans="1:15" ht="14.25">
      <c r="A40" s="1796" t="s">
        <v>1317</v>
      </c>
      <c r="B40" s="149"/>
      <c r="C40" s="150"/>
      <c r="D40" s="150"/>
      <c r="E40" s="151"/>
      <c r="F40" s="1790"/>
      <c r="G40" s="129"/>
      <c r="H40" s="129"/>
      <c r="I40" s="129"/>
    </row>
    <row r="41" spans="1:15" ht="14.25">
      <c r="A41" s="1796" t="s">
        <v>1318</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1319</v>
      </c>
      <c r="B44" s="1801"/>
      <c r="C44" s="1801"/>
      <c r="D44" s="1802"/>
      <c r="E44" s="1802"/>
      <c r="F44" s="1803"/>
      <c r="G44" s="1803"/>
      <c r="H44" s="1803"/>
      <c r="I44" s="1803"/>
      <c r="J44" s="1804" t="s">
        <v>1320</v>
      </c>
      <c r="K44" s="1805"/>
      <c r="L44" s="1805"/>
      <c r="M44" s="1805"/>
      <c r="N44" s="1805"/>
      <c r="O44" s="1805"/>
    </row>
    <row r="45" spans="1:15" ht="14.25" customHeight="1" thickBot="1">
      <c r="A45" s="3646" t="s">
        <v>1321</v>
      </c>
      <c r="B45" s="3647"/>
      <c r="C45" s="3648"/>
      <c r="D45" s="155">
        <f ca="1">ROUND(H101*F45,0)</f>
        <v>11774</v>
      </c>
      <c r="E45" s="156" t="s">
        <v>1322</v>
      </c>
      <c r="F45" s="157">
        <v>1</v>
      </c>
      <c r="G45" s="158" t="s">
        <v>1323</v>
      </c>
      <c r="H45" s="129"/>
      <c r="I45" s="129"/>
      <c r="J45" s="3566" t="s">
        <v>1324</v>
      </c>
      <c r="K45" s="3566"/>
      <c r="L45" s="3566"/>
      <c r="M45" s="3566"/>
      <c r="N45" s="3566"/>
      <c r="O45" s="3566"/>
    </row>
    <row r="46" spans="1:15" ht="14.25" customHeight="1">
      <c r="A46" s="3643" t="s">
        <v>1325</v>
      </c>
      <c r="B46" s="3644"/>
      <c r="C46" s="3644"/>
      <c r="D46" s="3644"/>
      <c r="E46" s="3644"/>
      <c r="F46" s="3644"/>
      <c r="G46" s="3645"/>
      <c r="H46" s="1806"/>
      <c r="I46" s="159"/>
      <c r="J46" s="3457">
        <v>1</v>
      </c>
      <c r="K46" s="3567" t="s">
        <v>1326</v>
      </c>
      <c r="L46" s="3567"/>
      <c r="M46" s="3568"/>
      <c r="N46" s="3568"/>
      <c r="O46" s="3568"/>
    </row>
    <row r="47" spans="1:15" ht="12" customHeight="1">
      <c r="A47" s="160" t="s">
        <v>1327</v>
      </c>
      <c r="B47" s="161"/>
      <c r="C47" s="162"/>
      <c r="D47" s="1087" t="s">
        <v>1328</v>
      </c>
      <c r="E47" s="302" t="s">
        <v>1329</v>
      </c>
      <c r="F47" s="163" t="s">
        <v>1330</v>
      </c>
      <c r="G47" s="2546" t="s">
        <v>1331</v>
      </c>
      <c r="H47" s="2547"/>
      <c r="I47" s="159"/>
      <c r="J47" s="3457">
        <v>2</v>
      </c>
      <c r="K47" s="3567" t="s">
        <v>1332</v>
      </c>
      <c r="L47" s="3567"/>
      <c r="M47" s="3569">
        <f>'数据-取费表'!B2</f>
        <v>45142</v>
      </c>
      <c r="N47" s="3569"/>
      <c r="O47" s="3569"/>
    </row>
    <row r="48" spans="1:15" ht="25.5">
      <c r="A48" s="3629" t="s">
        <v>1333</v>
      </c>
      <c r="B48" s="3630"/>
      <c r="C48" s="3630"/>
      <c r="D48" s="3452" t="b">
        <f>IF(H48="情况1",0,IF(H48="情况2",D52,IF(H48="情况3",D53,IF(H48="情况4",D54))))</f>
        <v>0</v>
      </c>
      <c r="E48" s="3467" t="str">
        <f>IF(H48="情况4","(销售额-原购置价)×税（费）率","销售额×税（费）率")</f>
        <v>销售额×税（费）率</v>
      </c>
      <c r="F48" s="2548">
        <f>IF(H48="情况1","免征",'数据-取费表'!B41)</f>
        <v>5.6000000000000001E-2</v>
      </c>
      <c r="G48" s="2549" t="s">
        <v>1334</v>
      </c>
      <c r="H48" s="2550"/>
      <c r="I48" s="1806"/>
      <c r="J48" s="3457">
        <v>3</v>
      </c>
      <c r="K48" s="3567" t="s">
        <v>1335</v>
      </c>
      <c r="L48" s="3567"/>
      <c r="M48" s="3570">
        <f ca="1">H101</f>
        <v>11774</v>
      </c>
      <c r="N48" s="3570"/>
      <c r="O48" s="3570"/>
    </row>
    <row r="49" spans="1:35" ht="25.5" customHeight="1">
      <c r="A49" s="3466" t="s">
        <v>1336</v>
      </c>
      <c r="B49" s="3615" t="s">
        <v>1337</v>
      </c>
      <c r="C49" s="3615"/>
      <c r="D49" s="1590">
        <v>0</v>
      </c>
      <c r="E49" s="324" t="s">
        <v>1338</v>
      </c>
      <c r="F49" s="3450" t="s">
        <v>28</v>
      </c>
      <c r="G49" s="3598"/>
      <c r="H49" s="2310" t="s">
        <v>2129</v>
      </c>
      <c r="I49" s="2311"/>
      <c r="J49" s="3457">
        <v>4</v>
      </c>
      <c r="K49" s="3567" t="str">
        <f>IF(项目基本情况!E8="房地产抵押价值","房地产抵押价值","抵押担保权已注销时的房地产抵押价值")</f>
        <v>房地产抵押价值</v>
      </c>
      <c r="L49" s="3567"/>
      <c r="M49" s="3570">
        <f ca="1">IF(项目基本情况!E8="房地产抵押价值",H107,H109)</f>
        <v>11774</v>
      </c>
      <c r="N49" s="3570"/>
      <c r="O49" s="3570"/>
    </row>
    <row r="50" spans="1:35" ht="25.5" customHeight="1">
      <c r="A50" s="2551"/>
      <c r="B50" s="3615" t="s">
        <v>1339</v>
      </c>
      <c r="C50" s="3615"/>
      <c r="D50" s="2552"/>
      <c r="E50" s="332"/>
      <c r="F50" s="3450"/>
      <c r="G50" s="3599"/>
      <c r="H50" s="2312" t="s">
        <v>2130</v>
      </c>
      <c r="I50" s="2311"/>
      <c r="J50" s="3566" t="s">
        <v>1340</v>
      </c>
      <c r="K50" s="3566"/>
      <c r="L50" s="3566"/>
      <c r="M50" s="3566"/>
      <c r="N50" s="3566"/>
      <c r="O50" s="3566"/>
    </row>
    <row r="51" spans="1:35" ht="20.45" customHeight="1">
      <c r="A51" s="2553"/>
      <c r="B51" s="3615" t="s">
        <v>1341</v>
      </c>
      <c r="C51" s="3615"/>
      <c r="D51" s="1087"/>
      <c r="E51" s="327"/>
      <c r="F51" s="3450"/>
      <c r="G51" s="3600"/>
      <c r="H51" s="2312" t="s">
        <v>2131</v>
      </c>
      <c r="I51" s="2311"/>
      <c r="J51" s="3451" t="s">
        <v>1342</v>
      </c>
      <c r="K51" s="3567" t="s">
        <v>1343</v>
      </c>
      <c r="L51" s="3567"/>
      <c r="M51" s="3451" t="s">
        <v>1344</v>
      </c>
      <c r="N51" s="3451" t="s">
        <v>1345</v>
      </c>
      <c r="O51" s="3451" t="s">
        <v>1346</v>
      </c>
    </row>
    <row r="52" spans="1:35" ht="24" customHeight="1">
      <c r="A52" s="3469" t="s">
        <v>1347</v>
      </c>
      <c r="B52" s="3615" t="s">
        <v>1348</v>
      </c>
      <c r="C52" s="3615"/>
      <c r="D52" s="1087">
        <f ca="1">ROUND(D45*'数据-取费表'!B41/(1+'数据-取费表'!C42),0)</f>
        <v>628</v>
      </c>
      <c r="E52" s="3467" t="s">
        <v>1349</v>
      </c>
      <c r="F52" s="2554">
        <f>'数据-取费表'!B41</f>
        <v>5.6000000000000001E-2</v>
      </c>
      <c r="G52" s="2555"/>
      <c r="H52" s="2544"/>
      <c r="I52" s="1807"/>
      <c r="J52" s="3457">
        <v>1</v>
      </c>
      <c r="K52" s="3592" t="s">
        <v>1350</v>
      </c>
      <c r="L52" s="3592"/>
      <c r="M52" s="2525" t="b">
        <f>D48</f>
        <v>0</v>
      </c>
      <c r="N52" s="3457" t="str">
        <f>E48</f>
        <v>销售额×税（费）率</v>
      </c>
      <c r="O52" s="2526">
        <f>F48</f>
        <v>5.6000000000000001E-2</v>
      </c>
    </row>
    <row r="53" spans="1:35" ht="12" customHeight="1">
      <c r="A53" s="3469" t="s">
        <v>1351</v>
      </c>
      <c r="B53" s="3616" t="s">
        <v>2286</v>
      </c>
      <c r="C53" s="3617"/>
      <c r="D53" s="1087">
        <f ca="1">ROUND(D45*'数据-取费表'!B41/(1+'数据-取费表'!C42),0)</f>
        <v>628</v>
      </c>
      <c r="E53" s="3467" t="s">
        <v>1349</v>
      </c>
      <c r="F53" s="2554">
        <f>'数据-取费表'!B41</f>
        <v>5.6000000000000001E-2</v>
      </c>
      <c r="G53" s="2555"/>
      <c r="H53" s="2544"/>
      <c r="I53" s="1807"/>
      <c r="J53" s="3457">
        <v>2</v>
      </c>
      <c r="K53" s="3592" t="s">
        <v>1352</v>
      </c>
      <c r="L53" s="3592"/>
      <c r="M53" s="2525">
        <f t="shared" ref="M53:O54" ca="1" si="0">D55</f>
        <v>6</v>
      </c>
      <c r="N53" s="3457" t="str">
        <f t="shared" si="0"/>
        <v>销售额×税（费）率</v>
      </c>
      <c r="O53" s="2526" t="str">
        <f t="shared" si="0"/>
        <v>免征</v>
      </c>
    </row>
    <row r="54" spans="1:35" ht="12" customHeight="1">
      <c r="A54" s="3469" t="s">
        <v>1353</v>
      </c>
      <c r="B54" s="3616" t="s">
        <v>2287</v>
      </c>
      <c r="C54" s="3617"/>
      <c r="D54" s="1087">
        <f ca="1">C68</f>
        <v>628</v>
      </c>
      <c r="E54" s="327" t="s">
        <v>1354</v>
      </c>
      <c r="F54" s="2554">
        <f>'数据-取费表'!B41</f>
        <v>5.6000000000000001E-2</v>
      </c>
      <c r="G54" s="2555"/>
      <c r="H54" s="2556"/>
      <c r="I54" s="1807"/>
      <c r="J54" s="3457">
        <v>3</v>
      </c>
      <c r="K54" s="3592" t="s">
        <v>1355</v>
      </c>
      <c r="L54" s="3592"/>
      <c r="M54" s="2525">
        <f t="shared" ca="1" si="0"/>
        <v>6664</v>
      </c>
      <c r="N54" s="3457" t="str">
        <f t="shared" si="0"/>
        <v>增值额×税（费）率</v>
      </c>
      <c r="O54" s="2527" t="str">
        <f t="shared" si="0"/>
        <v>免征</v>
      </c>
    </row>
    <row r="55" spans="1:35" ht="24" customHeight="1">
      <c r="A55" s="3652" t="s">
        <v>1356</v>
      </c>
      <c r="B55" s="3630"/>
      <c r="C55" s="3630"/>
      <c r="D55" s="3452">
        <f ca="1">IF(H55="个人住宅",0,ROUND(D45*I55,0))</f>
        <v>6</v>
      </c>
      <c r="E55" s="3467" t="s">
        <v>1357</v>
      </c>
      <c r="F55" s="2554" t="str">
        <f>IF(H55="正常",I55,"免征")</f>
        <v>免征</v>
      </c>
      <c r="G55" s="2555"/>
      <c r="H55" s="2550"/>
      <c r="I55" s="165">
        <f>'数据-取费表'!B49</f>
        <v>5.0000000000000001E-4</v>
      </c>
      <c r="J55" s="3457">
        <f>IF(H59="非个人房产","",4)</f>
        <v>4</v>
      </c>
      <c r="K55" s="3592" t="str">
        <f>IF(H59="非个人房产","——","个人所得税")</f>
        <v>个人所得税</v>
      </c>
      <c r="L55" s="3592"/>
      <c r="M55" s="2528">
        <f ca="1">D59</f>
        <v>112</v>
      </c>
      <c r="N55" s="3458" t="str">
        <f>E59</f>
        <v>差额计税</v>
      </c>
      <c r="O55" s="2529">
        <f>F59</f>
        <v>0.01</v>
      </c>
    </row>
    <row r="56" spans="1:35" ht="24.75">
      <c r="A56" s="3652" t="s">
        <v>1358</v>
      </c>
      <c r="B56" s="3630"/>
      <c r="C56" s="3630"/>
      <c r="D56" s="3452">
        <f ca="1">IF(H56="个人住宅",D57,D58)</f>
        <v>6664</v>
      </c>
      <c r="E56" s="3467" t="s">
        <v>1359</v>
      </c>
      <c r="F56" s="2554" t="str">
        <f>IF(H56="正常",F58,"免征")</f>
        <v>免征</v>
      </c>
      <c r="G56" s="2557" t="s">
        <v>1360</v>
      </c>
      <c r="H56" s="2558"/>
      <c r="I56" s="1808"/>
      <c r="J56" s="3457"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3469" t="s">
        <v>1336</v>
      </c>
      <c r="B57" s="3616" t="s">
        <v>1361</v>
      </c>
      <c r="C57" s="3617"/>
      <c r="D57" s="1590">
        <v>0</v>
      </c>
      <c r="E57" s="324" t="s">
        <v>1338</v>
      </c>
      <c r="F57" s="302"/>
      <c r="G57" s="2555"/>
      <c r="H57" s="2559"/>
      <c r="I57" s="1808"/>
      <c r="J57" s="3592">
        <f>IF(AND(J55="",J56=""),4,IF(项目基本情况!K6="上海银行",'结果表(地下商业)'!J56+1,'结果表(地下商业)'!J55+1))</f>
        <v>5</v>
      </c>
      <c r="K57" s="3592" t="s">
        <v>1362</v>
      </c>
      <c r="L57" s="2530" t="s">
        <v>1363</v>
      </c>
      <c r="M57" s="2531"/>
      <c r="N57" s="2532">
        <f ca="1">SUMIF(M52:M56,"&lt;9e307")</f>
        <v>6782</v>
      </c>
      <c r="O57" s="2533"/>
      <c r="P57" s="2690">
        <f ca="1">N57/M49</f>
        <v>0.57601494819092913</v>
      </c>
    </row>
    <row r="58" spans="1:35" ht="24.75">
      <c r="A58" s="3469" t="s">
        <v>1347</v>
      </c>
      <c r="B58" s="3616" t="s">
        <v>1364</v>
      </c>
      <c r="C58" s="3615"/>
      <c r="D58" s="3452">
        <f ca="1">IF(H58="转让取得",C81,C97)</f>
        <v>6664</v>
      </c>
      <c r="E58" s="3467" t="s">
        <v>1359</v>
      </c>
      <c r="F58" s="302" t="s">
        <v>28</v>
      </c>
      <c r="G58" s="2555"/>
      <c r="H58" s="2558"/>
      <c r="I58" s="1808"/>
      <c r="J58" s="3592"/>
      <c r="K58" s="3592"/>
      <c r="L58" s="2530" t="s">
        <v>1365</v>
      </c>
      <c r="M58" s="2534"/>
      <c r="N58" s="2535" t="str">
        <f ca="1">NUMBERSTRING(INT(N57*10000),2)&amp;"元整"</f>
        <v>陆仟柒佰捌拾贰万元整</v>
      </c>
      <c r="O58" s="2536"/>
    </row>
    <row r="59" spans="1:35" ht="24.75" thickBot="1">
      <c r="A59" s="3596" t="s">
        <v>1366</v>
      </c>
      <c r="B59" s="3597"/>
      <c r="C59" s="3597"/>
      <c r="D59" s="2560">
        <f ca="1">IF(H59="非个人房产","——",IF(H59="个人住宅（满五唯一有凭证）",0,IF(H59="个人其他（无凭证）",ROUND(D45*F59,0),ROUND(C67*F59,0))))</f>
        <v>112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1360</v>
      </c>
      <c r="H59" s="2314"/>
      <c r="I59" s="2313" t="s">
        <v>2132</v>
      </c>
      <c r="J59" s="3594">
        <f>J57+1</f>
        <v>6</v>
      </c>
      <c r="K59" s="3592" t="s">
        <v>1367</v>
      </c>
      <c r="L59" s="3457" t="s">
        <v>1363</v>
      </c>
      <c r="M59" s="2537"/>
      <c r="N59" s="2538">
        <f ca="1">M49-N57</f>
        <v>4992</v>
      </c>
      <c r="O59" s="2539"/>
    </row>
    <row r="60" spans="1:35" ht="12" customHeight="1">
      <c r="A60" s="1809"/>
      <c r="B60" s="1747"/>
      <c r="C60" s="1747"/>
      <c r="D60" s="1747"/>
      <c r="E60" s="1578"/>
      <c r="F60" s="1808"/>
      <c r="G60" s="1808"/>
      <c r="H60" s="1810"/>
      <c r="I60" s="129"/>
      <c r="J60" s="3595"/>
      <c r="K60" s="3592"/>
      <c r="L60" s="2530" t="s">
        <v>1365</v>
      </c>
      <c r="M60" s="2534"/>
      <c r="N60" s="2535" t="str">
        <f ca="1">NUMBERSTRING(INT(N59*10000),2)&amp;"元整"</f>
        <v>肆仟玖佰玖拾贰万元整</v>
      </c>
      <c r="O60" s="2536"/>
    </row>
    <row r="61" spans="1:35" ht="13.5" thickBot="1">
      <c r="A61" s="3651" t="s">
        <v>1368</v>
      </c>
      <c r="B61" s="3651"/>
      <c r="C61" s="3651"/>
      <c r="D61" s="3651"/>
      <c r="E61" s="3651"/>
      <c r="F61" s="1808"/>
      <c r="G61" s="1808"/>
      <c r="H61" s="1810"/>
      <c r="I61" s="129"/>
      <c r="J61" s="3457">
        <f>J59+1</f>
        <v>7</v>
      </c>
      <c r="K61" s="3592" t="s">
        <v>1369</v>
      </c>
      <c r="L61" s="3592"/>
      <c r="M61" s="2540"/>
      <c r="N61" s="2541">
        <f ca="1">ROUND(N59*10000/'数据-汇总表'!E3,0)</f>
        <v>742</v>
      </c>
      <c r="O61" s="2542"/>
    </row>
    <row r="62" spans="1:35" ht="12.75">
      <c r="A62" s="3611" t="s">
        <v>1370</v>
      </c>
      <c r="B62" s="3612"/>
      <c r="C62" s="3462"/>
      <c r="D62" s="3462" t="s">
        <v>1371</v>
      </c>
      <c r="E62" s="166" t="s">
        <v>1372</v>
      </c>
      <c r="F62" s="1808"/>
      <c r="G62" s="1808"/>
      <c r="H62" s="1810"/>
      <c r="I62" s="129"/>
    </row>
    <row r="63" spans="1:35" ht="12.75">
      <c r="A63" s="173" t="s">
        <v>330</v>
      </c>
      <c r="B63" s="167" t="s">
        <v>1373</v>
      </c>
      <c r="C63" s="2564">
        <f ca="1">ROUND((C64+C65)/(1+'数据-取费表'!C42),0)</f>
        <v>11213</v>
      </c>
      <c r="D63" s="167"/>
      <c r="E63" s="168"/>
      <c r="F63" s="1808"/>
      <c r="G63" s="1808"/>
      <c r="H63" s="1810"/>
      <c r="I63" s="129"/>
      <c r="J63" s="3575" t="s">
        <v>1374</v>
      </c>
      <c r="K63" s="3453" t="s">
        <v>1375</v>
      </c>
      <c r="L63" s="3453">
        <f ca="1">IF(M49&gt;10000,M49*0.5%,IF(AND(M49&gt;1000,M49&lt;=10000),M49*1%,IF(AND(M49&gt;100,M49&lt;=1000),M49*3%,IF(AND(M49&gt;10,M49&lt;=100),M49*5%,M49*8%))))</f>
        <v>58.870000000000005</v>
      </c>
      <c r="M63" s="302">
        <f ca="1">ROUND(L63,1)</f>
        <v>58.9</v>
      </c>
      <c r="N63" s="2543"/>
      <c r="Z63" s="1752"/>
      <c r="AI63" s="1753"/>
    </row>
    <row r="64" spans="1:35" ht="14.25" customHeight="1">
      <c r="A64" s="169" t="s">
        <v>325</v>
      </c>
      <c r="B64" s="170" t="s">
        <v>1376</v>
      </c>
      <c r="C64" s="2565">
        <f ca="1">D45</f>
        <v>11774</v>
      </c>
      <c r="D64" s="170" t="s">
        <v>26</v>
      </c>
      <c r="E64" s="172"/>
      <c r="F64" s="1808"/>
      <c r="G64" s="1808"/>
      <c r="H64" s="1810"/>
      <c r="I64" s="129"/>
      <c r="J64" s="3575"/>
      <c r="K64" s="3453" t="s">
        <v>1377</v>
      </c>
      <c r="L64" s="3453">
        <f ca="1">IF(M49&gt;2000,M49*0.5%,IF(AND(M49&gt;1000,M49&lt;=2000),M49*0.6%,IF(AND(M49&gt;500,M49&lt;=1000),M49*0.7%,IF(AND(M49&gt;200,M49&lt;=500),M49*0.8%,IF(AND(M49&gt;100,M49&lt;=200),M49*0.9%,IF(AND(M49&gt;50,M49&lt;=100),M49*1%,IF(AND(M49&gt;20,M49&lt;=50),M49*1.5%,IF(AND(M49&gt;10,M49&lt;=20),M49*2%,IF(AND(M49&gt;1,M49&lt;=10),M49*2.5%)))))))))</f>
        <v>58.870000000000005</v>
      </c>
      <c r="M64" s="302">
        <f t="shared" ref="M64:M65" ca="1" si="1">ROUND(L64,1)</f>
        <v>58.9</v>
      </c>
      <c r="N64" s="2544" t="s">
        <v>1378</v>
      </c>
      <c r="Z64" s="1752"/>
      <c r="AI64" s="1753"/>
    </row>
    <row r="65" spans="1:35" ht="14.25" customHeight="1">
      <c r="A65" s="169" t="s">
        <v>326</v>
      </c>
      <c r="B65" s="170" t="s">
        <v>1379</v>
      </c>
      <c r="C65" s="2566"/>
      <c r="D65" s="170"/>
      <c r="E65" s="172"/>
      <c r="F65" s="1808"/>
      <c r="G65" s="1808"/>
      <c r="H65" s="1810"/>
      <c r="I65" s="129"/>
      <c r="J65" s="3575"/>
      <c r="K65" s="3453" t="s">
        <v>1380</v>
      </c>
      <c r="L65" s="3453">
        <f ca="1">IF(M49&gt;1000,M49*0.1%,IF(AND(M49&gt;500,M49&lt;=1000),M49*0.5%,IF(AND(M49&gt;50,M49&lt;=500),M49*1%,IF(AND(M49&gt;1,M49&lt;=50),M49*1.5%))))</f>
        <v>11.774000000000001</v>
      </c>
      <c r="M65" s="302">
        <f t="shared" ca="1" si="1"/>
        <v>11.8</v>
      </c>
      <c r="N65" s="2544" t="s">
        <v>1378</v>
      </c>
      <c r="Z65" s="1752"/>
      <c r="AI65" s="1753"/>
    </row>
    <row r="66" spans="1:35" ht="14.25" customHeight="1">
      <c r="A66" s="173" t="s">
        <v>327</v>
      </c>
      <c r="B66" s="174" t="s">
        <v>1381</v>
      </c>
      <c r="C66" s="2567"/>
      <c r="D66" s="174" t="s">
        <v>26</v>
      </c>
      <c r="E66" s="1338" t="s">
        <v>666</v>
      </c>
      <c r="F66" s="1808"/>
      <c r="G66" s="1808"/>
      <c r="H66" s="1810"/>
      <c r="I66" s="129"/>
      <c r="J66" s="3575"/>
      <c r="K66" s="3453" t="s">
        <v>1382</v>
      </c>
      <c r="L66" s="3453">
        <f ca="1">M49*0.5%</f>
        <v>58.870000000000005</v>
      </c>
      <c r="M66" s="302">
        <f ca="1">IF(L66&gt;0.5,0.5,ROUND(L66,0))</f>
        <v>0.5</v>
      </c>
      <c r="N66" s="2544" t="s">
        <v>1383</v>
      </c>
      <c r="Z66" s="1752"/>
      <c r="AI66" s="1753"/>
    </row>
    <row r="67" spans="1:35" ht="14.25" customHeight="1">
      <c r="A67" s="173" t="s">
        <v>328</v>
      </c>
      <c r="B67" s="174" t="s">
        <v>1384</v>
      </c>
      <c r="C67" s="2568">
        <f ca="1">C63-C66</f>
        <v>11213</v>
      </c>
      <c r="D67" s="170" t="s">
        <v>26</v>
      </c>
      <c r="E67" s="172"/>
      <c r="F67" s="1808"/>
      <c r="G67" s="1808"/>
      <c r="H67" s="1810"/>
      <c r="I67" s="129"/>
      <c r="J67" s="3575"/>
      <c r="K67" s="3453" t="s">
        <v>1385</v>
      </c>
      <c r="L67" s="3453">
        <f ca="1">IF(M49&gt;=10000,(8.25+(M49-10000)*0.01%),IF(AND(M49&gt;=8000,M49&lt;10000),(7.85+(M49-8000)*0.02%),IF(AND(M49&gt;=5000,M49&lt;8000),(6.65+(M49-5000)*0.04%),IF(AND(M49&gt;=2000,M49&lt;5000),(4.25+(PM49-2000)*0.08%),IF(AND(M49&gt;=1000,M49&lt;2000),(2.75+(M49-1000)*0.15%),IF(AND(M49&gt;=100,M49&lt;1000),(0.5+(M49-100)*0.25%),IF(AND(M49&gt;0,M49&lt;100),M49*0.5%)))))))</f>
        <v>8.4274000000000004</v>
      </c>
      <c r="M67" s="302">
        <f ca="1">ROUND(L67*0.9,1)</f>
        <v>7.6</v>
      </c>
      <c r="N67" s="2543"/>
      <c r="Z67" s="1752"/>
      <c r="AI67" s="1753"/>
    </row>
    <row r="68" spans="1:35" ht="14.25" customHeight="1" thickBot="1">
      <c r="A68" s="176" t="s">
        <v>329</v>
      </c>
      <c r="B68" s="177" t="s">
        <v>1386</v>
      </c>
      <c r="C68" s="2569">
        <f ca="1">IF(C67&lt;=0,0,ROUND(C67*D68,0))</f>
        <v>628</v>
      </c>
      <c r="D68" s="2570">
        <f>'数据-取费表'!B41</f>
        <v>5.6000000000000001E-2</v>
      </c>
      <c r="E68" s="178"/>
      <c r="F68" s="1808"/>
      <c r="G68" s="1808"/>
      <c r="H68" s="1810"/>
      <c r="I68" s="129"/>
      <c r="J68" s="3575"/>
      <c r="K68" s="3453" t="s">
        <v>1387</v>
      </c>
      <c r="L68" s="3453">
        <f ca="1">IF(M49&gt;10000,M49*0.5%,IF(AND(M49&gt;5000,M49&lt;=10000),M49*1%,IF(AND(M49&gt;1000,M49&lt;=5000),M49*2%,IF(AND(M49&gt;200,M49&lt;=1000),M49*3%,M49*5%))))</f>
        <v>58.870000000000005</v>
      </c>
      <c r="M68" s="302">
        <f ca="1">ROUND(L68,1)</f>
        <v>58.9</v>
      </c>
      <c r="N68" s="2543"/>
      <c r="Z68" s="1752"/>
      <c r="AI68" s="1753"/>
    </row>
    <row r="69" spans="1:35" s="1772" customFormat="1" ht="16.5" customHeight="1">
      <c r="A69" s="1811"/>
      <c r="B69" s="1812"/>
      <c r="C69" s="1813"/>
      <c r="D69" s="1814"/>
      <c r="E69" s="1815"/>
      <c r="F69" s="1578"/>
      <c r="G69" s="1578"/>
      <c r="H69" s="1577"/>
      <c r="I69" s="1747"/>
      <c r="J69" s="3575"/>
      <c r="K69" s="3453" t="s">
        <v>1388</v>
      </c>
      <c r="L69" s="3453"/>
      <c r="M69" s="302">
        <f ca="1">ROUND(SUM(M63:M68),0)</f>
        <v>197</v>
      </c>
      <c r="N69" s="2545">
        <f ca="1">M69/M49</f>
        <v>1.6731781892305078E-2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1389</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1370</v>
      </c>
      <c r="B71" s="3612"/>
      <c r="C71" s="3462"/>
      <c r="D71" s="3462" t="s">
        <v>1371</v>
      </c>
      <c r="E71" s="179" t="s">
        <v>1372</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1390</v>
      </c>
      <c r="C72" s="2568">
        <f ca="1">ROUND(D45/(1+'数据-取费表'!C42),0)</f>
        <v>11213</v>
      </c>
      <c r="D72" s="170" t="s">
        <v>26</v>
      </c>
      <c r="E72" s="3464"/>
      <c r="F72" s="3463"/>
      <c r="G72" s="3463"/>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1391</v>
      </c>
      <c r="C73" s="2568">
        <f ca="1">C74+C78</f>
        <v>67</v>
      </c>
      <c r="D73" s="170" t="s">
        <v>26</v>
      </c>
      <c r="E73" s="3464"/>
      <c r="F73" s="3463"/>
      <c r="G73" s="346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1392</v>
      </c>
      <c r="C74" s="170">
        <f>ROUND(IF(G77="2016年5月1日后购买",C75/(1+'数据-取费表'!C42)+C76+C77,C75+C76+C77),0)</f>
        <v>0</v>
      </c>
      <c r="D74" s="170" t="s">
        <v>26</v>
      </c>
      <c r="E74" s="3464"/>
      <c r="F74" s="3463"/>
      <c r="G74" s="346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1393</v>
      </c>
      <c r="C75" s="2571"/>
      <c r="D75" s="170" t="s">
        <v>26</v>
      </c>
      <c r="E75" s="184" t="s">
        <v>1394</v>
      </c>
      <c r="F75" s="2572"/>
      <c r="G75" s="184" t="s">
        <v>1395</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1396</v>
      </c>
      <c r="C76" s="170">
        <f>IF(F75="购房发票",ROUND(C75*H75*D76,0),0)</f>
        <v>0</v>
      </c>
      <c r="D76" s="2574">
        <v>0.05</v>
      </c>
      <c r="E76" s="3616" t="s">
        <v>1397</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1398</v>
      </c>
      <c r="C77" s="170">
        <f>ROUND(IF(G77="个人住宅",0,IF(G77="2016年5月1日前购买",C75*D77,C75*D77/(1+'数据-取费表'!C42))),0)</f>
        <v>0</v>
      </c>
      <c r="D77" s="2575">
        <f>'数据-取费表'!B48+'数据-取费表'!B49</f>
        <v>3.0499999999999999E-2</v>
      </c>
      <c r="E77" s="3452" t="s">
        <v>1399</v>
      </c>
      <c r="F77" s="186"/>
      <c r="G77" s="1822"/>
      <c r="H77" s="346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1400</v>
      </c>
      <c r="C78" s="2576">
        <f ca="1">ROUND(D45*D78/(1+'数据-取费表'!C42),0)</f>
        <v>67</v>
      </c>
      <c r="D78" s="2577">
        <f>'数据-取费表'!B43</f>
        <v>6.000000000000001E-3</v>
      </c>
      <c r="E78" s="3608" t="s">
        <v>1401</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1402</v>
      </c>
      <c r="C79" s="2568">
        <f ca="1">C72-C73</f>
        <v>11146</v>
      </c>
      <c r="D79" s="170" t="s">
        <v>26</v>
      </c>
      <c r="E79" s="3464"/>
      <c r="F79" s="3463"/>
      <c r="G79" s="346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1403</v>
      </c>
      <c r="C80" s="2578">
        <f ca="1">IF(C79&lt;=0,0,C79/C73)</f>
        <v>166.35820895522389</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3"/>
      <c r="G80" s="346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1404</v>
      </c>
      <c r="C81" s="2579">
        <f ca="1">ROUND(IF(C79&lt;=0,0,IF(C80&gt;=200%,C79*60%-C73*35%,IF(C80&gt;=100%,C79*50%-C73*15%,IF(C80&gt;=50%,C79*40%-C73*5%,IF(C80&lt;50%,C79*30%,0))))),0)</f>
        <v>6664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1405</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1370</v>
      </c>
      <c r="B84" s="3612"/>
      <c r="C84" s="3462"/>
      <c r="D84" s="3462" t="s">
        <v>1371</v>
      </c>
      <c r="E84" s="179" t="s">
        <v>1372</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1390</v>
      </c>
      <c r="C85" s="2568">
        <f ca="1">ROUND(D45/(1+'数据-取费表'!C42),0)</f>
        <v>11213</v>
      </c>
      <c r="D85" s="170" t="s">
        <v>26</v>
      </c>
      <c r="E85" s="3464"/>
      <c r="F85" s="3463"/>
      <c r="G85" s="346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1391</v>
      </c>
      <c r="C86" s="2568">
        <f ca="1">IF(H88="仅含出让金",C87+C90+C91+C92+C93+C94,C87+C91+C92+C93+C94)</f>
        <v>67</v>
      </c>
      <c r="D86" s="2581"/>
      <c r="E86" s="3464"/>
      <c r="F86" s="3463"/>
      <c r="G86" s="346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1406</v>
      </c>
      <c r="C87" s="2576">
        <f>C88+C89</f>
        <v>0</v>
      </c>
      <c r="D87" s="2577"/>
      <c r="E87" s="3459"/>
      <c r="F87" s="3460"/>
      <c r="G87" s="3460"/>
      <c r="H87" s="346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1407</v>
      </c>
      <c r="C88" s="2582"/>
      <c r="D88" s="2577"/>
      <c r="E88" s="193" t="s">
        <v>1408</v>
      </c>
      <c r="F88" s="3460"/>
      <c r="G88" s="194" t="s">
        <v>1409</v>
      </c>
      <c r="H88" s="1824"/>
      <c r="I88" s="1821"/>
      <c r="J88" s="2521"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1398</v>
      </c>
      <c r="C89" s="2576">
        <f>ROUND(C88*D89,0)</f>
        <v>0</v>
      </c>
      <c r="D89" s="2577">
        <f>'数据-取费表'!B48+'数据-取费表'!B49</f>
        <v>3.0499999999999999E-2</v>
      </c>
      <c r="E89" s="193" t="s">
        <v>1410</v>
      </c>
      <c r="F89" s="3460"/>
      <c r="G89" s="3460"/>
      <c r="H89" s="346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1411</v>
      </c>
      <c r="C90" s="2582"/>
      <c r="D90" s="2577"/>
      <c r="E90" s="193" t="str">
        <f>IF(H88="-","土地取得成本中已包含该笔费用"," ")</f>
        <v xml:space="preserve"> </v>
      </c>
      <c r="F90" s="3460"/>
      <c r="G90" s="3577" t="s">
        <v>2124</v>
      </c>
      <c r="H90" s="3578"/>
      <c r="I90" s="1821"/>
      <c r="J90" s="2521"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1412</v>
      </c>
      <c r="B91" s="170" t="s">
        <v>1413</v>
      </c>
      <c r="C91" s="2576">
        <f>IF(H91="——",成本法!C33,I91)</f>
        <v>0</v>
      </c>
      <c r="D91" s="2577"/>
      <c r="E91" s="3608" t="s">
        <v>1414</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1415</v>
      </c>
      <c r="B92" s="170" t="s">
        <v>1416</v>
      </c>
      <c r="C92" s="2576">
        <f>ROUND((C87+C90+C91)*D92,0)</f>
        <v>0</v>
      </c>
      <c r="D92" s="2583"/>
      <c r="E92" s="3608" t="s">
        <v>1417</v>
      </c>
      <c r="F92" s="3609"/>
      <c r="G92" s="3609"/>
      <c r="H92" s="3610"/>
      <c r="I92" s="1821"/>
      <c r="J92" s="2522"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1418</v>
      </c>
      <c r="B93" s="170" t="s">
        <v>1400</v>
      </c>
      <c r="C93" s="2576">
        <f ca="1">ROUND(D45*D93/(1+'数据-取费表'!C42),0)</f>
        <v>67</v>
      </c>
      <c r="D93" s="2577">
        <f>'数据-取费表'!B43</f>
        <v>6.000000000000001E-3</v>
      </c>
      <c r="E93" s="3608" t="s">
        <v>1401</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1419</v>
      </c>
      <c r="B94" s="170" t="s">
        <v>1420</v>
      </c>
      <c r="C94" s="2582">
        <f>ROUND((C87+C90+C91)*D94,0)</f>
        <v>0</v>
      </c>
      <c r="D94" s="2577">
        <v>0.2</v>
      </c>
      <c r="E94" s="3653" t="s">
        <v>1421</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1402</v>
      </c>
      <c r="C95" s="2568">
        <f ca="1">ROUND(C85-C86,0)</f>
        <v>11146</v>
      </c>
      <c r="D95" s="170" t="s">
        <v>26</v>
      </c>
      <c r="E95" s="3464"/>
      <c r="F95" s="3463"/>
      <c r="G95" s="346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1403</v>
      </c>
      <c r="C96" s="2578">
        <f ca="1">IF(C95&lt;=0,0,C95/C86)</f>
        <v>166.35820895522389</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3"/>
      <c r="G96" s="346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1404</v>
      </c>
      <c r="C97" s="2579">
        <f ca="1">ROUND(IF(C95&lt;=0,0,IF(C96&gt;=200%,C95*60%-C86*35%,IF(C96&gt;=100%,C95*50%-C86*15%,IF(C96&gt;=50%,C95*40%-C86*5%,IF(C96&lt;50%,C95*30%,0))))),0)</f>
        <v>6664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1422</v>
      </c>
      <c r="B99" s="1747"/>
      <c r="C99" s="1747"/>
      <c r="D99" s="1747"/>
      <c r="E99" s="1578"/>
      <c r="F99" s="1578"/>
      <c r="G99" s="1578"/>
      <c r="H99" s="1577"/>
      <c r="I99" s="129"/>
    </row>
    <row r="100" spans="1:35" ht="18.75" customHeight="1">
      <c r="A100" s="3558" t="s">
        <v>1423</v>
      </c>
      <c r="B100" s="3559"/>
      <c r="C100" s="3559"/>
      <c r="D100" s="3593"/>
      <c r="E100" s="3559" t="s">
        <v>1424</v>
      </c>
      <c r="F100" s="3559"/>
      <c r="G100" s="3559"/>
      <c r="H100" s="3593"/>
      <c r="I100" s="129"/>
    </row>
    <row r="101" spans="1:35" ht="18.75" customHeight="1">
      <c r="A101" s="3601" t="s">
        <v>1425</v>
      </c>
      <c r="B101" s="3602"/>
      <c r="C101" s="2585" t="str">
        <f>C4</f>
        <v>成本法</v>
      </c>
      <c r="D101" s="2586" t="str">
        <f>D4</f>
        <v>收益法(地下商业)</v>
      </c>
      <c r="E101" s="3571" t="s">
        <v>1426</v>
      </c>
      <c r="F101" s="3572"/>
      <c r="G101" s="1827" t="s">
        <v>1427</v>
      </c>
      <c r="H101" s="2595">
        <f ca="1">H118</f>
        <v>11774</v>
      </c>
      <c r="I101" s="129"/>
    </row>
    <row r="102" spans="1:35" ht="18.75" customHeight="1">
      <c r="A102" s="3603" t="s">
        <v>1428</v>
      </c>
      <c r="B102" s="2584" t="s">
        <v>1427</v>
      </c>
      <c r="C102" s="2585">
        <f ca="1">IF(D32="楼面单价",ROUND(C19,0),C19)</f>
        <v>15078</v>
      </c>
      <c r="D102" s="2586">
        <f ca="1">IF(D32="楼面单价",ROUND(D19,0),D19)</f>
        <v>9572</v>
      </c>
      <c r="E102" s="3571"/>
      <c r="F102" s="3572"/>
      <c r="G102" s="1827" t="s">
        <v>1429</v>
      </c>
      <c r="H102" s="2555">
        <f ca="1">I118</f>
        <v>29716</v>
      </c>
      <c r="I102" s="129"/>
    </row>
    <row r="103" spans="1:35" ht="42.75" customHeight="1">
      <c r="A103" s="3603"/>
      <c r="B103" s="2584" t="s">
        <v>1429</v>
      </c>
      <c r="C103" s="2587">
        <f ca="1">C20</f>
        <v>38055</v>
      </c>
      <c r="D103" s="2588">
        <f ca="1">D20</f>
        <v>24159</v>
      </c>
      <c r="E103" s="3564" t="s">
        <v>1430</v>
      </c>
      <c r="F103" s="3565"/>
      <c r="G103" s="1828" t="s">
        <v>1431</v>
      </c>
      <c r="H103" s="2595">
        <f>IF(D36="正常操作",H104+H105+H106,H105+H106)</f>
        <v>0</v>
      </c>
      <c r="I103" s="129"/>
    </row>
    <row r="104" spans="1:35" ht="18.75" customHeight="1">
      <c r="A104" s="3603" t="s">
        <v>1432</v>
      </c>
      <c r="B104" s="2589" t="s">
        <v>1427</v>
      </c>
      <c r="C104" s="2590">
        <f ca="1">H118</f>
        <v>11774</v>
      </c>
      <c r="D104" s="2591"/>
      <c r="E104" s="1674" t="s">
        <v>1433</v>
      </c>
      <c r="F104" s="1666"/>
      <c r="G104" s="1828" t="s">
        <v>1431</v>
      </c>
      <c r="H104" s="2596">
        <f>IF(D36="同一抵押权人同一抵押物续贷",C36&amp;"（续贷，未扣减，详见特别提示）",C36)</f>
        <v>0</v>
      </c>
      <c r="I104" s="129"/>
    </row>
    <row r="105" spans="1:35" ht="18.75" customHeight="1" thickBot="1">
      <c r="A105" s="3613"/>
      <c r="B105" s="2592" t="s">
        <v>1429</v>
      </c>
      <c r="C105" s="2593">
        <f ca="1">I118</f>
        <v>29716</v>
      </c>
      <c r="D105" s="2594"/>
      <c r="E105" s="1674" t="s">
        <v>1434</v>
      </c>
      <c r="F105" s="1666"/>
      <c r="G105" s="1828" t="s">
        <v>1431</v>
      </c>
      <c r="H105" s="2597">
        <f>C37</f>
        <v>0</v>
      </c>
      <c r="I105" s="129"/>
    </row>
    <row r="106" spans="1:35" ht="18.75" customHeight="1">
      <c r="A106" s="1747" t="s">
        <v>1435</v>
      </c>
      <c r="B106" s="1747"/>
      <c r="C106" s="1747"/>
      <c r="D106" s="1747"/>
      <c r="E106" s="1829" t="s">
        <v>1436</v>
      </c>
      <c r="F106" s="1666"/>
      <c r="G106" s="1828" t="s">
        <v>1431</v>
      </c>
      <c r="H106" s="2597">
        <f>C38</f>
        <v>0</v>
      </c>
      <c r="I106" s="129"/>
    </row>
    <row r="107" spans="1:35" ht="18.75" customHeight="1">
      <c r="A107" s="129"/>
      <c r="B107" s="129"/>
      <c r="C107" s="129"/>
      <c r="D107" s="129"/>
      <c r="E107" s="3604" t="str">
        <f>IF(项目基本情况!E8="已注销","——","3.房地产抵押价值")</f>
        <v>3.房地产抵押价值</v>
      </c>
      <c r="F107" s="3572"/>
      <c r="G107" s="1827" t="s">
        <v>1427</v>
      </c>
      <c r="H107" s="2595">
        <f ca="1">IF(E107="——","——",H101-H103)</f>
        <v>11774</v>
      </c>
      <c r="I107" s="129"/>
    </row>
    <row r="108" spans="1:35" ht="18.75" customHeight="1">
      <c r="A108" s="129"/>
      <c r="B108" s="129"/>
      <c r="C108" s="129"/>
      <c r="D108" s="129"/>
      <c r="E108" s="3604"/>
      <c r="F108" s="3572"/>
      <c r="G108" s="1827" t="s">
        <v>1429</v>
      </c>
      <c r="H108" s="2555">
        <f ca="1">IF(H107=H101,H102,ROUND(H107*10000/'数据-汇总表'!E3,0))</f>
        <v>29716</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1427</v>
      </c>
      <c r="H109" s="2598" t="str">
        <f>IF(E109="——","——",H101-H105-H106)</f>
        <v>——</v>
      </c>
      <c r="I109" s="129"/>
    </row>
    <row r="110" spans="1:35" ht="18.75" customHeight="1">
      <c r="A110" s="129"/>
      <c r="B110" s="129"/>
      <c r="C110" s="129"/>
      <c r="D110" s="129"/>
      <c r="E110" s="3604"/>
      <c r="F110" s="3572"/>
      <c r="G110" s="1827" t="s">
        <v>1429</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1427</v>
      </c>
      <c r="H111" s="2595" t="str">
        <f>IF(E111="——","——",N59)</f>
        <v>——</v>
      </c>
      <c r="I111" s="129"/>
    </row>
    <row r="112" spans="1:35" ht="18.75" customHeight="1" thickBot="1">
      <c r="A112" s="129"/>
      <c r="B112" s="129"/>
      <c r="C112" s="129"/>
      <c r="D112" s="129"/>
      <c r="E112" s="3606"/>
      <c r="F112" s="3607"/>
      <c r="G112" s="1830" t="s">
        <v>1429</v>
      </c>
      <c r="H112" s="2599" t="str">
        <f>IF(E111="——","——",N61)</f>
        <v>——</v>
      </c>
      <c r="I112" s="129"/>
    </row>
    <row r="113" spans="1:27" ht="18.75" customHeight="1">
      <c r="A113" s="129"/>
      <c r="B113" s="129"/>
      <c r="C113" s="129"/>
      <c r="D113" s="129"/>
      <c r="E113" s="3614" t="s">
        <v>1435</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1437</v>
      </c>
      <c r="B115" s="3623"/>
      <c r="C115" s="3623"/>
      <c r="D115" s="3623"/>
      <c r="E115" s="3623"/>
      <c r="F115" s="3623"/>
      <c r="G115" s="3623"/>
      <c r="H115" s="3623"/>
      <c r="I115" s="3624"/>
    </row>
    <row r="116" spans="1:27" ht="27" customHeight="1">
      <c r="A116" s="3579" t="s">
        <v>1438</v>
      </c>
      <c r="B116" s="3583" t="s">
        <v>1439</v>
      </c>
      <c r="C116" s="3583" t="s">
        <v>1440</v>
      </c>
      <c r="D116" s="3589" t="s">
        <v>1441</v>
      </c>
      <c r="E116" s="3590"/>
      <c r="F116" s="3621" t="s">
        <v>1442</v>
      </c>
      <c r="G116" s="3621"/>
      <c r="H116" s="3579" t="s">
        <v>1443</v>
      </c>
      <c r="I116" s="3579"/>
    </row>
    <row r="117" spans="1:27" ht="18.75" customHeight="1">
      <c r="A117" s="3579"/>
      <c r="B117" s="3584"/>
      <c r="C117" s="3584"/>
      <c r="D117" s="3455" t="s">
        <v>1444</v>
      </c>
      <c r="E117" s="3455" t="s">
        <v>1445</v>
      </c>
      <c r="F117" s="3455" t="s">
        <v>1444</v>
      </c>
      <c r="G117" s="3455" t="s">
        <v>1446</v>
      </c>
      <c r="H117" s="3455" t="s">
        <v>1444</v>
      </c>
      <c r="I117" s="3455" t="s">
        <v>1446</v>
      </c>
    </row>
    <row r="118" spans="1:27" ht="24.75" customHeight="1">
      <c r="A118" s="2600" t="str">
        <f>项目基本情况!S2</f>
        <v>北京市房地产</v>
      </c>
      <c r="B118" s="3455">
        <f>M18</f>
        <v>3962.1600000000008</v>
      </c>
      <c r="C118" s="3455">
        <f>M19</f>
        <v>566.84</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f ca="1">ROUND(IF(D32="总价",C32,I118*B118/10000),0)</f>
        <v>11774</v>
      </c>
      <c r="I118" s="3455">
        <f ca="1">ROUND(IF(D32="楼面单价",C32,H118*10000/B118),0)</f>
        <v>29716</v>
      </c>
    </row>
    <row r="119" spans="1:27" ht="18.75" customHeight="1">
      <c r="A119" s="3579" t="s">
        <v>1447</v>
      </c>
      <c r="B119" s="3579"/>
      <c r="C119" s="3579"/>
      <c r="D119" s="3585" t="e">
        <f ca="1">NUMBERSTRING(INT(D118*10000),2)&amp;"元整"</f>
        <v>#REF!</v>
      </c>
      <c r="E119" s="3586"/>
      <c r="F119" s="3585" t="e">
        <f ca="1">NUMBERSTRING(INT(F118*10000),2)&amp;"元整"</f>
        <v>#REF!</v>
      </c>
      <c r="G119" s="3586"/>
      <c r="H119" s="3585" t="str">
        <f ca="1">NUMBERSTRING(INT(H118*10000),2)&amp;"元整"</f>
        <v>壹亿壹仟柒佰柒拾肆万元整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1447</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11774</v>
      </c>
      <c r="E122" s="3581"/>
      <c r="F122" s="3581"/>
      <c r="G122" s="3581"/>
      <c r="H122" s="3581"/>
      <c r="I122" s="3582"/>
      <c r="AA122" s="725"/>
    </row>
    <row r="123" spans="1:27" ht="18.75" customHeight="1">
      <c r="A123" s="3579" t="s">
        <v>1447</v>
      </c>
      <c r="B123" s="3579"/>
      <c r="C123" s="3579"/>
      <c r="D123" s="3585" t="str">
        <f ca="1">NUMBERSTRING(INT(D122*10000),2)&amp;"元整"</f>
        <v>壹亿壹仟柒佰柒拾肆万元整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1447</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1447</v>
      </c>
      <c r="B127" s="3579"/>
      <c r="C127" s="3579"/>
      <c r="D127" s="3585" t="e">
        <f>NUMBERSTRING(INT(D126*10000),2)&amp;"元整"</f>
        <v>#VALUE!</v>
      </c>
      <c r="E127" s="3587"/>
      <c r="F127" s="3587"/>
      <c r="G127" s="3587"/>
      <c r="H127" s="3587"/>
      <c r="I127" s="3586"/>
      <c r="AA127" s="725"/>
    </row>
    <row r="128" spans="1:27" ht="21.75" customHeight="1">
      <c r="A128" s="3588" t="s">
        <v>1448</v>
      </c>
      <c r="B128" s="3588"/>
      <c r="C128" s="3588"/>
      <c r="D128" s="3588"/>
      <c r="E128" s="3588"/>
      <c r="F128" s="3588"/>
      <c r="G128" s="3588"/>
      <c r="H128" s="3588"/>
      <c r="I128" s="3588"/>
      <c r="AA128" s="725"/>
    </row>
    <row r="129" spans="1:35" ht="21.75" customHeight="1">
      <c r="A129" s="1831" t="s">
        <v>1449</v>
      </c>
      <c r="B129" s="1832"/>
      <c r="C129" s="1833" t="s">
        <v>1450</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1451</v>
      </c>
      <c r="G135" s="1848"/>
      <c r="H135" s="1848"/>
      <c r="I135" s="1849" t="s">
        <v>1452</v>
      </c>
    </row>
    <row r="136" spans="1:35" ht="21.75" customHeight="1">
      <c r="A136" s="725"/>
      <c r="B136" s="1850"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1454</v>
      </c>
    </row>
    <row r="139" spans="1:35" ht="21.75" customHeight="1">
      <c r="A139" s="725"/>
      <c r="B139" s="1850" t="s">
        <v>1455</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1454</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D23" sqref="D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t="s">
        <v>3497</v>
      </c>
      <c r="C1" s="198"/>
      <c r="D1" s="198"/>
      <c r="E1" s="198"/>
      <c r="F1" s="198"/>
      <c r="G1" s="1126">
        <f>MATCH(B1,'数据-取费表'!A6:A16,0)+5</f>
        <v>6</v>
      </c>
    </row>
    <row r="2" spans="1:9" s="200" customFormat="1" ht="18" customHeight="1">
      <c r="A2" s="201" t="s">
        <v>1457</v>
      </c>
      <c r="B2" s="202">
        <f ca="1">IF(D2="——",C52,C52-E2)</f>
        <v>15078</v>
      </c>
      <c r="C2" s="199" t="s">
        <v>1458</v>
      </c>
      <c r="D2" s="1853" t="s">
        <v>43</v>
      </c>
      <c r="E2" s="1169" t="e">
        <f ca="1">SUMIF(INDIRECT("'"&amp;G2&amp;"'"&amp;"!A:A"),"承租人权益价值",INDIRECT("'"&amp;G2&amp;"'"&amp;"!c:c"))</f>
        <v>#REF!</v>
      </c>
      <c r="F2" s="1854" t="s">
        <v>1458</v>
      </c>
      <c r="G2" s="1855"/>
    </row>
    <row r="3" spans="1:9" s="200" customFormat="1" ht="18" customHeight="1" thickBot="1">
      <c r="A3" s="203" t="s">
        <v>1459</v>
      </c>
      <c r="B3" s="204">
        <f ca="1">ROUND(B2*10000/(IF(B1="",'数据-汇总表'!E3,INDIRECT("'数据-取费表'!k"&amp;$G$1))),0)</f>
        <v>38055</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8567</v>
      </c>
      <c r="D5" s="211" t="s">
        <v>1464</v>
      </c>
      <c r="E5" s="212" t="s">
        <v>1465</v>
      </c>
      <c r="F5" s="212" t="s">
        <v>1466</v>
      </c>
      <c r="G5" s="213"/>
    </row>
    <row r="6" spans="1:9" s="214" customFormat="1" ht="13.5" customHeight="1">
      <c r="A6" s="778" t="s">
        <v>1467</v>
      </c>
      <c r="B6" s="215" t="s">
        <v>1468</v>
      </c>
      <c r="C6" s="216">
        <f>基准地价修正!B2</f>
        <v>8237</v>
      </c>
      <c r="D6" s="217"/>
      <c r="E6" s="218"/>
      <c r="F6" s="218"/>
      <c r="G6" s="219"/>
    </row>
    <row r="7" spans="1:9" s="214" customFormat="1" ht="13.5" customHeight="1">
      <c r="A7" s="778" t="s">
        <v>1469</v>
      </c>
      <c r="B7" s="215" t="s">
        <v>1470</v>
      </c>
      <c r="C7" s="220">
        <f>ROUND(C6*F7,0)</f>
        <v>251</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79</v>
      </c>
      <c r="D8" s="222"/>
      <c r="E8" s="220"/>
      <c r="F8" s="221"/>
      <c r="G8" s="1856" t="s">
        <v>3529</v>
      </c>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160</v>
      </c>
      <c r="F9" s="221"/>
      <c r="G9" s="1857" t="s">
        <v>3530</v>
      </c>
      <c r="H9" s="1137"/>
      <c r="I9" s="1858" t="s">
        <v>1474</v>
      </c>
    </row>
    <row r="10" spans="1:9" s="214" customFormat="1" ht="13.5" customHeight="1">
      <c r="A10" s="779" t="s">
        <v>356</v>
      </c>
      <c r="B10" s="224" t="s">
        <v>1475</v>
      </c>
      <c r="C10" s="225">
        <f ca="1">ROUND(D10*E10/10000,0)</f>
        <v>79</v>
      </c>
      <c r="D10" s="845">
        <f ca="1">IF(B1="",'数据-汇总表'!E6,IF(INDIRECT("'数据-取费表'!c"&amp;$G$1)="住宅",INDIRECT("'数据-取费表'!s"&amp;$G$1),INDIRECT("'数据-取费表'!k"&amp;$G$1)+INDIRECT("'数据-取费表'!s"&amp;$G$1)))</f>
        <v>3962.1600000000008</v>
      </c>
      <c r="E10" s="225">
        <f>'数据-取费表'!B28</f>
        <v>200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t="str">
        <f>IF(G19="已包含在土地取得成本中","0",ROUND(D19*E19/10000,0))</f>
        <v>0</v>
      </c>
      <c r="D19" s="849">
        <f ca="1">D9+D10</f>
        <v>3962.1600000000008</v>
      </c>
      <c r="E19" s="211">
        <f>'数据-取费表'!B31</f>
        <v>200</v>
      </c>
      <c r="F19" s="231"/>
      <c r="G19" s="1856" t="s">
        <v>3531</v>
      </c>
    </row>
    <row r="20" spans="1:7" s="214" customFormat="1" ht="13.5" customHeight="1">
      <c r="A20" s="255" t="s">
        <v>1488</v>
      </c>
      <c r="B20" s="210" t="s">
        <v>1489</v>
      </c>
      <c r="C20" s="232">
        <f ca="1">ROUND((C5+C19)*F20,0)</f>
        <v>171</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954</v>
      </c>
      <c r="D22" s="235">
        <f ca="1">C26</f>
        <v>1.1000000000000001E-3</v>
      </c>
      <c r="E22" s="236" t="s">
        <v>1493</v>
      </c>
      <c r="F22" s="237">
        <f ca="1">'数据-取费表'!B40</f>
        <v>3.5499999999999997E-2</v>
      </c>
      <c r="G22" s="234" t="str">
        <f>IF('数据-取费表'!B22&lt;=1,"单利计息","复利计息")</f>
        <v>复利计息</v>
      </c>
    </row>
    <row r="23" spans="1:7" s="214" customFormat="1" ht="13.5" customHeight="1">
      <c r="A23" s="780" t="s">
        <v>1497</v>
      </c>
      <c r="B23" s="215" t="s">
        <v>1498</v>
      </c>
      <c r="C23" s="1105">
        <f ca="1">ROUND(IF('数据-取费表'!B22&lt;=1,C5*F22*'数据-取费表'!B23,C5*(POWER((1+F22),'数据-取费表'!B23)-1)),0)</f>
        <v>945</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9</v>
      </c>
      <c r="D25" s="238"/>
      <c r="E25" s="241"/>
      <c r="F25" s="239"/>
      <c r="G25" s="242" t="s">
        <v>1505</v>
      </c>
    </row>
    <row r="26" spans="1:7" s="214" customFormat="1">
      <c r="A26" s="780" t="s">
        <v>350</v>
      </c>
      <c r="B26" s="215" t="s">
        <v>1506</v>
      </c>
      <c r="C26" s="238">
        <f ca="1">ROUND(IF('数据-取费表'!B22&lt;=1,F21*F22*'数据-取费表'!B23/2,F21*(POWER((1+F22),'数据-取费表'!B23/2)-1)),4)</f>
        <v>1.1000000000000001E-3</v>
      </c>
      <c r="D26" s="238"/>
      <c r="E26" s="241"/>
      <c r="F26" s="239"/>
      <c r="G26" s="243"/>
    </row>
    <row r="27" spans="1:7" s="214" customFormat="1" ht="24.75">
      <c r="A27" s="255" t="s">
        <v>1507</v>
      </c>
      <c r="B27" s="244" t="s">
        <v>1508</v>
      </c>
      <c r="C27" s="245">
        <f ca="1">C28</f>
        <v>1748</v>
      </c>
      <c r="D27" s="235">
        <f ca="1">C29</f>
        <v>4.0000000000000001E-3</v>
      </c>
      <c r="E27" s="236" t="s">
        <v>1509</v>
      </c>
      <c r="F27" s="246">
        <f ca="1">IF(B1="",'数据-取费表'!Q16,INDIRECT("'数据-取费表'!q"&amp;$G$1))</f>
        <v>0.2</v>
      </c>
      <c r="G27" s="247" t="s">
        <v>1510</v>
      </c>
    </row>
    <row r="28" spans="1:7" s="214" customFormat="1" ht="13.5" customHeight="1">
      <c r="A28" s="780" t="s">
        <v>346</v>
      </c>
      <c r="B28" s="248" t="s">
        <v>1511</v>
      </c>
      <c r="C28" s="249">
        <f ca="1">ROUND((C5+C19+C20)*F27*'数据-取费表'!B21/'数据-取费表'!B20,0)</f>
        <v>1748</v>
      </c>
      <c r="D28" s="235"/>
      <c r="E28" s="236"/>
      <c r="F28" s="246"/>
      <c r="G28" s="247"/>
    </row>
    <row r="29" spans="1:7" s="214" customFormat="1" ht="13.5" customHeight="1">
      <c r="A29" s="780" t="s">
        <v>347</v>
      </c>
      <c r="B29" s="248" t="s">
        <v>1512</v>
      </c>
      <c r="C29" s="238">
        <f ca="1">ROUND(C21*F27*'数据-取费表'!B21/'数据-取费表'!B20,4)</f>
        <v>4.0000000000000001E-3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12413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2400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2179</v>
      </c>
      <c r="D34" s="217"/>
      <c r="E34" s="220"/>
      <c r="F34" s="257">
        <f ca="1">IF('数据-取费表'!B24=0,1,IF(B1="",'数据-取费表'!N16,INDIRECT("'数据-取费表'!n"&amp;$G$1)))</f>
        <v>1</v>
      </c>
      <c r="G34" s="219" t="s">
        <v>1521</v>
      </c>
    </row>
    <row r="35" spans="1:7" ht="13.5" customHeight="1">
      <c r="A35" s="780" t="s">
        <v>351</v>
      </c>
      <c r="B35" s="215" t="s">
        <v>1522</v>
      </c>
      <c r="C35" s="220">
        <f ca="1">ROUND(C34*F35,0)</f>
        <v>109</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79</v>
      </c>
      <c r="D37" s="217">
        <f ca="1">D19</f>
        <v>3962.1600000000008</v>
      </c>
      <c r="E37" s="249">
        <f>'数据-取费表'!B35</f>
        <v>200</v>
      </c>
      <c r="F37" s="259"/>
      <c r="G37" s="261" t="s">
        <v>1527</v>
      </c>
    </row>
    <row r="38" spans="1:7" ht="13.5" customHeight="1">
      <c r="A38" s="780" t="s">
        <v>354</v>
      </c>
      <c r="B38" s="215" t="s">
        <v>1528</v>
      </c>
      <c r="C38" s="220">
        <f ca="1">ROUND(C34*F38,0)</f>
        <v>33</v>
      </c>
      <c r="D38" s="220"/>
      <c r="E38" s="220"/>
      <c r="F38" s="259">
        <f>'数据-取费表'!B36</f>
        <v>1.4999999999999999E-2</v>
      </c>
      <c r="G38" s="219" t="s">
        <v>1523</v>
      </c>
    </row>
    <row r="39" spans="1:7" s="214" customFormat="1" ht="13.5" customHeight="1">
      <c r="A39" s="255" t="s">
        <v>1529</v>
      </c>
      <c r="B39" s="210" t="s">
        <v>1530</v>
      </c>
      <c r="C39" s="232">
        <f ca="1">ROUND(C33*F20,0)</f>
        <v>48</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132</v>
      </c>
      <c r="D41" s="235">
        <f ca="1">C44</f>
        <v>1.1000000000000001E-3</v>
      </c>
      <c r="E41" s="236" t="s">
        <v>1534</v>
      </c>
      <c r="F41" s="237">
        <f ca="1">F22</f>
        <v>3.5499999999999997E-2</v>
      </c>
      <c r="G41" s="234" t="str">
        <f>IF('数据-取费表'!B22&lt;=1,"单利计息","复利计息")</f>
        <v>复利计息</v>
      </c>
    </row>
    <row r="42" spans="1:7" ht="13.5" customHeight="1">
      <c r="A42" s="780" t="s">
        <v>346</v>
      </c>
      <c r="B42" s="215" t="s">
        <v>1538</v>
      </c>
      <c r="C42" s="238">
        <f ca="1">ROUND(IF('数据-取费表'!B22&lt;=1,C33*F22*'数据-取费表'!B21/2,C33*(POWER((1+F22),'数据-取费表'!B21/2)-1)),0)</f>
        <v>129</v>
      </c>
      <c r="D42" s="238"/>
      <c r="E42" s="238"/>
      <c r="F42" s="239"/>
      <c r="G42" s="3724" t="s">
        <v>1539</v>
      </c>
    </row>
    <row r="43" spans="1:7" ht="13.5" customHeight="1">
      <c r="A43" s="780" t="s">
        <v>347</v>
      </c>
      <c r="B43" s="215" t="s">
        <v>1540</v>
      </c>
      <c r="C43" s="238">
        <f ca="1">ROUND(IF('数据-取费表'!B22&lt;=1,C39*F22*'数据-取费表'!B21/2,C39*(POWER((1+F22),'数据-取费表'!B21/2)-1)),0)</f>
        <v>3</v>
      </c>
      <c r="D43" s="238"/>
      <c r="E43" s="238"/>
      <c r="F43" s="239"/>
      <c r="G43" s="3725"/>
    </row>
    <row r="44" spans="1:7" ht="13.5" customHeight="1">
      <c r="A44" s="780" t="s">
        <v>348</v>
      </c>
      <c r="B44" s="215" t="s">
        <v>1541</v>
      </c>
      <c r="C44" s="238">
        <f ca="1">ROUND(IF('数据-取费表'!B22&lt;=1,C40*F22*'数据-取费表'!B21/2,C40*(POWER((1+F22),'数据-取费表'!B21/2)-1)),4)</f>
        <v>1.1000000000000001E-3</v>
      </c>
      <c r="D44" s="238"/>
      <c r="E44" s="238"/>
      <c r="F44" s="239"/>
      <c r="G44" s="3726"/>
    </row>
    <row r="45" spans="1:7" s="214" customFormat="1" ht="13.5" customHeight="1">
      <c r="A45" s="255" t="s">
        <v>1542</v>
      </c>
      <c r="B45" s="244" t="s">
        <v>1508</v>
      </c>
      <c r="C45" s="245">
        <f ca="1">C46</f>
        <v>490</v>
      </c>
      <c r="D45" s="235">
        <f ca="1">C47</f>
        <v>4.0000000000000001E-3</v>
      </c>
      <c r="E45" s="236" t="s">
        <v>1534</v>
      </c>
      <c r="F45" s="246">
        <f ca="1">F27</f>
        <v>0.2</v>
      </c>
      <c r="G45" s="247" t="s">
        <v>1543</v>
      </c>
    </row>
    <row r="46" spans="1:7" s="214" customFormat="1" ht="13.5" customHeight="1">
      <c r="A46" s="780" t="s">
        <v>346</v>
      </c>
      <c r="B46" s="248" t="s">
        <v>1544</v>
      </c>
      <c r="C46" s="249">
        <f ca="1">ROUND((C33+C39)*F27,0)</f>
        <v>490</v>
      </c>
      <c r="D46" s="263"/>
      <c r="E46" s="236"/>
      <c r="F46" s="246"/>
      <c r="G46" s="247"/>
    </row>
    <row r="47" spans="1:7" s="214" customFormat="1" ht="13.5" customHeight="1">
      <c r="A47" s="780" t="s">
        <v>347</v>
      </c>
      <c r="B47" s="248" t="s">
        <v>1545</v>
      </c>
      <c r="C47" s="238">
        <f ca="1">ROUND(C40*F27,4)</f>
        <v>4.0000000000000001E-3</v>
      </c>
      <c r="D47" s="263"/>
      <c r="E47" s="236"/>
      <c r="F47" s="246"/>
      <c r="G47" s="247"/>
    </row>
    <row r="48" spans="1:7" s="214" customFormat="1" ht="13.5" customHeight="1">
      <c r="A48" s="255" t="s">
        <v>1507</v>
      </c>
      <c r="B48" s="210" t="s">
        <v>1546</v>
      </c>
      <c r="C48" s="1327">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3331</v>
      </c>
      <c r="D49" s="232"/>
      <c r="E49" s="232"/>
      <c r="F49" s="264"/>
      <c r="G49" s="234" t="s">
        <v>1549</v>
      </c>
    </row>
    <row r="50" spans="1:7" s="258" customFormat="1" ht="24">
      <c r="A50" s="255" t="s">
        <v>1550</v>
      </c>
      <c r="B50" s="210" t="s">
        <v>1551</v>
      </c>
      <c r="C50" s="232"/>
      <c r="D50" s="232"/>
      <c r="E50" s="232"/>
      <c r="F50" s="264">
        <f>IF('数据-取费表'!B24=0,'数据-取费表'!N16,1)</f>
        <v>0.8</v>
      </c>
      <c r="G50" s="247" t="s">
        <v>1552</v>
      </c>
    </row>
    <row r="51" spans="1:7" ht="16.5" customHeight="1">
      <c r="A51" s="255" t="s">
        <v>1553</v>
      </c>
      <c r="B51" s="210" t="s">
        <v>1554</v>
      </c>
      <c r="C51" s="232">
        <f ca="1">ROUND(C49*F50,0)</f>
        <v>2665</v>
      </c>
      <c r="D51" s="232"/>
      <c r="E51" s="232"/>
      <c r="F51" s="264"/>
      <c r="G51" s="234" t="s">
        <v>1555</v>
      </c>
    </row>
    <row r="52" spans="1:7" s="208" customFormat="1" ht="16.5" thickBot="1">
      <c r="A52" s="265" t="s">
        <v>1556</v>
      </c>
      <c r="B52" s="266"/>
      <c r="C52" s="267">
        <f ca="1">C31+C51</f>
        <v>15078</v>
      </c>
      <c r="D52" s="266"/>
      <c r="E52" s="266"/>
      <c r="F52" s="266"/>
      <c r="G52" s="268"/>
    </row>
    <row r="55" spans="1:7" ht="15">
      <c r="B55" s="270" t="s">
        <v>1557</v>
      </c>
      <c r="C55" s="271"/>
    </row>
    <row r="56" spans="1:7">
      <c r="B56" s="273" t="s">
        <v>797</v>
      </c>
      <c r="C56" s="275">
        <f ca="1">1-C57</f>
        <v>0.82299999999999995</v>
      </c>
    </row>
    <row r="57" spans="1:7">
      <c r="B57" s="273" t="s">
        <v>798</v>
      </c>
      <c r="C57" s="274">
        <f ca="1">ROUND(C51/C52,3)</f>
        <v>0.17699999999999999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D37" sqref="D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1921</v>
      </c>
      <c r="B1" s="197"/>
      <c r="C1" s="201" t="s">
        <v>1922</v>
      </c>
      <c r="D1" s="342">
        <f>SUM(D33:D34,D37:D42)</f>
        <v>3962.1600000000008</v>
      </c>
      <c r="E1" s="1995"/>
      <c r="F1" s="1995"/>
      <c r="G1" s="1995"/>
      <c r="H1" s="1995"/>
      <c r="I1" s="1995"/>
      <c r="J1" s="1995"/>
      <c r="K1" s="1119"/>
      <c r="L1" s="1996" t="s">
        <v>1923</v>
      </c>
      <c r="M1" s="863">
        <f>SUMPRODUCT((区片价!B5:B9=I2)*(区片价!C3:G3=E2)*(区片价!C5:G9))</f>
        <v>32510</v>
      </c>
      <c r="N1" s="866">
        <f>SUMPRODUCT((因素修正幅度!B5:B9=I2)*(因素修正幅度!C3:G3=E2)*(因素修正幅度!C5:G9))</f>
        <v>8.2000000000000003E-2</v>
      </c>
      <c r="O1" s="1997"/>
      <c r="P1" s="1997"/>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8237</v>
      </c>
      <c r="C2" s="1999" t="s">
        <v>1930</v>
      </c>
      <c r="D2" s="2000" t="s">
        <v>1931</v>
      </c>
      <c r="E2" s="3420" t="s">
        <v>21</v>
      </c>
      <c r="F2" s="2000" t="s">
        <v>1932</v>
      </c>
      <c r="G2" s="2001" t="str">
        <f>IF(E2="商业",项目基本情况!B37,IF(E2="办公",项目基本情况!C37,IF(E2="住宅",项目基本情况!D37,IF(E2="工业",项目基本情况!E37,项目基本情况!F37))))</f>
        <v>一级</v>
      </c>
      <c r="H2" s="2000" t="s">
        <v>1933</v>
      </c>
      <c r="I2" s="2001" t="str">
        <f>IF(E2="商业",项目基本情况!B38,IF(E2="办公",项目基本情况!C38,IF(E2="住宅",项目基本情况!D38,IF(E2="工业",项目基本情况!E38,项目基本情况!F38))))</f>
        <v>Ⅰ—04</v>
      </c>
      <c r="J2" s="2002"/>
      <c r="K2" s="1119"/>
      <c r="L2" s="2003" t="s">
        <v>1934</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46063</v>
      </c>
      <c r="U2" s="1213"/>
      <c r="V2" s="3359">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20789</v>
      </c>
      <c r="C3" s="1999" t="s">
        <v>1936</v>
      </c>
      <c r="D3" s="2000" t="s">
        <v>1937</v>
      </c>
      <c r="E3" s="3418" t="s">
        <v>3519</v>
      </c>
      <c r="F3" s="2004" t="s">
        <v>3520</v>
      </c>
      <c r="G3" s="752">
        <f>IF(F3="宗地容积率",'数据-汇总表'!I4,IF(F3="估价对象容积率",'数据-汇总表'!I6,'数据-汇总表'!I7))</f>
        <v>5.95</v>
      </c>
      <c r="H3" s="170" t="s">
        <v>1938</v>
      </c>
      <c r="I3" s="775"/>
      <c r="J3" s="2002" t="s">
        <v>1939</v>
      </c>
      <c r="K3" s="1119"/>
      <c r="L3" s="2003" t="s">
        <v>1940</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36569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34"/>
      <c r="B4" s="3735"/>
      <c r="C4" s="3735"/>
      <c r="D4" s="3736"/>
      <c r="E4" s="3736"/>
      <c r="F4" s="3736"/>
      <c r="G4" s="3736"/>
      <c r="H4" s="3736"/>
      <c r="I4" s="3736"/>
      <c r="J4" s="3737"/>
      <c r="K4" s="1119"/>
      <c r="L4" s="2003" t="s">
        <v>1941</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31598</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1942</v>
      </c>
      <c r="C5" s="753">
        <f>ROUND(IF(E2="商业",C6*C7*C17+C20,(IF(E2="住宅",C6*C13*C17+C20,IF(E2="办公",C6*C12*C17+C20,C6+C20)))),0)</f>
        <v>33126</v>
      </c>
      <c r="D5" s="1339">
        <f>ROUND(C6*C17+C20,0)</f>
        <v>32476</v>
      </c>
      <c r="E5" s="1339"/>
      <c r="F5" s="2007"/>
      <c r="G5" s="2008"/>
      <c r="H5" s="2008"/>
      <c r="I5" s="2008"/>
      <c r="J5" s="2009"/>
      <c r="K5" s="2010"/>
      <c r="L5" s="2003" t="s">
        <v>1943</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28593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1944</v>
      </c>
      <c r="B6" s="2016" t="s">
        <v>1945</v>
      </c>
      <c r="C6" s="754">
        <f>SUMIF(L1:L12,G2,M1:M12)</f>
        <v>32510</v>
      </c>
      <c r="D6" s="2017"/>
      <c r="E6" s="2018"/>
      <c r="F6" s="2018"/>
      <c r="G6" s="2019"/>
      <c r="H6" s="2019"/>
      <c r="I6" s="2019"/>
      <c r="J6" s="2020"/>
      <c r="K6" s="1384"/>
      <c r="L6" s="2003" t="s">
        <v>1946</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27251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1947</v>
      </c>
      <c r="C7" s="755" t="e">
        <f>IF(C8="不临65条商业街",1,ROUND(1+(1.6*E8+1.2*E9+0.8*E10+0.4*E11)*C9,4))</f>
        <v>#DIV/0!</v>
      </c>
      <c r="D7" s="2022" t="s">
        <v>1948</v>
      </c>
      <c r="E7" s="776"/>
      <c r="F7" s="2023"/>
      <c r="G7" s="2024"/>
      <c r="H7" s="2024"/>
      <c r="I7" s="2024"/>
      <c r="J7" s="2025"/>
      <c r="K7" s="1384"/>
      <c r="L7" s="2003" t="s">
        <v>1949</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1950</v>
      </c>
      <c r="X7" s="1214" t="str">
        <f>G2</f>
        <v>一级</v>
      </c>
      <c r="Y7" s="1214" t="s">
        <v>1951</v>
      </c>
      <c r="Z7" s="1215">
        <f>G3</f>
        <v>5.95</v>
      </c>
      <c r="AA7" s="1216"/>
      <c r="AB7" s="1216"/>
      <c r="AC7" s="1217"/>
      <c r="AD7" s="1218"/>
      <c r="AE7" s="1218"/>
      <c r="AF7" s="1218"/>
      <c r="AG7" s="1218"/>
      <c r="AH7" s="1218"/>
      <c r="AI7" s="1218"/>
      <c r="AJ7" s="1219"/>
    </row>
    <row r="8" spans="1:36" ht="15">
      <c r="A8" s="3297"/>
      <c r="B8" s="170" t="s">
        <v>1952</v>
      </c>
      <c r="C8" s="2026"/>
      <c r="D8" s="756" t="s">
        <v>112</v>
      </c>
      <c r="E8" s="757" t="e">
        <f>ROUND(C11/E7,4)</f>
        <v>#DIV/0!</v>
      </c>
      <c r="F8" s="2027" t="s">
        <v>1953</v>
      </c>
      <c r="G8" s="2028"/>
      <c r="H8" s="2028"/>
      <c r="I8" s="2028"/>
      <c r="J8" s="2029"/>
      <c r="K8" s="1119"/>
      <c r="L8" s="2003" t="s">
        <v>1954</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31" t="s">
        <v>1955</v>
      </c>
      <c r="X8" s="3732"/>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97"/>
      <c r="B9" s="170" t="s">
        <v>1968</v>
      </c>
      <c r="C9" s="758">
        <f>SUMIF(修正!C71:C138,C8,修正!E71:E138)</f>
        <v>0</v>
      </c>
      <c r="D9" s="171" t="s">
        <v>113</v>
      </c>
      <c r="E9" s="171" t="e">
        <f>ROUND(C11/E7,4)</f>
        <v>#DIV/0!</v>
      </c>
      <c r="F9" s="2027" t="s">
        <v>1969</v>
      </c>
      <c r="G9" s="2028"/>
      <c r="H9" s="2028"/>
      <c r="I9" s="2028"/>
      <c r="J9" s="2029"/>
      <c r="K9" s="1119"/>
      <c r="L9" s="2003" t="s">
        <v>1970</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33"/>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1971</v>
      </c>
      <c r="C10" s="171">
        <f>SUMIF(修正!C71:C138,C8,修正!F71:F138)</f>
        <v>0</v>
      </c>
      <c r="D10" s="171" t="s">
        <v>114</v>
      </c>
      <c r="E10" s="171" t="e">
        <f>ROUND(C11/E7,4)</f>
        <v>#DIV/0!</v>
      </c>
      <c r="F10" s="2027" t="s">
        <v>1972</v>
      </c>
      <c r="G10" s="2028"/>
      <c r="H10" s="2028"/>
      <c r="I10" s="2028"/>
      <c r="J10" s="2029"/>
      <c r="K10" s="1119"/>
      <c r="L10" s="2003"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3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1974</v>
      </c>
      <c r="C11" s="759">
        <f>C10/4</f>
        <v>0</v>
      </c>
      <c r="D11" s="759" t="s">
        <v>115</v>
      </c>
      <c r="E11" s="759" t="e">
        <f>ROUND(C11/E7,4)</f>
        <v>#DIV/0!</v>
      </c>
      <c r="F11" s="2031" t="s">
        <v>1975</v>
      </c>
      <c r="G11" s="2032"/>
      <c r="H11" s="2032"/>
      <c r="I11" s="2032"/>
      <c r="J11" s="2033"/>
      <c r="K11" s="1119"/>
      <c r="L11" s="2003" t="s">
        <v>1976</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2" t="s">
        <v>3239</v>
      </c>
      <c r="B12" s="3303" t="s">
        <v>3240</v>
      </c>
      <c r="C12" s="3304">
        <v>1.02</v>
      </c>
      <c r="D12" s="3305" t="s">
        <v>3241</v>
      </c>
      <c r="E12" s="3306" t="s">
        <v>3242</v>
      </c>
      <c r="F12" s="3307"/>
      <c r="G12" s="3308"/>
      <c r="H12" s="3308"/>
      <c r="I12" s="3308"/>
      <c r="J12" s="3309"/>
      <c r="K12" s="1119"/>
      <c r="L12" s="2039"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2" t="s">
        <v>3243</v>
      </c>
      <c r="B13" s="2034" t="s">
        <v>1977</v>
      </c>
      <c r="C13" s="755">
        <f>ROUND(C16*D16*E16*F16*G16*H16*I16*J16,4)</f>
        <v>0</v>
      </c>
      <c r="D13" s="2035" t="s">
        <v>1978</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6"/>
      <c r="B14" s="2040" t="s">
        <v>1980</v>
      </c>
      <c r="C14" s="2041" t="s">
        <v>1981</v>
      </c>
      <c r="D14" s="1350" t="s">
        <v>1982</v>
      </c>
      <c r="E14" s="27" t="s">
        <v>1983</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6"/>
      <c r="B16" s="3318" t="s">
        <v>1984</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0.93120000000000003</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38" t="s">
        <v>3255</v>
      </c>
      <c r="B20" s="167" t="s">
        <v>1989</v>
      </c>
      <c r="C20" s="3323">
        <f>ROUND(IF(F21="与级别开发程度一致",0,(G21-E21)/C21),0)</f>
        <v>-34</v>
      </c>
      <c r="D20" s="3339" t="s">
        <v>1993</v>
      </c>
      <c r="E20" s="3340"/>
      <c r="F20" s="3744" t="s">
        <v>1990</v>
      </c>
      <c r="G20" s="3745"/>
      <c r="H20" s="3324" t="s">
        <v>3522</v>
      </c>
      <c r="I20" s="3324" t="s">
        <v>3523</v>
      </c>
      <c r="J20" s="3325" t="s">
        <v>3524</v>
      </c>
      <c r="K20" s="2047" t="s">
        <v>3524</v>
      </c>
      <c r="L20" s="2047" t="s">
        <v>3525</v>
      </c>
      <c r="M20" s="2047" t="s">
        <v>3526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39"/>
      <c r="B21" s="2164" t="s">
        <v>1992</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3521</v>
      </c>
      <c r="G21" s="2157">
        <f>SUM(H21:O21)</f>
        <v>255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20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1995</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1997</v>
      </c>
      <c r="E23" s="761">
        <v>44197</v>
      </c>
      <c r="F23" s="2054" t="s">
        <v>1998</v>
      </c>
      <c r="G23" s="762">
        <f>'数据-取费表'!B2</f>
        <v>45142</v>
      </c>
      <c r="H23" s="3341" t="s">
        <v>3257</v>
      </c>
      <c r="I23" s="3342" t="str">
        <f>IF(H23="季度增幅（自定义）",SUMIF(N25:N28,E2,O25:O28),"")</f>
        <v/>
      </c>
      <c r="J23" s="3444" t="s">
        <v>3256</v>
      </c>
      <c r="K23" s="1125"/>
      <c r="L23" s="2055" t="s">
        <v>1999</v>
      </c>
      <c r="M23" s="1328">
        <f>ROUND(SUMIF(地价!B2:G2,E2,地价!B16:G16),0)</f>
        <v>350</v>
      </c>
      <c r="N23" s="2056" t="s">
        <v>2000</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2001</v>
      </c>
      <c r="C24" s="764">
        <f>ROUND(POWER(1+G24,J24-I24)*(POWER(1+G24,I24)-1)/(POWER(1+G24,J24)-1),4)</f>
        <v>0.85440000000000005</v>
      </c>
      <c r="D24" s="2060" t="s">
        <v>2002</v>
      </c>
      <c r="E24" s="1335">
        <f>存贷款利率!E23/100</f>
        <v>4.3499999999999997E-2</v>
      </c>
      <c r="F24" s="2060" t="s">
        <v>1994</v>
      </c>
      <c r="G24" s="768">
        <f>SUMIF(M30:Q30,E2,M33:Q33)</f>
        <v>5.5E-2</v>
      </c>
      <c r="H24" s="2060" t="s">
        <v>2003</v>
      </c>
      <c r="I24" s="769">
        <f>SUMIF('数据-取费表'!C6:C15,E2,'数据-取费表'!F6:F15)/COUNTIF('数据-取费表'!C6:C15,E2)</f>
        <v>29.66</v>
      </c>
      <c r="J24" s="770">
        <f>IF(E2="住宅",70,IF(E2="商业",40,50))</f>
        <v>50</v>
      </c>
      <c r="K24" s="1125"/>
      <c r="L24" s="2061" t="s">
        <v>2004</v>
      </c>
      <c r="M24" s="1329">
        <f>ROUND(SUMPRODUCT((地价!A4:A16=YEAR(G23)&amp;"-"&amp;ROUNDUP(MONTH(G23)/3,0))*(地价!B2:G2=E2)*(地价!B4:G16)),0)</f>
        <v>0</v>
      </c>
      <c r="N24" s="2062" t="s">
        <v>2005</v>
      </c>
      <c r="O24" s="2063" t="s">
        <v>2006</v>
      </c>
      <c r="P24" s="2064" t="s">
        <v>2007</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0.94130000000000003</v>
      </c>
      <c r="D25" s="2067"/>
      <c r="E25" s="2067"/>
      <c r="F25" s="2067"/>
      <c r="G25" s="2067"/>
      <c r="H25" s="2067"/>
      <c r="I25" s="2067"/>
      <c r="J25" s="2068"/>
      <c r="K25" s="1125"/>
      <c r="L25" s="2788"/>
      <c r="M25" s="2788"/>
      <c r="N25" s="2069" t="s">
        <v>2008</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2009</v>
      </c>
      <c r="B26" s="2070" t="s">
        <v>2010</v>
      </c>
      <c r="C26" s="3343" t="s">
        <v>3258</v>
      </c>
      <c r="D26" s="1352">
        <f>IF(E26=G26,F26,IF(G3&lt;10,ROUND(F26+(H26-F26)*(G3-E26)/(G26-E26),4),"——"))</f>
        <v>0.94130000000000003</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3343" t="s">
        <v>3259</v>
      </c>
      <c r="J26" s="772" t="str">
        <f>IF(G3&gt;=10,D115,"——")</f>
        <v>——</v>
      </c>
      <c r="K26" s="1125"/>
      <c r="L26" s="2788"/>
      <c r="M26" s="2788"/>
      <c r="N26" s="2069" t="s">
        <v>2011</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2012</v>
      </c>
      <c r="B27" s="2071" t="s">
        <v>2013</v>
      </c>
      <c r="C27" s="841">
        <f>ROUND(IF(I3&lt;6,SUMPRODUCT((B106:B110=I3)*(C105:N105=G2)*(C106:N110)),SUMIF(C105:N105,G2,C112:N112)),4)</f>
        <v>0</v>
      </c>
      <c r="D27" s="2046"/>
      <c r="E27" s="2046"/>
      <c r="F27" s="2072"/>
      <c r="G27" s="2073"/>
      <c r="H27" s="2074"/>
      <c r="I27" s="2075"/>
      <c r="J27" s="2076"/>
      <c r="K27" s="1119"/>
      <c r="L27" s="1997"/>
      <c r="M27" s="1997"/>
      <c r="N27" s="2069" t="s">
        <v>2014</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2015</v>
      </c>
      <c r="C28" s="760">
        <f>SUMIF(A47:A101,E2,B47:B101)</f>
        <v>1.0441</v>
      </c>
      <c r="D28" s="2052"/>
      <c r="E28" s="2077"/>
      <c r="F28" s="2077"/>
      <c r="G28" s="2077"/>
      <c r="H28" s="2077"/>
      <c r="I28" s="2077"/>
      <c r="J28" s="2078"/>
      <c r="K28" s="1125"/>
      <c r="L28" s="2788"/>
      <c r="M28" s="2788"/>
      <c r="N28" s="2079"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2017</v>
      </c>
      <c r="C29" s="765"/>
      <c r="D29" s="2024"/>
      <c r="E29" s="2024"/>
      <c r="F29" s="2081"/>
      <c r="G29" s="2024"/>
      <c r="H29" s="2024"/>
      <c r="I29" s="2024"/>
      <c r="J29" s="2025"/>
      <c r="K29" s="1119"/>
      <c r="L29" s="1997"/>
      <c r="M29" s="1997"/>
      <c r="N29" s="2785" t="s">
        <v>2018</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2019</v>
      </c>
      <c r="C30" s="2321">
        <f>IF(B25="容积率修正",E33+SUM(E37:E42),SUM(V2:V16)+SUM(E37:E42))</f>
        <v>8237</v>
      </c>
      <c r="D30" s="2083"/>
      <c r="E30" s="2046"/>
      <c r="F30" s="2084"/>
      <c r="G30" s="2046"/>
      <c r="H30" s="2046"/>
      <c r="I30" s="2046"/>
      <c r="J30" s="2085"/>
      <c r="K30" s="1119"/>
      <c r="L30" s="3349" t="s">
        <v>1931</v>
      </c>
      <c r="M30" s="3350" t="s">
        <v>1985</v>
      </c>
      <c r="N30" s="3350" t="s">
        <v>1986</v>
      </c>
      <c r="O30" s="3350" t="s">
        <v>1987</v>
      </c>
      <c r="P30" s="3350" t="s">
        <v>1988</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2020</v>
      </c>
      <c r="C31" s="766">
        <f>E34+SUM(I37:I42)</f>
        <v>2059</v>
      </c>
      <c r="D31" s="2087"/>
      <c r="E31" s="2088"/>
      <c r="F31" s="2089"/>
      <c r="G31" s="2088"/>
      <c r="H31" s="2088"/>
      <c r="I31" s="2088"/>
      <c r="J31" s="2090"/>
      <c r="K31" s="1119"/>
      <c r="L31" s="3351" t="s">
        <v>1991</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2021</v>
      </c>
      <c r="C32" s="2093" t="s">
        <v>2022</v>
      </c>
      <c r="D32" s="2093" t="s">
        <v>2023</v>
      </c>
      <c r="E32" s="2094" t="s">
        <v>2024</v>
      </c>
      <c r="F32" s="2095"/>
      <c r="G32" s="2037"/>
      <c r="H32" s="2037"/>
      <c r="I32" s="2037"/>
      <c r="J32" s="2038"/>
      <c r="K32" s="1119"/>
      <c r="L32" s="3352" t="s">
        <v>1994</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2025</v>
      </c>
      <c r="C33" s="175">
        <f>ROUND(C5*C22*C23*C24*C25*C28,0)</f>
        <v>28515</v>
      </c>
      <c r="D33" s="2098"/>
      <c r="E33" s="773">
        <f>ROUND(C33*D33/10000,0)</f>
        <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2026</v>
      </c>
      <c r="C34" s="187">
        <f>ROUND(IF(E2="工业",C33*M42,IF(B25="楼层修正",SUM(V2:V16)*M41*10000/D34,C33*M41)),0)</f>
        <v>7129</v>
      </c>
      <c r="D34" s="2103"/>
      <c r="E34" s="773">
        <f>ROUND(IF(B25="楼层修正",SUM(V2:V16)*M40,C34*D34/10000),0)</f>
        <v>0</v>
      </c>
      <c r="F34" s="2104" t="s">
        <v>2027</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2028</v>
      </c>
      <c r="C35" s="3345" t="s">
        <v>3262</v>
      </c>
      <c r="D35" s="2037"/>
      <c r="E35" s="2109"/>
      <c r="F35" s="2109"/>
      <c r="G35" s="2035" t="s">
        <v>2029</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2022</v>
      </c>
      <c r="D36" s="447" t="s">
        <v>2023</v>
      </c>
      <c r="E36" s="447" t="s">
        <v>2024</v>
      </c>
      <c r="F36" s="342" t="s">
        <v>2030</v>
      </c>
      <c r="G36" s="2112" t="s">
        <v>2022</v>
      </c>
      <c r="H36" s="2112" t="s">
        <v>2023</v>
      </c>
      <c r="I36" s="2112" t="s">
        <v>2024</v>
      </c>
      <c r="J36" s="243"/>
      <c r="K36" s="3355" t="s">
        <v>3266</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2"/>
      <c r="B37" s="2113" t="s">
        <v>2031</v>
      </c>
      <c r="C37" s="175">
        <f>ROUND(D5*C22*C23*C24*C28*F37,0)</f>
        <v>20789</v>
      </c>
      <c r="D37" s="2098">
        <f>'数据-汇总表'!G19</f>
        <v>3962.1600000000008</v>
      </c>
      <c r="E37" s="171">
        <f>ROUND(C37*D37/10000,0)</f>
        <v>8237</v>
      </c>
      <c r="F37" s="171">
        <f>SUMIF(修正!A57:A68,G2,修正!B57:B68)</f>
        <v>0.7</v>
      </c>
      <c r="G37" s="171">
        <f>ROUND(IF(E2="工业",C37*$M$42,C37*$M$41),0)</f>
        <v>5197</v>
      </c>
      <c r="H37" s="171">
        <f>D37</f>
        <v>3962.1600000000008</v>
      </c>
      <c r="I37" s="171">
        <f>ROUND(G37*H37/10000,0)</f>
        <v>2059</v>
      </c>
      <c r="J37" s="3010"/>
      <c r="K37" s="3357" t="s">
        <v>3267</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3"/>
      <c r="B38" s="2041" t="s">
        <v>2032</v>
      </c>
      <c r="C38" s="175">
        <f>ROUND(D5*C22*C23*C24*C28*F38,0)</f>
        <v>11879</v>
      </c>
      <c r="D38" s="2098"/>
      <c r="E38" s="171">
        <f t="shared" ref="E38:E42" si="4">ROUND(C38*D38/10000,0)</f>
        <v>0</v>
      </c>
      <c r="F38" s="171">
        <f>SUMIF(修正!A57:A68,G2,修正!C57:C68)</f>
        <v>0.4</v>
      </c>
      <c r="G38" s="171">
        <f>ROUND(IF(E2="工业",C38*$M$42,C38*$M$41),0)</f>
        <v>2970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43"/>
      <c r="B39" s="2041" t="s">
        <v>3260</v>
      </c>
      <c r="C39" s="175">
        <f>ROUND(D5*C22*C23*C24*C28*F39,0)</f>
        <v>8910</v>
      </c>
      <c r="D39" s="2098"/>
      <c r="E39" s="171">
        <f t="shared" si="4"/>
        <v>0</v>
      </c>
      <c r="F39" s="171">
        <f>SUMIF(修正!A57:A68,G2,修正!D57:D68)</f>
        <v>0.3</v>
      </c>
      <c r="G39" s="171">
        <f>ROUND(IF(E2="工业",C39*$M$42,C39*$M$41),0)</f>
        <v>2228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2033</v>
      </c>
      <c r="C40" s="171">
        <f>ROUND(D5*C22*C23*C24*C28*F40,0)</f>
        <v>8910</v>
      </c>
      <c r="D40" s="2098"/>
      <c r="E40" s="171">
        <f t="shared" si="4"/>
        <v>0</v>
      </c>
      <c r="F40" s="175">
        <f>SUMIF(修正!A57:A68,G2,修正!E57:E68)</f>
        <v>0.3</v>
      </c>
      <c r="G40" s="171">
        <f>ROUND(IF(E2="工业",C40*$M$42,C40*$M$41),0)</f>
        <v>2228</v>
      </c>
      <c r="H40" s="171">
        <f t="shared" si="5"/>
        <v>0</v>
      </c>
      <c r="I40" s="171">
        <f t="shared" si="6"/>
        <v>0</v>
      </c>
      <c r="J40" s="2114"/>
      <c r="L40" s="2116" t="s">
        <v>2034</v>
      </c>
      <c r="M40" s="2117"/>
      <c r="Z40" s="1120"/>
      <c r="AA40" s="1120"/>
      <c r="AB40" s="1120"/>
      <c r="AC40" s="1120"/>
      <c r="AD40" s="1120"/>
      <c r="AE40" s="1120"/>
      <c r="AF40" s="1120"/>
      <c r="AG40" s="1120"/>
      <c r="AH40" s="1120"/>
      <c r="AI40" s="1120"/>
      <c r="AJ40" s="1120"/>
    </row>
    <row r="41" spans="1:37" s="1119" customFormat="1">
      <c r="A41" s="2115"/>
      <c r="B41" s="2041" t="s">
        <v>2035</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2036</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1988</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2117</v>
      </c>
      <c r="C44" s="342">
        <f>ROUND(POWER(1+E44,H44-G44)*(POWER(1+E44,G44)-1)/(POWER(1+E44,H44)-1),4)</f>
        <v>0</v>
      </c>
      <c r="D44" s="171" t="s">
        <v>1994</v>
      </c>
      <c r="E44" s="2153">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2037</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2038</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2039</v>
      </c>
      <c r="B49" s="1351" t="s">
        <v>2040</v>
      </c>
      <c r="C49" s="1351" t="s">
        <v>2041</v>
      </c>
      <c r="D49" s="1351" t="s">
        <v>2042</v>
      </c>
      <c r="E49" s="743" t="s">
        <v>2043</v>
      </c>
      <c r="F49" s="2131" t="s">
        <v>2044</v>
      </c>
      <c r="G49" s="1351" t="s">
        <v>310</v>
      </c>
      <c r="H49" s="2132"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30" t="s">
        <v>2047</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2048</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2049</v>
      </c>
      <c r="B53" s="2135" t="s">
        <v>2050</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2051</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2052</v>
      </c>
      <c r="B55" s="2136" t="s">
        <v>2053</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2054</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2055</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2056</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2057</v>
      </c>
      <c r="B59" s="2127">
        <f>1+E61</f>
        <v>1.0441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2039</v>
      </c>
      <c r="B60" s="1351"/>
      <c r="C60" s="1351" t="s">
        <v>2041</v>
      </c>
      <c r="D60" s="1351" t="s">
        <v>2042</v>
      </c>
      <c r="E60" s="743" t="s">
        <v>2043</v>
      </c>
      <c r="F60" s="2131" t="s">
        <v>2058</v>
      </c>
      <c r="G60" s="1351" t="s">
        <v>310</v>
      </c>
      <c r="H60" s="2132"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30" t="s">
        <v>2059</v>
      </c>
      <c r="B61" s="2133" t="str">
        <f>估价对象房地状况!C17</f>
        <v>估价对象位于XX商圈，周边办公楼项目较多，入驻率高，办公集聚程度较好</v>
      </c>
      <c r="C61" s="2044" t="s">
        <v>3527</v>
      </c>
      <c r="D61" s="1065">
        <f t="shared" ref="D61:D69" si="12">SUMIF($J$60:$N$60,C61,J61:N61)</f>
        <v>1.0200000000000001E-2</v>
      </c>
      <c r="E61" s="744">
        <f>ROUND(SUM(D61:D69),4)</f>
        <v>4.41E-2</v>
      </c>
      <c r="F61" s="1814">
        <f>IF(E2="办公",SUMIF(L1:L12,G2,N1:N12),"——")</f>
        <v>8.2000000000000003E-2</v>
      </c>
      <c r="G61" s="1063">
        <f>H61</f>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2048</v>
      </c>
      <c r="B62" s="2134" t="str">
        <f>估价对象房地状况!C18</f>
        <v>估价对象周边道路状况、公共交通通达情况、停车便捷程度，综合评价交通便捷度较好</v>
      </c>
      <c r="C62" s="2044" t="s">
        <v>3527</v>
      </c>
      <c r="D62" s="1065">
        <f t="shared" si="12"/>
        <v>1.06E-2</v>
      </c>
      <c r="E62" s="745"/>
      <c r="F62" s="1814"/>
      <c r="G62" s="1063">
        <f t="shared" ref="G62:G69" si="17">H62</f>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t="s">
        <v>3527</v>
      </c>
      <c r="D63" s="1065">
        <f t="shared" si="12"/>
        <v>4.4999999999999997E-3</v>
      </c>
      <c r="E63" s="745"/>
      <c r="F63" s="1814"/>
      <c r="G63" s="1063">
        <f t="shared" si="17"/>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2049</v>
      </c>
      <c r="B64" s="2135" t="s">
        <v>2050</v>
      </c>
      <c r="C64" s="2044" t="s">
        <v>3527</v>
      </c>
      <c r="D64" s="1065">
        <f t="shared" si="12"/>
        <v>2E-3</v>
      </c>
      <c r="E64" s="745"/>
      <c r="F64" s="1814"/>
      <c r="G64" s="1063">
        <f t="shared" si="17"/>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2051</v>
      </c>
      <c r="B65" s="2134">
        <f>估价对象房地状况!C24</f>
        <v>0</v>
      </c>
      <c r="C65" s="2044" t="s">
        <v>3527</v>
      </c>
      <c r="D65" s="1065">
        <f t="shared" si="12"/>
        <v>2E-3</v>
      </c>
      <c r="E65" s="745"/>
      <c r="F65" s="1814"/>
      <c r="G65" s="1063">
        <f t="shared" si="17"/>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2052</v>
      </c>
      <c r="B66" s="2136" t="s">
        <v>2053</v>
      </c>
      <c r="C66" s="2044" t="s">
        <v>3527</v>
      </c>
      <c r="D66" s="1065">
        <f t="shared" si="12"/>
        <v>2.3999999999999998E-3</v>
      </c>
      <c r="E66" s="745"/>
      <c r="F66" s="1814"/>
      <c r="G66" s="1063">
        <f t="shared" si="17"/>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2054</v>
      </c>
      <c r="B67" s="1326" t="str">
        <f>估价对象房地状况!C21</f>
        <v>估价对象所在区域公共配套设施齐备情况</v>
      </c>
      <c r="C67" s="2044" t="s">
        <v>3527</v>
      </c>
      <c r="D67" s="1065">
        <f t="shared" si="12"/>
        <v>2.3999999999999998E-3</v>
      </c>
      <c r="E67" s="745"/>
      <c r="F67" s="1814"/>
      <c r="G67" s="1063">
        <f t="shared" si="17"/>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2055</v>
      </c>
      <c r="B68" s="1326" t="str">
        <f>估价对象房地状况!C22</f>
        <v>估价对象所在区域基础设施水平</v>
      </c>
      <c r="C68" s="2044" t="s">
        <v>3528</v>
      </c>
      <c r="D68" s="1065">
        <f t="shared" si="12"/>
        <v>7.1999999999999998E-3</v>
      </c>
      <c r="E68" s="745"/>
      <c r="F68" s="1814"/>
      <c r="G68" s="1063">
        <f t="shared" si="17"/>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2056</v>
      </c>
      <c r="B69" s="2140" t="str">
        <f>估价对象房地状况!C20</f>
        <v>区域自然环境：；人文环境；综合评价环境状况一般</v>
      </c>
      <c r="C69" s="2044" t="s">
        <v>3527</v>
      </c>
      <c r="D69" s="1065">
        <f t="shared" si="12"/>
        <v>2.8E-3</v>
      </c>
      <c r="E69" s="746"/>
      <c r="F69" s="1814"/>
      <c r="G69" s="1063">
        <f t="shared" si="17"/>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2060</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2039</v>
      </c>
      <c r="B71" s="1351"/>
      <c r="C71" s="1351" t="s">
        <v>2041</v>
      </c>
      <c r="D71" s="1351" t="s">
        <v>2042</v>
      </c>
      <c r="E71" s="743" t="s">
        <v>2043</v>
      </c>
      <c r="F71" s="2131" t="s">
        <v>2058</v>
      </c>
      <c r="G71" s="1351" t="s">
        <v>310</v>
      </c>
      <c r="H71" s="2132"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30" t="s">
        <v>2061</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2048</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2062</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2054</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2055</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2052</v>
      </c>
      <c r="B78" s="2136" t="s">
        <v>2053</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2056</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2063</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2064</v>
      </c>
      <c r="B81" s="2127">
        <f>1+E83</f>
        <v>1</v>
      </c>
      <c r="C81" s="741"/>
      <c r="D81" s="741"/>
      <c r="E81" s="742"/>
      <c r="F81" s="2129"/>
      <c r="G81" s="3"/>
      <c r="H81" s="3"/>
      <c r="I81" s="3"/>
      <c r="J81" s="4"/>
      <c r="K81" s="4"/>
      <c r="L81" s="4"/>
      <c r="M81" s="4"/>
      <c r="N81" s="4"/>
      <c r="Z81" s="1998"/>
      <c r="AA81" s="2053"/>
      <c r="AG81" s="1121"/>
      <c r="AK81" s="2053"/>
    </row>
    <row r="82" spans="1:37" ht="24.75">
      <c r="A82" s="2130" t="s">
        <v>2039</v>
      </c>
      <c r="B82" s="1351"/>
      <c r="C82" s="1351" t="s">
        <v>2041</v>
      </c>
      <c r="D82" s="1351" t="s">
        <v>2042</v>
      </c>
      <c r="E82" s="743" t="s">
        <v>2043</v>
      </c>
      <c r="F82" s="2131" t="s">
        <v>2058</v>
      </c>
      <c r="G82" s="1351" t="s">
        <v>310</v>
      </c>
      <c r="H82" s="2132" t="s">
        <v>2045</v>
      </c>
      <c r="I82" s="1351" t="s">
        <v>2046</v>
      </c>
      <c r="J82" s="552" t="s">
        <v>1716</v>
      </c>
      <c r="K82" s="552" t="s">
        <v>1717</v>
      </c>
      <c r="L82" s="552" t="s">
        <v>1718</v>
      </c>
      <c r="M82" s="552" t="s">
        <v>1719</v>
      </c>
      <c r="N82" s="552" t="s">
        <v>1720</v>
      </c>
      <c r="Z82" s="1998"/>
      <c r="AA82" s="2053"/>
      <c r="AG82" s="1121"/>
      <c r="AK82" s="2053"/>
    </row>
    <row r="83" spans="1:37" ht="38.25">
      <c r="A83" s="2130" t="s">
        <v>2065</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2048</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3271</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2062</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2054</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2055</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2052</v>
      </c>
      <c r="B89" s="2136" t="s">
        <v>2066</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2067</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2611</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3274</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3270</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3275</v>
      </c>
      <c r="B96" s="3383" t="s">
        <v>3286</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3276</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3277</v>
      </c>
      <c r="B98" s="3384" t="s">
        <v>3287</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3278</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3279</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3280</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40" t="s">
        <v>3295</v>
      </c>
      <c r="B103" s="3740"/>
      <c r="C103" s="3740"/>
      <c r="D103" s="3740"/>
      <c r="E103" s="3740"/>
      <c r="F103" s="3740"/>
      <c r="G103" s="3740"/>
      <c r="H103" s="3740"/>
      <c r="I103" s="3740"/>
      <c r="J103" s="3740"/>
      <c r="K103" s="3388"/>
      <c r="L103" s="3388"/>
      <c r="M103" s="3388"/>
      <c r="N103" s="3388"/>
    </row>
    <row r="104" spans="1:14">
      <c r="A104" s="3741" t="s">
        <v>3296</v>
      </c>
      <c r="B104" s="3741" t="s">
        <v>3297</v>
      </c>
      <c r="C104" s="3389" t="s">
        <v>3298</v>
      </c>
      <c r="D104" s="3390"/>
      <c r="E104" s="3390"/>
      <c r="F104" s="3390"/>
      <c r="G104" s="3390"/>
      <c r="H104" s="3390"/>
      <c r="I104" s="3390"/>
      <c r="J104" s="3391"/>
      <c r="K104" s="3392"/>
      <c r="L104" s="3392"/>
      <c r="M104" s="3392"/>
      <c r="N104" s="3392"/>
    </row>
    <row r="105" spans="1:14">
      <c r="A105" s="3741"/>
      <c r="B105" s="3741"/>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27"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8"/>
      <c r="B111" s="3393" t="s">
        <v>3269</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2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30" t="s">
        <v>3312</v>
      </c>
      <c r="B113" s="3730"/>
      <c r="C113" s="3730"/>
      <c r="D113" s="3730"/>
      <c r="E113" s="3730"/>
      <c r="F113" s="3730"/>
      <c r="G113" s="3730"/>
      <c r="H113" s="3730"/>
      <c r="I113" s="3730"/>
      <c r="J113" s="373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5.95</v>
      </c>
      <c r="C116" s="3398" t="s">
        <v>3314</v>
      </c>
      <c r="D116" s="3399">
        <f>SUMPRODUCT((A118:A122=F116)*(B117:M117=H116)*B118:M122)</f>
        <v>0.9264</v>
      </c>
      <c r="E116" s="2000" t="s">
        <v>3315</v>
      </c>
      <c r="F116" s="3400" t="str">
        <f>E2</f>
        <v>办公</v>
      </c>
      <c r="G116" s="2000" t="s">
        <v>3316</v>
      </c>
      <c r="H116" s="3400" t="str">
        <f>G2</f>
        <v>一级</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0.93140000000000001</v>
      </c>
      <c r="C118" s="3386">
        <f>B118</f>
        <v>0.93140000000000001</v>
      </c>
      <c r="D118" s="3386">
        <f>ROUND(0.949-0.014*B116,4)</f>
        <v>0.86570000000000003</v>
      </c>
      <c r="E118" s="3386">
        <f>D118</f>
        <v>0.86570000000000003</v>
      </c>
      <c r="F118" s="3386">
        <f>E118</f>
        <v>0.86570000000000003</v>
      </c>
      <c r="G118" s="3386">
        <f>F118</f>
        <v>0.86570000000000003</v>
      </c>
      <c r="H118" s="3386">
        <f>G118</f>
        <v>0.86570000000000003</v>
      </c>
      <c r="I118" s="3386">
        <f>ROUND(0.8486-0.018*B116,4)</f>
        <v>0.74150000000000005</v>
      </c>
      <c r="J118" s="3386">
        <f t="shared" ref="J118:M122" si="36">I118</f>
        <v>0.74150000000000005</v>
      </c>
      <c r="K118" s="3386">
        <f t="shared" si="36"/>
        <v>0.74150000000000005</v>
      </c>
      <c r="L118" s="3386">
        <f t="shared" si="36"/>
        <v>0.74150000000000005</v>
      </c>
      <c r="M118" s="3409">
        <f t="shared" si="36"/>
        <v>0.74150000000000005</v>
      </c>
      <c r="N118" s="3396"/>
    </row>
    <row r="119" spans="1:14">
      <c r="A119" s="3408" t="s">
        <v>3330</v>
      </c>
      <c r="B119" s="3386">
        <f>ROUND(0.993-0.0112*B116,4)</f>
        <v>0.9264</v>
      </c>
      <c r="C119" s="3386">
        <f>B119</f>
        <v>0.9264</v>
      </c>
      <c r="D119" s="3386">
        <f>ROUND(0.9415-0.0142*B116,4)</f>
        <v>0.85699999999999998</v>
      </c>
      <c r="E119" s="3386">
        <f t="shared" ref="E119:H120" si="37">D119</f>
        <v>0.85699999999999998</v>
      </c>
      <c r="F119" s="3386">
        <f t="shared" si="37"/>
        <v>0.85699999999999998</v>
      </c>
      <c r="G119" s="3386">
        <f t="shared" si="37"/>
        <v>0.85699999999999998</v>
      </c>
      <c r="H119" s="3386">
        <f t="shared" si="37"/>
        <v>0.85699999999999998</v>
      </c>
      <c r="I119" s="3386">
        <f>ROUND(0.838-0.0182*B116,4)</f>
        <v>0.72970000000000002</v>
      </c>
      <c r="J119" s="3386">
        <f t="shared" si="36"/>
        <v>0.72970000000000002</v>
      </c>
      <c r="K119" s="3386">
        <f t="shared" si="36"/>
        <v>0.72970000000000002</v>
      </c>
      <c r="L119" s="3386">
        <f t="shared" si="36"/>
        <v>0.72970000000000002</v>
      </c>
      <c r="M119" s="3409">
        <f t="shared" si="36"/>
        <v>0.72970000000000002</v>
      </c>
      <c r="N119" s="3396"/>
    </row>
    <row r="120" spans="1:14">
      <c r="A120" s="3408" t="s">
        <v>3331</v>
      </c>
      <c r="B120" s="3386">
        <f>ROUND(0.9448-0.0115*B116,4)</f>
        <v>0.87639999999999996</v>
      </c>
      <c r="C120" s="3386">
        <f>B120</f>
        <v>0.87639999999999996</v>
      </c>
      <c r="D120" s="3386">
        <f>ROUND(0.937-0.0145*B116,4)</f>
        <v>0.85070000000000001</v>
      </c>
      <c r="E120" s="3386">
        <f t="shared" si="37"/>
        <v>0.85070000000000001</v>
      </c>
      <c r="F120" s="3386">
        <f t="shared" si="37"/>
        <v>0.85070000000000001</v>
      </c>
      <c r="G120" s="3386">
        <f t="shared" si="37"/>
        <v>0.85070000000000001</v>
      </c>
      <c r="H120" s="3386">
        <f t="shared" si="37"/>
        <v>0.85070000000000001</v>
      </c>
      <c r="I120" s="3386">
        <f>ROUND(0.7965-0.0185*B116,4)</f>
        <v>0.68640000000000001</v>
      </c>
      <c r="J120" s="3386">
        <f t="shared" si="36"/>
        <v>0.68640000000000001</v>
      </c>
      <c r="K120" s="3386">
        <f t="shared" si="36"/>
        <v>0.68640000000000001</v>
      </c>
      <c r="L120" s="3386">
        <f t="shared" si="36"/>
        <v>0.68640000000000001</v>
      </c>
      <c r="M120" s="3409">
        <f t="shared" si="36"/>
        <v>0.68640000000000001</v>
      </c>
      <c r="N120" s="3396"/>
    </row>
    <row r="121" spans="1:14" ht="13.5" thickBot="1">
      <c r="A121" s="3410" t="s">
        <v>3332</v>
      </c>
      <c r="B121" s="3411">
        <f>ROUND(0.7836-0.012*B116,4)</f>
        <v>0.71220000000000006</v>
      </c>
      <c r="C121" s="3411">
        <f>B121</f>
        <v>0.71220000000000006</v>
      </c>
      <c r="D121" s="3411">
        <f>ROUND(0.753-0.015*B116,4)</f>
        <v>0.66379999999999995</v>
      </c>
      <c r="E121" s="3411">
        <f>D121</f>
        <v>0.66379999999999995</v>
      </c>
      <c r="F121" s="3411">
        <f>E121</f>
        <v>0.66379999999999995</v>
      </c>
      <c r="G121" s="3411">
        <f>ROUND(0.6612-0.018*B116,4)</f>
        <v>0.55410000000000004</v>
      </c>
      <c r="H121" s="3411">
        <f>G121</f>
        <v>0.55410000000000004</v>
      </c>
      <c r="I121" s="3411">
        <f>ROUND(0.5905-0.019*B116,4)</f>
        <v>0.47749999999999998</v>
      </c>
      <c r="J121" s="3411">
        <f t="shared" si="36"/>
        <v>0.47749999999999998</v>
      </c>
      <c r="K121" s="3411">
        <f t="shared" si="36"/>
        <v>0.47749999999999998</v>
      </c>
      <c r="L121" s="3411">
        <f t="shared" si="36"/>
        <v>0.47749999999999998</v>
      </c>
      <c r="M121" s="3412">
        <f t="shared" si="36"/>
        <v>0.47749999999999998</v>
      </c>
      <c r="N121" s="3396"/>
    </row>
    <row r="122" spans="1:14">
      <c r="A122" s="3413" t="s">
        <v>2611</v>
      </c>
      <c r="B122" s="3386">
        <f>ROUND(0.9404-0.0106*B116,4)</f>
        <v>0.87729999999999997</v>
      </c>
      <c r="C122" s="3386">
        <f>B122</f>
        <v>0.87729999999999997</v>
      </c>
      <c r="D122" s="3386">
        <f>ROUND(0.8955-0.0135*B116,4)</f>
        <v>0.81520000000000004</v>
      </c>
      <c r="E122" s="3386">
        <f t="shared" ref="E122:H122" si="38">D122</f>
        <v>0.81520000000000004</v>
      </c>
      <c r="F122" s="3386">
        <f t="shared" si="38"/>
        <v>0.81520000000000004</v>
      </c>
      <c r="G122" s="3386">
        <f t="shared" si="38"/>
        <v>0.81520000000000004</v>
      </c>
      <c r="H122" s="3386">
        <f t="shared" si="38"/>
        <v>0.81520000000000004</v>
      </c>
      <c r="I122" s="3386">
        <f>ROUND(0.7632-0.0166*B116,4)</f>
        <v>0.66439999999999999</v>
      </c>
      <c r="J122" s="3386">
        <f t="shared" si="36"/>
        <v>0.66439999999999999</v>
      </c>
      <c r="K122" s="3386">
        <f t="shared" si="36"/>
        <v>0.66439999999999999</v>
      </c>
      <c r="L122" s="3386">
        <f t="shared" si="36"/>
        <v>0.66439999999999999</v>
      </c>
      <c r="M122" s="3409">
        <f t="shared" si="36"/>
        <v>0.66439999999999999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25" sqref="E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t="s">
        <v>3497</v>
      </c>
      <c r="D1" s="1362" t="s">
        <v>43</v>
      </c>
      <c r="E1" s="1363" t="s">
        <v>673</v>
      </c>
      <c r="F1" s="1062">
        <f ca="1">J53</f>
        <v>19.66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f ca="1">C40+J29+L46</f>
        <v>9572</v>
      </c>
      <c r="C2" s="1387" t="s">
        <v>800</v>
      </c>
      <c r="D2" s="1387"/>
      <c r="E2" s="1388"/>
      <c r="F2" s="1389"/>
      <c r="G2" s="2706"/>
      <c r="H2" s="2695"/>
      <c r="I2" s="2695"/>
      <c r="J2" s="2695"/>
      <c r="K2" s="2696"/>
      <c r="L2" s="2695"/>
      <c r="M2" s="2695"/>
    </row>
    <row r="3" spans="1:37" ht="18" customHeight="1" thickBot="1">
      <c r="A3" s="1390" t="s">
        <v>801</v>
      </c>
      <c r="B3" s="1391">
        <f ca="1">IF(ISERROR(B2*10000/F43),0,ROUND(B2*10000/F43,0))</f>
        <v>24159</v>
      </c>
      <c r="C3" s="1387" t="s">
        <v>802</v>
      </c>
      <c r="D3" s="1387"/>
      <c r="E3" s="1388"/>
      <c r="F3" s="1389"/>
      <c r="G3" s="2706"/>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782</v>
      </c>
      <c r="D5" s="1364" t="s">
        <v>688</v>
      </c>
      <c r="E5" s="1071"/>
      <c r="F5" s="1072"/>
      <c r="G5" s="1384"/>
      <c r="H5" s="299">
        <v>1</v>
      </c>
      <c r="I5" s="300" t="s">
        <v>687</v>
      </c>
      <c r="J5" s="1070">
        <f ca="1">J6+J10+J12</f>
        <v>0</v>
      </c>
      <c r="K5" s="1364" t="s">
        <v>688</v>
      </c>
      <c r="L5" s="1071"/>
      <c r="M5" s="1072"/>
    </row>
    <row r="6" spans="1:37" ht="18" customHeight="1">
      <c r="A6" s="1069" t="s">
        <v>398</v>
      </c>
      <c r="B6" s="3711" t="s">
        <v>689</v>
      </c>
      <c r="C6" s="1074">
        <f ca="1">ROUND(F6*F8*F7*(1-F9)/10000,0)</f>
        <v>781</v>
      </c>
      <c r="D6" s="155" t="s">
        <v>2104</v>
      </c>
      <c r="E6" s="302" t="s">
        <v>691</v>
      </c>
      <c r="F6" s="303">
        <f ca="1">INDIRECT("'数据-取费表'!u"&amp;$G$1)</f>
        <v>6</v>
      </c>
      <c r="G6" s="1384"/>
      <c r="H6" s="1069" t="s">
        <v>398</v>
      </c>
      <c r="I6" s="3711" t="s">
        <v>689</v>
      </c>
      <c r="J6" s="301">
        <f ca="1">ROUND(M6*M8*M7*(1-M9)/10000,0)</f>
        <v>0</v>
      </c>
      <c r="K6" s="155" t="s">
        <v>2103</v>
      </c>
      <c r="L6" s="302" t="s">
        <v>691</v>
      </c>
      <c r="M6" s="303">
        <f ca="1">INDIRECT("'数据-取费表'!z"&amp;$G$1)</f>
        <v>0</v>
      </c>
    </row>
    <row r="7" spans="1:37" ht="18" customHeight="1">
      <c r="A7" s="1073"/>
      <c r="B7" s="3712"/>
      <c r="C7" s="1075"/>
      <c r="D7" s="307"/>
      <c r="E7" s="3454" t="s">
        <v>692</v>
      </c>
      <c r="F7" s="303">
        <f ca="1">IF(INDIRECT("'数据-取费表'!ah"&amp;$G$1)="",INDIRECT("'数据-取费表'!k"&amp;$G$1),INDIRECT("'数据-取费表'!ah"&amp;$G$1))</f>
        <v>3962.1600000000008</v>
      </c>
      <c r="G7" s="1384"/>
      <c r="H7" s="304"/>
      <c r="I7" s="3712"/>
      <c r="J7" s="306"/>
      <c r="K7" s="307"/>
      <c r="L7" s="302" t="s">
        <v>692</v>
      </c>
      <c r="M7" s="303">
        <f ca="1">F7</f>
        <v>3962.1600000000008</v>
      </c>
    </row>
    <row r="8" spans="1:37" ht="18" customHeight="1">
      <c r="A8" s="304"/>
      <c r="B8" s="3712"/>
      <c r="C8" s="306"/>
      <c r="D8" s="307"/>
      <c r="E8" s="302" t="s">
        <v>693</v>
      </c>
      <c r="F8" s="303">
        <f ca="1">INDIRECT("'数据-取费表'!ai"&amp;$G$1)</f>
        <v>365</v>
      </c>
      <c r="G8" s="1384"/>
      <c r="H8" s="304"/>
      <c r="I8" s="3712"/>
      <c r="J8" s="306"/>
      <c r="K8" s="307"/>
      <c r="L8" s="302" t="s">
        <v>693</v>
      </c>
      <c r="M8" s="303">
        <f ca="1">INDIRECT("'数据-取费表'!ai"&amp;$G$1)</f>
        <v>365</v>
      </c>
    </row>
    <row r="9" spans="1:37" ht="18" customHeight="1">
      <c r="A9" s="304"/>
      <c r="B9" s="3713"/>
      <c r="C9" s="306"/>
      <c r="D9" s="307"/>
      <c r="E9" s="302" t="s">
        <v>694</v>
      </c>
      <c r="F9" s="312">
        <f ca="1">INDIRECT("'数据-取费表'!w"&amp;$G$1)</f>
        <v>0.1</v>
      </c>
      <c r="G9" s="1384"/>
      <c r="H9" s="304"/>
      <c r="I9" s="3713"/>
      <c r="J9" s="306"/>
      <c r="K9" s="307"/>
      <c r="L9" s="313" t="s">
        <v>694</v>
      </c>
      <c r="M9" s="314">
        <f ca="1">INDIRECT("'数据-取费表'!ab"&amp;$G$1)</f>
        <v>0</v>
      </c>
    </row>
    <row r="10" spans="1:37" ht="18" customHeight="1">
      <c r="A10" s="1069" t="s">
        <v>402</v>
      </c>
      <c r="B10" s="1365" t="s">
        <v>695</v>
      </c>
      <c r="C10" s="316">
        <f ca="1">ROUND(IF(F10="押一",C6/12*F11,IF(F10="押二",C6/12*2*F11,IF(F10="押三",C6/12*3*F11,C11*F11))),0)</f>
        <v>1</v>
      </c>
      <c r="D10" s="1366" t="s">
        <v>2111</v>
      </c>
      <c r="E10" s="313" t="s">
        <v>696</v>
      </c>
      <c r="F10" s="1116" t="s">
        <v>3507</v>
      </c>
      <c r="G10" s="1384"/>
      <c r="H10" s="1069" t="s">
        <v>402</v>
      </c>
      <c r="I10" s="1365" t="s">
        <v>695</v>
      </c>
      <c r="J10" s="301">
        <f ca="1">ROUND(IF(M10="押一",J6/12*M11,IF(M10="押二",J6/12*2*M11,IF(M10="押三",J6/12*3*M11,J11*M11))),0)</f>
        <v>0</v>
      </c>
      <c r="K10" s="1366" t="s">
        <v>2111</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2665</v>
      </c>
      <c r="D13" s="3448" t="s">
        <v>700</v>
      </c>
      <c r="E13" s="3448" t="s">
        <v>701</v>
      </c>
      <c r="F13" s="1082">
        <f ca="1">INDIRECT("'数据-取费表'!y"&amp;$G$1)</f>
        <v>0.8</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2179</v>
      </c>
      <c r="D14" s="3464" t="s">
        <v>703</v>
      </c>
      <c r="E14" s="3463"/>
      <c r="F14" s="319"/>
      <c r="G14" s="1384"/>
      <c r="H14" s="982" t="s">
        <v>398</v>
      </c>
      <c r="I14" s="302" t="s">
        <v>704</v>
      </c>
      <c r="J14" s="21">
        <f ca="1">C29</f>
        <v>3331</v>
      </c>
      <c r="K14" s="3452"/>
      <c r="L14" s="807"/>
      <c r="M14" s="808"/>
    </row>
    <row r="15" spans="1:37" s="1397" customFormat="1" ht="18" customHeight="1" thickBot="1">
      <c r="A15" s="982" t="s">
        <v>399</v>
      </c>
      <c r="B15" s="302" t="s">
        <v>705</v>
      </c>
      <c r="C15" s="21">
        <f ca="1">ROUND(C14*F15,0)</f>
        <v>109</v>
      </c>
      <c r="D15" s="3449" t="s">
        <v>706</v>
      </c>
      <c r="E15" s="3449"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18</v>
      </c>
      <c r="K16" s="1087" t="s">
        <v>710</v>
      </c>
      <c r="L16" s="3468"/>
      <c r="M16" s="1072"/>
    </row>
    <row r="17" spans="1:37" s="1397" customFormat="1" ht="18" customHeight="1">
      <c r="A17" s="982" t="s">
        <v>676</v>
      </c>
      <c r="B17" s="302" t="s">
        <v>711</v>
      </c>
      <c r="C17" s="21">
        <f ca="1">ROUND(F17*(F43+INDIRECT("'数据-取费表'!S"&amp;$G$1))/10000,0)</f>
        <v>79</v>
      </c>
      <c r="D17" s="302" t="s">
        <v>712</v>
      </c>
      <c r="E17" s="302" t="s">
        <v>713</v>
      </c>
      <c r="F17" s="23">
        <f>'数据-取费表'!B35</f>
        <v>200</v>
      </c>
      <c r="G17" s="1396"/>
      <c r="H17" s="982" t="s">
        <v>398</v>
      </c>
      <c r="I17" s="302" t="s">
        <v>714</v>
      </c>
      <c r="J17" s="2316">
        <f ca="1">ROUND(IF(AND(项目基本情况!B11="自然人",项目基本情况!B10="北京市"),J6*M17/(1+'数据-取费表'!C42),J18+J19+J20),2)</f>
        <v>1.36</v>
      </c>
      <c r="K17" s="3464" t="s">
        <v>715</v>
      </c>
      <c r="L17" s="3467" t="s">
        <v>716</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33</v>
      </c>
      <c r="D18" s="302" t="s">
        <v>706</v>
      </c>
      <c r="E18" s="302" t="s">
        <v>707</v>
      </c>
      <c r="F18" s="322">
        <f>'数据-取费表'!B36</f>
        <v>1.4999999999999999E-2</v>
      </c>
      <c r="G18" s="1396"/>
      <c r="H18" s="982" t="s">
        <v>397</v>
      </c>
      <c r="I18" s="302" t="s">
        <v>718</v>
      </c>
      <c r="J18" s="21">
        <f ca="1">ROUND(J6*M18/(1+'数据-取费表'!C42),2)</f>
        <v>0</v>
      </c>
      <c r="K18" s="3467"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2400</v>
      </c>
      <c r="D19" s="131" t="s">
        <v>721</v>
      </c>
      <c r="E19" s="3471"/>
      <c r="F19" s="23"/>
      <c r="G19" s="1384"/>
      <c r="H19" s="982" t="s">
        <v>399</v>
      </c>
      <c r="I19" s="302" t="s">
        <v>722</v>
      </c>
      <c r="J19" s="21">
        <f ca="1">IF(K19="按租金收入计税",ROUND(J6*M19/(1+'数据-取费表'!C42),2),ROUND(C29*M19*0.7,2))</f>
        <v>0</v>
      </c>
      <c r="K19" s="1370" t="s">
        <v>3337</v>
      </c>
      <c r="L19" s="302" t="s">
        <v>707</v>
      </c>
      <c r="M19" s="322">
        <f>IF(K19="按租金收入计税",'数据-取费表'!B51,'数据-取费表'!B50)</f>
        <v>0.12</v>
      </c>
    </row>
    <row r="20" spans="1:37" s="1397" customFormat="1" ht="18" customHeight="1">
      <c r="A20" s="982" t="s">
        <v>402</v>
      </c>
      <c r="B20" s="302" t="s">
        <v>723</v>
      </c>
      <c r="C20" s="21">
        <f ca="1">ROUND(C19*F20,0)</f>
        <v>48</v>
      </c>
      <c r="D20" s="2428" t="s">
        <v>724</v>
      </c>
      <c r="E20" s="302" t="s">
        <v>707</v>
      </c>
      <c r="F20" s="322">
        <f>'数据-取费表'!B37</f>
        <v>0.02</v>
      </c>
      <c r="G20" s="1396"/>
      <c r="H20" s="982" t="s">
        <v>675</v>
      </c>
      <c r="I20" s="155" t="s">
        <v>725</v>
      </c>
      <c r="J20" s="22">
        <f ca="1">ROUND(M20*M21/10000,2)</f>
        <v>1.36</v>
      </c>
      <c r="K20" s="324" t="s">
        <v>726</v>
      </c>
      <c r="L20" s="302" t="s">
        <v>727</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2428" t="s">
        <v>729</v>
      </c>
      <c r="E21" s="302" t="s">
        <v>730</v>
      </c>
      <c r="F21" s="322">
        <f>'数据-取费表'!B38</f>
        <v>0.02</v>
      </c>
      <c r="G21" s="1396"/>
      <c r="H21" s="326"/>
      <c r="I21" s="311"/>
      <c r="J21" s="26"/>
      <c r="K21" s="327"/>
      <c r="L21" s="302" t="s">
        <v>731</v>
      </c>
      <c r="M21" s="303">
        <f ca="1">INDIRECT("'数据-取费表'!r"&amp;$G$1)</f>
        <v>566.84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3471"/>
      <c r="F22" s="23"/>
      <c r="G22" s="1384"/>
      <c r="H22" s="982" t="s">
        <v>402</v>
      </c>
      <c r="I22" s="302" t="s">
        <v>733</v>
      </c>
      <c r="J22" s="21">
        <f ca="1">ROUND(J14*M22,2)</f>
        <v>16.66</v>
      </c>
      <c r="K22" s="3467" t="s">
        <v>734</v>
      </c>
      <c r="L22" s="302" t="s">
        <v>707</v>
      </c>
      <c r="M22" s="328">
        <f ca="1">INDIRECT("'数据-取费表'!Ak"&amp;$G$1)</f>
        <v>5.0000000000000001E-3</v>
      </c>
    </row>
    <row r="23" spans="1:37" s="1397" customFormat="1" ht="18" customHeight="1">
      <c r="A23" s="982" t="s">
        <v>397</v>
      </c>
      <c r="B23" s="302" t="s">
        <v>735</v>
      </c>
      <c r="C23" s="21">
        <f ca="1">IF('数据-取费表'!B22&lt;=1,ROUND(C19*F24*F23/2,0)+ROUND(C20*F24*F23/2,0),ROUND(C19*(POWER((1+F24),F23/2)-1),0)+ROUND(C20*(POWER((1+F24),F23/2)-1),0))</f>
        <v>132</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3467" t="s">
        <v>738</v>
      </c>
      <c r="L23" s="302" t="s">
        <v>707</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1.1000000000000001E-3</v>
      </c>
      <c r="D24" s="329" t="str">
        <f>IF(F23&lt;=1,"销售费用×利率×(建设周期÷2)","销售费用×((1+利率)^(建设周期÷2)-1)")</f>
        <v>销售费用×((1+利率)^(建设周期÷2)-1)</v>
      </c>
      <c r="E24" s="302" t="s">
        <v>742</v>
      </c>
      <c r="F24" s="331">
        <f ca="1">'数据-取费表'!B40</f>
        <v>3.5499999999999997E-2</v>
      </c>
      <c r="G24" s="1396"/>
      <c r="H24" s="1089" t="s">
        <v>678</v>
      </c>
      <c r="I24" s="1090" t="s">
        <v>723</v>
      </c>
      <c r="J24" s="1091">
        <f ca="1">ROUND(J5*M24,2)</f>
        <v>0</v>
      </c>
      <c r="K24" s="1092" t="s">
        <v>743</v>
      </c>
      <c r="L24" s="1090" t="s">
        <v>707</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3471"/>
      <c r="F25" s="23"/>
      <c r="G25" s="1384"/>
      <c r="H25" s="1079" t="s">
        <v>394</v>
      </c>
      <c r="I25" s="1094" t="s">
        <v>747</v>
      </c>
      <c r="J25" s="310">
        <f ca="1">J5-J16</f>
        <v>-18</v>
      </c>
      <c r="K25" s="1095" t="s">
        <v>748</v>
      </c>
      <c r="L25" s="1096"/>
      <c r="M25" s="1097"/>
    </row>
    <row r="26" spans="1:37">
      <c r="A26" s="982" t="s">
        <v>397</v>
      </c>
      <c r="B26" s="302" t="s">
        <v>749</v>
      </c>
      <c r="C26" s="21">
        <f ca="1">ROUND((C19+C20)*F26,0)</f>
        <v>490</v>
      </c>
      <c r="D26" s="2428" t="s">
        <v>750</v>
      </c>
      <c r="E26" s="313" t="s">
        <v>751</v>
      </c>
      <c r="F26" s="312">
        <f ca="1">INDIRECT("'数据-取费表'!q"&amp;$G$1)</f>
        <v>0.2</v>
      </c>
      <c r="G26" s="1384"/>
      <c r="H26" s="299" t="s">
        <v>395</v>
      </c>
      <c r="I26" s="300" t="s">
        <v>752</v>
      </c>
      <c r="J26" s="301">
        <f ca="1">IF(J5&lt;&gt;0,ROUND(J25*(1-((1+M28)/(1+M26))^M27)/(M26-M28),0),0)</f>
        <v>0</v>
      </c>
      <c r="K26" s="324" t="s">
        <v>753</v>
      </c>
      <c r="L26" s="302" t="s">
        <v>754</v>
      </c>
      <c r="M26" s="312">
        <f ca="1">INDIRECT("'数据-取费表'!I"&amp;$G$1)</f>
        <v>5.5E-2</v>
      </c>
    </row>
    <row r="27" spans="1:37" ht="18" customHeight="1">
      <c r="A27" s="982" t="s">
        <v>399</v>
      </c>
      <c r="B27" s="302" t="s">
        <v>755</v>
      </c>
      <c r="C27" s="21">
        <f ca="1">ROUND(F21*F26,4)</f>
        <v>4.0000000000000001E-3</v>
      </c>
      <c r="D27" s="2428" t="s">
        <v>756</v>
      </c>
      <c r="E27" s="3449"/>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2428"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3331</v>
      </c>
      <c r="D29" s="1092"/>
      <c r="E29" s="1090"/>
      <c r="F29" s="1093"/>
      <c r="G29" s="1396"/>
      <c r="H29" s="334" t="s">
        <v>396</v>
      </c>
      <c r="I29" s="335" t="s">
        <v>763</v>
      </c>
      <c r="J29" s="336">
        <f ca="1">ROUND(J26/(1+F40)^F41,0)</f>
        <v>0</v>
      </c>
      <c r="K29" s="337" t="s">
        <v>764</v>
      </c>
      <c r="L29" s="338"/>
      <c r="M29" s="339">
        <f ca="1">INDIRECT("'数据-取费表'!k"&amp;$G$1)</f>
        <v>3962.1600000000008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156</v>
      </c>
      <c r="D30" s="1087" t="s">
        <v>710</v>
      </c>
      <c r="E30" s="3468"/>
      <c r="F30" s="1072"/>
      <c r="G30" s="1384"/>
      <c r="H30" s="2697"/>
      <c r="I30" s="1398"/>
      <c r="J30" s="1399"/>
      <c r="K30" s="2475"/>
      <c r="L30" s="2698"/>
      <c r="M30" s="2699"/>
    </row>
    <row r="31" spans="1:37" ht="18" customHeight="1">
      <c r="A31" s="982" t="s">
        <v>398</v>
      </c>
      <c r="B31" s="302" t="s">
        <v>714</v>
      </c>
      <c r="C31" s="2316">
        <f ca="1">ROUND(IF(AND(项目基本情况!B11="自然人",项目基本情况!B10="北京市"),C6*F31/(1+'数据-取费表'!C42),C32+C33+C34),2)</f>
        <v>132.27000000000001</v>
      </c>
      <c r="D31" s="3464" t="s">
        <v>715</v>
      </c>
      <c r="E31" s="3467" t="s">
        <v>765</v>
      </c>
      <c r="F31" s="2315" t="str">
        <f>IF(项目基本情况!B11="企业","——",IF(M47="住宅",IF(F6*F7*F8/12/(1+'数据-取费表'!F30)&gt;100000,4%,2.5%),IF(F6*F7*F8/12/(1+'数据-取费表'!F30)&gt;100000,12%,7%)))</f>
        <v>——</v>
      </c>
      <c r="G31" s="1384"/>
      <c r="H31" s="2806" t="s">
        <v>2305</v>
      </c>
      <c r="I31" s="1398"/>
      <c r="J31" s="1399"/>
      <c r="K31" s="2475"/>
      <c r="L31" s="2698"/>
      <c r="M31" s="2699"/>
    </row>
    <row r="32" spans="1:37" ht="18" customHeight="1">
      <c r="A32" s="982" t="s">
        <v>397</v>
      </c>
      <c r="B32" s="302" t="s">
        <v>718</v>
      </c>
      <c r="C32" s="21">
        <f ca="1">IF(项目基本情况!B11="自然人","——",ROUND(C6*F32/(1+'数据-取费表'!C42),2))</f>
        <v>41.65</v>
      </c>
      <c r="D32" s="3467" t="s">
        <v>719</v>
      </c>
      <c r="E32" s="302" t="s">
        <v>707</v>
      </c>
      <c r="F32" s="331">
        <f>'数据-取费表'!B41</f>
        <v>5.6000000000000001E-2</v>
      </c>
      <c r="G32" s="1384"/>
      <c r="H32" s="2697"/>
      <c r="I32" s="1398"/>
      <c r="J32" s="1399"/>
      <c r="K32" s="2475"/>
      <c r="L32" s="2698"/>
      <c r="M32" s="2699"/>
    </row>
    <row r="33" spans="1:18" ht="18" customHeight="1">
      <c r="A33" s="982" t="s">
        <v>399</v>
      </c>
      <c r="B33" s="302" t="s">
        <v>722</v>
      </c>
      <c r="C33" s="21">
        <f ca="1">IF(项目基本情况!B11="自然人","——",IF(D33="按租金收入计税",ROUND(C6*F33/(1+'数据-取费表'!C42),2),IF(D33="按房产原值计税",ROUND(C29*F33*0.7,2),INDIRECT("'数据-取费表'!Aj"&amp;$G$1))))</f>
        <v>89.26</v>
      </c>
      <c r="D33" s="1370" t="s">
        <v>3337</v>
      </c>
      <c r="E33" s="302" t="s">
        <v>707</v>
      </c>
      <c r="F33" s="322">
        <f>IF(D33="按票据","——",IF(D33="按租金收入计税",'数据-取费表'!B51,'数据-取费表'!B50))</f>
        <v>0.12</v>
      </c>
      <c r="G33" s="1384"/>
      <c r="H33" s="2700"/>
      <c r="I33" s="1398"/>
      <c r="J33" s="1399"/>
      <c r="K33" s="2701"/>
      <c r="L33" s="2700"/>
      <c r="M33" s="2700"/>
    </row>
    <row r="34" spans="1:18" ht="18" customHeight="1">
      <c r="A34" s="1069" t="s">
        <v>675</v>
      </c>
      <c r="B34" s="155" t="s">
        <v>725</v>
      </c>
      <c r="C34" s="22">
        <f ca="1">IF(项目基本情况!B11="自然人","——",ROUND(F34*F35/10000,2))</f>
        <v>1.36</v>
      </c>
      <c r="D34" s="324" t="s">
        <v>726</v>
      </c>
      <c r="E34" s="302" t="s">
        <v>727</v>
      </c>
      <c r="F34" s="325">
        <f>'数据-取费表'!B52</f>
        <v>24</v>
      </c>
      <c r="G34" s="1384"/>
      <c r="H34" s="2697"/>
      <c r="I34" s="1398"/>
      <c r="J34" s="1399"/>
      <c r="K34" s="2702"/>
      <c r="L34" s="2703"/>
      <c r="M34" s="2703"/>
    </row>
    <row r="35" spans="1:18" ht="18" customHeight="1">
      <c r="A35" s="1103"/>
      <c r="B35" s="1101"/>
      <c r="C35" s="26"/>
      <c r="D35" s="327"/>
      <c r="E35" s="302" t="s">
        <v>731</v>
      </c>
      <c r="F35" s="303">
        <f ca="1">INDIRECT("'数据-取费表'!r"&amp;$G$1)</f>
        <v>566.84</v>
      </c>
      <c r="G35" s="1384"/>
      <c r="H35" s="2697"/>
      <c r="I35" s="1398"/>
      <c r="J35" s="1399"/>
      <c r="K35" s="2701"/>
      <c r="L35" s="2700"/>
      <c r="M35" s="2700"/>
    </row>
    <row r="36" spans="1:18" ht="18" customHeight="1">
      <c r="A36" s="1102" t="s">
        <v>402</v>
      </c>
      <c r="B36" s="302" t="s">
        <v>733</v>
      </c>
      <c r="C36" s="21">
        <f ca="1">ROUND(C29*F36,2)</f>
        <v>16.66</v>
      </c>
      <c r="D36" s="3467" t="s">
        <v>766</v>
      </c>
      <c r="E36" s="302" t="s">
        <v>707</v>
      </c>
      <c r="F36" s="328">
        <f ca="1">INDIRECT("'数据-取费表'!Ak"&amp;$G$1)</f>
        <v>5.0000000000000001E-3</v>
      </c>
      <c r="G36" s="1384"/>
      <c r="H36" s="2700"/>
      <c r="I36" s="1398"/>
      <c r="J36" s="1399"/>
      <c r="K36" s="2544"/>
      <c r="L36" s="2700"/>
      <c r="M36" s="2700"/>
    </row>
    <row r="37" spans="1:18" ht="18" customHeight="1">
      <c r="A37" s="982" t="s">
        <v>437</v>
      </c>
      <c r="B37" s="302" t="s">
        <v>737</v>
      </c>
      <c r="C37" s="21">
        <f ca="1">ROUND(C13*F37,2)</f>
        <v>2.67</v>
      </c>
      <c r="D37" s="3467" t="s">
        <v>738</v>
      </c>
      <c r="E37" s="302" t="s">
        <v>707</v>
      </c>
      <c r="F37" s="330">
        <f ca="1">INDIRECT("'数据-取费表'!Al"&amp;$G$1)</f>
        <v>1E-3</v>
      </c>
      <c r="G37" s="1384"/>
      <c r="H37" s="2700"/>
      <c r="I37" s="1398"/>
      <c r="J37" s="1399"/>
      <c r="K37" s="2544"/>
      <c r="L37" s="2700"/>
      <c r="M37" s="2700"/>
    </row>
    <row r="38" spans="1:18" ht="18" customHeight="1" thickBot="1">
      <c r="A38" s="1089" t="s">
        <v>678</v>
      </c>
      <c r="B38" s="1090" t="s">
        <v>723</v>
      </c>
      <c r="C38" s="1091">
        <f ca="1">ROUND(C5*F38,2)</f>
        <v>3.91</v>
      </c>
      <c r="D38" s="1092" t="s">
        <v>743</v>
      </c>
      <c r="E38" s="1090" t="s">
        <v>707</v>
      </c>
      <c r="F38" s="1086">
        <f ca="1">INDIRECT("'数据-取费表'!Am"&amp;$G$1)</f>
        <v>5.0000000000000001E-3</v>
      </c>
      <c r="G38" s="1384"/>
      <c r="H38" s="2700"/>
      <c r="I38" s="1398"/>
      <c r="J38" s="1399"/>
      <c r="K38" s="2704"/>
      <c r="L38" s="2700"/>
      <c r="M38" s="2700"/>
    </row>
    <row r="39" spans="1:18" ht="24.6" customHeight="1" thickTop="1">
      <c r="A39" s="1079" t="s">
        <v>394</v>
      </c>
      <c r="B39" s="1094" t="s">
        <v>747</v>
      </c>
      <c r="C39" s="310">
        <f ca="1">C5-C30</f>
        <v>626</v>
      </c>
      <c r="D39" s="1095" t="s">
        <v>748</v>
      </c>
      <c r="E39" s="1096"/>
      <c r="F39" s="1097"/>
      <c r="G39" s="1384"/>
      <c r="H39" s="2700"/>
      <c r="I39" s="1398"/>
      <c r="J39" s="1399"/>
      <c r="K39" s="2704"/>
      <c r="L39" s="2700"/>
      <c r="M39" s="2700"/>
    </row>
    <row r="40" spans="1:18" ht="18" customHeight="1">
      <c r="A40" s="299" t="s">
        <v>395</v>
      </c>
      <c r="B40" s="300" t="s">
        <v>769</v>
      </c>
      <c r="C40" s="301">
        <f ca="1">ROUND(C39*(1-((1+F42)/(1+F40))^F41)/(F40-F42),0)</f>
        <v>9032</v>
      </c>
      <c r="D40" s="324" t="s">
        <v>753</v>
      </c>
      <c r="E40" s="302" t="s">
        <v>754</v>
      </c>
      <c r="F40" s="312">
        <f ca="1">INDIRECT("'数据-取费表'!I"&amp;$G$1)</f>
        <v>5.5E-2</v>
      </c>
      <c r="G40" s="1384"/>
      <c r="H40" s="1461"/>
      <c r="I40" s="1398"/>
      <c r="J40" s="1399"/>
      <c r="K40" s="2704"/>
      <c r="L40" s="1461"/>
      <c r="M40" s="1461"/>
    </row>
    <row r="41" spans="1:18" ht="18" customHeight="1">
      <c r="A41" s="304"/>
      <c r="B41" s="305"/>
      <c r="C41" s="306"/>
      <c r="D41" s="332" t="s">
        <v>770</v>
      </c>
      <c r="E41" s="302" t="s">
        <v>758</v>
      </c>
      <c r="F41" s="333">
        <f ca="1">IF(INDIRECT("'数据-取费表'!af"&amp;$G$1)=0,INDIRECT("'数据-取费表'!ae"&amp;$G$1),INDIRECT("'数据-取费表'!af"&amp;$G$1))</f>
        <v>19.66</v>
      </c>
      <c r="G41" s="1384"/>
      <c r="H41" s="1191"/>
      <c r="I41" s="1398"/>
      <c r="J41" s="1399"/>
      <c r="K41" s="2544"/>
      <c r="L41" s="1191"/>
      <c r="M41" s="1191"/>
    </row>
    <row r="42" spans="1:18" ht="18" customHeight="1">
      <c r="A42" s="308"/>
      <c r="B42" s="309"/>
      <c r="C42" s="310"/>
      <c r="D42" s="327"/>
      <c r="E42" s="302" t="s">
        <v>761</v>
      </c>
      <c r="F42" s="312">
        <f ca="1">INDIRECT("'数据-取费表'!v"&amp;$G$1)</f>
        <v>2.5000000000000001E-2</v>
      </c>
      <c r="G42" s="1384"/>
      <c r="H42" s="1191"/>
      <c r="I42" s="1398"/>
      <c r="J42" s="1399"/>
      <c r="K42" s="2544"/>
      <c r="L42" s="1191"/>
      <c r="M42" s="1191"/>
    </row>
    <row r="43" spans="1:18" ht="18" customHeight="1" thickBot="1">
      <c r="A43" s="334" t="s">
        <v>396</v>
      </c>
      <c r="B43" s="335" t="s">
        <v>771</v>
      </c>
      <c r="C43" s="336">
        <f ca="1">ROUND(C40*10000/F43,0)</f>
        <v>22796</v>
      </c>
      <c r="D43" s="337" t="s">
        <v>772</v>
      </c>
      <c r="E43" s="338" t="s">
        <v>773</v>
      </c>
      <c r="F43" s="339">
        <f ca="1">INDIRECT("'数据-取费表'!k"&amp;$G$1)</f>
        <v>3962.1600000000008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803</v>
      </c>
      <c r="P45" s="1461"/>
      <c r="Q45" s="1461"/>
      <c r="R45" s="1461"/>
    </row>
    <row r="46" spans="1:18" s="1384" customFormat="1" ht="13.5" thickBot="1">
      <c r="A46" s="1404" t="s">
        <v>804</v>
      </c>
      <c r="C46" s="1405">
        <f ca="1">C68-C40</f>
        <v>-9269</v>
      </c>
      <c r="D46" s="1406" t="str">
        <f>C2</f>
        <v>万元</v>
      </c>
      <c r="E46" s="1400"/>
      <c r="F46" s="1400"/>
      <c r="I46" s="1407" t="s">
        <v>805</v>
      </c>
      <c r="J46" s="1408"/>
      <c r="K46" s="1409"/>
      <c r="L46" s="1410">
        <f ca="1">IF(M47="住宅",0,IF(L48&gt;J51,L60,J60))</f>
        <v>540</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t="s">
        <v>3508</v>
      </c>
      <c r="K47" s="1416" t="s">
        <v>811</v>
      </c>
      <c r="L47" s="1417">
        <f ca="1">INDIRECT("'数据-取费表'!d"&amp;$G$1)</f>
        <v>40</v>
      </c>
      <c r="M47" s="1380" t="str">
        <f>IF(ISNUMBER(FIND("住宅",C1)),"住宅","非住宅")</f>
        <v>非住宅</v>
      </c>
      <c r="O47" s="1418" t="s">
        <v>403</v>
      </c>
      <c r="P47" s="1419" t="s">
        <v>812</v>
      </c>
      <c r="Q47" s="1420">
        <f ca="1">C40+J29</f>
        <v>9032</v>
      </c>
      <c r="R47" s="1420" t="s">
        <v>813</v>
      </c>
    </row>
    <row r="48" spans="1:18" s="1384" customFormat="1" ht="28.5" thickBot="1">
      <c r="A48" s="1110" t="s">
        <v>438</v>
      </c>
      <c r="B48" s="300" t="s">
        <v>687</v>
      </c>
      <c r="C48" s="3470">
        <f ca="1">C49+C53+C55</f>
        <v>0</v>
      </c>
      <c r="D48" s="1112"/>
      <c r="E48" s="1113"/>
      <c r="F48" s="962"/>
      <c r="G48" s="722"/>
      <c r="H48" s="723"/>
      <c r="I48" s="1421" t="s">
        <v>814</v>
      </c>
      <c r="J48" s="1422" t="s">
        <v>3509</v>
      </c>
      <c r="K48" s="1423" t="s">
        <v>815</v>
      </c>
      <c r="L48" s="1424">
        <f ca="1">INDIRECT("'数据-取费表'!f"&amp;$G$1)</f>
        <v>19.66</v>
      </c>
      <c r="O48" s="1418" t="s">
        <v>404</v>
      </c>
      <c r="P48" s="1419" t="s">
        <v>816</v>
      </c>
      <c r="Q48" s="1420">
        <f ca="1">J60</f>
        <v>540</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c r="K49" s="1423" t="s">
        <v>819</v>
      </c>
      <c r="L49" s="1427"/>
      <c r="O49" s="1428" t="s">
        <v>405</v>
      </c>
      <c r="P49" s="1419" t="s">
        <v>820</v>
      </c>
      <c r="Q49" s="1420">
        <f ca="1">C29</f>
        <v>3331</v>
      </c>
      <c r="R49" s="1420" t="s">
        <v>813</v>
      </c>
    </row>
    <row r="50" spans="1:18" s="1384" customFormat="1" ht="13.5" thickBot="1">
      <c r="A50" s="976"/>
      <c r="B50" s="979"/>
      <c r="C50" s="1118"/>
      <c r="D50" s="953"/>
      <c r="E50" s="1056" t="s">
        <v>692</v>
      </c>
      <c r="F50" s="1057">
        <f ca="1">F7</f>
        <v>3962.1600000000008</v>
      </c>
      <c r="H50" s="723"/>
      <c r="I50" s="1421" t="s">
        <v>821</v>
      </c>
      <c r="J50" s="1429">
        <f>SUMPRODUCT((I63:I65=J47)*(J62:L62=J48)*(J63:L65))</f>
        <v>60</v>
      </c>
      <c r="K50" s="1423" t="s">
        <v>822</v>
      </c>
      <c r="L50" s="1427"/>
      <c r="M50" s="1430"/>
      <c r="O50" s="1428" t="s">
        <v>406</v>
      </c>
      <c r="P50" s="1419" t="s">
        <v>823</v>
      </c>
      <c r="Q50" s="1431">
        <f ca="1">J58</f>
        <v>0.67200000000000004</v>
      </c>
      <c r="R50" s="1420"/>
    </row>
    <row r="51" spans="1:18" s="1384" customFormat="1" ht="13.5" thickBot="1">
      <c r="A51" s="977"/>
      <c r="B51" s="979"/>
      <c r="C51" s="980"/>
      <c r="D51" s="953"/>
      <c r="E51" s="981" t="s">
        <v>693</v>
      </c>
      <c r="F51" s="303">
        <f ca="1">F8</f>
        <v>365</v>
      </c>
      <c r="I51" s="1432" t="s">
        <v>824</v>
      </c>
      <c r="J51" s="1433">
        <f>IF(J49="",J50,J49+J50-YEAR('数据-取费表'!B2))</f>
        <v>60</v>
      </c>
      <c r="K51" s="1434" t="s">
        <v>825</v>
      </c>
      <c r="L51" s="1435">
        <f ca="1">ROUND(-PV(INDIRECT("'数据-取费表'!h"&amp;$G$1),J51,(C39-C13*C76),0),0)</f>
        <v>8318</v>
      </c>
      <c r="M51" s="1436"/>
      <c r="O51" s="1428" t="s">
        <v>407</v>
      </c>
      <c r="P51" s="1419" t="s">
        <v>826</v>
      </c>
      <c r="Q51" s="1431">
        <f>J52</f>
        <v>7.4999999999999997E-2</v>
      </c>
      <c r="R51" s="1420"/>
    </row>
    <row r="52" spans="1:18" s="1384" customFormat="1" ht="13.5" thickBot="1">
      <c r="A52" s="977"/>
      <c r="B52" s="979"/>
      <c r="C52" s="980"/>
      <c r="D52" s="953"/>
      <c r="E52" s="981" t="s">
        <v>694</v>
      </c>
      <c r="F52" s="1054"/>
      <c r="I52" s="1437" t="s">
        <v>827</v>
      </c>
      <c r="J52" s="1438">
        <v>7.4999999999999997E-2</v>
      </c>
      <c r="K52" s="1437" t="s">
        <v>828</v>
      </c>
      <c r="L52" s="1438"/>
      <c r="O52" s="1428" t="s">
        <v>408</v>
      </c>
      <c r="P52" s="1419" t="s">
        <v>829</v>
      </c>
      <c r="Q52" s="1420">
        <f ca="1">J53</f>
        <v>19.66</v>
      </c>
      <c r="R52" s="1420" t="s">
        <v>830</v>
      </c>
    </row>
    <row r="53" spans="1:18" s="1384" customFormat="1" ht="24.75" thickBot="1">
      <c r="A53" s="1152" t="s">
        <v>440</v>
      </c>
      <c r="B53" s="1373" t="s">
        <v>695</v>
      </c>
      <c r="C53" s="316">
        <f ca="1">ROUND(IF(F53="押一",C49/12*F11,IF(F53="押二",C49/12*2*F11,IF(F53="押三",C49/12*3*F11,C54*F11))),0)</f>
        <v>0</v>
      </c>
      <c r="D53" s="1366" t="s">
        <v>2111</v>
      </c>
      <c r="E53" s="313" t="s">
        <v>696</v>
      </c>
      <c r="F53" s="1116"/>
      <c r="I53" s="1439" t="s">
        <v>831</v>
      </c>
      <c r="J53" s="2168">
        <f ca="1">IF(M47="住宅",IF(D1="——",MAX(J51,L48),MAX(J51,L48-'数据-取费表'!B24)),IF(D1="——",MIN(J51,L48),MIN(J51,L48-'数据-取费表'!B24)))</f>
        <v>19.66</v>
      </c>
      <c r="K53" s="3709" t="s">
        <v>832</v>
      </c>
      <c r="L53" s="3710"/>
      <c r="O53" s="1418" t="s">
        <v>409</v>
      </c>
      <c r="P53" s="1419" t="s">
        <v>833</v>
      </c>
      <c r="Q53" s="1420">
        <f ca="1">Q47+Q48</f>
        <v>9572</v>
      </c>
      <c r="R53" s="1420" t="s">
        <v>410</v>
      </c>
    </row>
    <row r="54" spans="1:18" s="1384" customFormat="1" ht="13.5" thickBot="1">
      <c r="A54" s="1153"/>
      <c r="B54" s="1367" t="s">
        <v>674</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834</v>
      </c>
      <c r="P54" s="1381"/>
      <c r="Q54" s="1381"/>
      <c r="R54" s="1381"/>
    </row>
    <row r="55" spans="1:18" s="1384" customFormat="1" ht="13.5" thickBot="1">
      <c r="A55" s="1083" t="s">
        <v>437</v>
      </c>
      <c r="B55" s="1369" t="s">
        <v>698</v>
      </c>
      <c r="C55" s="1084"/>
      <c r="D55" s="1366"/>
      <c r="E55" s="3456"/>
      <c r="F55" s="1440"/>
      <c r="I55" s="1443" t="s">
        <v>835</v>
      </c>
      <c r="J55" s="1444">
        <f ca="1">ROUND(IF(J47="钢混",J57/J50,1-(1-2%)*(J50-J57)/J50),3)</f>
        <v>0.67200000000000004</v>
      </c>
      <c r="K55" s="1445" t="s">
        <v>836</v>
      </c>
      <c r="L55" s="1446"/>
      <c r="O55" s="1411" t="s">
        <v>806</v>
      </c>
      <c r="P55" s="1412" t="s">
        <v>807</v>
      </c>
      <c r="Q55" s="1413" t="s">
        <v>808</v>
      </c>
      <c r="R55" s="1413" t="s">
        <v>809</v>
      </c>
    </row>
    <row r="56" spans="1:18" s="1384" customFormat="1" ht="25.5" thickTop="1" thickBot="1">
      <c r="A56" s="957">
        <v>2</v>
      </c>
      <c r="B56" s="958" t="s">
        <v>699</v>
      </c>
      <c r="C56" s="232">
        <f ca="1">C13</f>
        <v>2665</v>
      </c>
      <c r="D56" s="1447"/>
      <c r="E56" s="1448"/>
      <c r="F56" s="1440"/>
      <c r="I56" s="1449" t="s">
        <v>837</v>
      </c>
      <c r="J56" s="1450" t="s">
        <v>3503</v>
      </c>
      <c r="K56" s="1421" t="s">
        <v>838</v>
      </c>
      <c r="L56" s="1424" t="str">
        <f ca="1">IF(L48&lt;J51,"——",L48-J53)</f>
        <v>——</v>
      </c>
      <c r="O56" s="1418" t="s">
        <v>403</v>
      </c>
      <c r="P56" s="1419" t="s">
        <v>812</v>
      </c>
      <c r="Q56" s="1420">
        <f ca="1">C40+J29</f>
        <v>9032</v>
      </c>
      <c r="R56" s="1420" t="s">
        <v>813</v>
      </c>
    </row>
    <row r="57" spans="1:18" s="1384" customFormat="1" ht="24.75" thickBot="1">
      <c r="A57" s="1451"/>
      <c r="B57" s="950" t="s">
        <v>762</v>
      </c>
      <c r="C57" s="238">
        <f ca="1">C29</f>
        <v>3331</v>
      </c>
      <c r="D57" s="1452"/>
      <c r="E57" s="1453"/>
      <c r="F57" s="1454"/>
      <c r="I57" s="1455" t="s">
        <v>839</v>
      </c>
      <c r="J57" s="1456">
        <f ca="1">IF(OR(M47="住宅",J51&lt;L48,J56="是"),"——",J51-L48)</f>
        <v>40.340000000000003</v>
      </c>
      <c r="K57" s="1421" t="s">
        <v>840</v>
      </c>
      <c r="L57" s="1424" t="str">
        <f ca="1">IF(L48&lt;J51,"——",IF(L55="比较法",L49,IF(L55="基准地价",L50,L51)))</f>
        <v>——</v>
      </c>
      <c r="O57" s="1418" t="s">
        <v>404</v>
      </c>
      <c r="P57" s="1419" t="s">
        <v>841</v>
      </c>
      <c r="Q57" s="1420">
        <f ca="1">L60</f>
        <v>0</v>
      </c>
      <c r="R57" s="1420" t="s">
        <v>842</v>
      </c>
    </row>
    <row r="58" spans="1:18" s="1384" customFormat="1" ht="24.75" thickBot="1">
      <c r="A58" s="315" t="s">
        <v>393</v>
      </c>
      <c r="B58" s="958" t="s">
        <v>709</v>
      </c>
      <c r="C58" s="316">
        <f ca="1">ROUND(C59+C64+C65+C66,0)</f>
        <v>20</v>
      </c>
      <c r="D58" s="960" t="s">
        <v>710</v>
      </c>
      <c r="E58" s="961"/>
      <c r="F58" s="962"/>
      <c r="I58" s="1455" t="s">
        <v>843</v>
      </c>
      <c r="J58" s="1457">
        <f ca="1">IF(J55&lt;0.4,0.4,J55)</f>
        <v>0.67200000000000004</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6">
        <f ca="1">ROUND(IF(AND(项目基本情况!B11="自然人",项目基本情况!B10="北京市"),C49*F59/(1+'数据-取费表'!C42),C60+C61+C62),0)</f>
        <v>1</v>
      </c>
      <c r="D59" s="963" t="s">
        <v>715</v>
      </c>
      <c r="E59" s="964" t="s">
        <v>716</v>
      </c>
      <c r="F59" s="2315" t="str">
        <f>IF(项目基本情况!B11="企业","——",IF('数据-取费表'!B10="住宅",IF(F49*F50*F51/12/(1+'数据-取费表'!F30)&gt;100000,4%,2.5%),IF(F49*F50*F51/12/(1+'数据-取费表'!F30)&gt;100000,12%,7%)))</f>
        <v>——</v>
      </c>
      <c r="I59" s="1455" t="s">
        <v>846</v>
      </c>
      <c r="J59" s="1456">
        <f ca="1">IF(OR(M47="住宅",J51&lt;L48,J56="是"),"——",ROUND(C29*J58,0))</f>
        <v>2238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f ca="1">IF(OR(M47="住宅",J51&lt;L48,J56="是"),"0",ROUND(J59/(1+J52)^J53,0))</f>
        <v>540</v>
      </c>
      <c r="K60" s="1460" t="s">
        <v>849</v>
      </c>
      <c r="L60" s="1459">
        <f ca="1">IF(OR(M47="住宅",L48&lt;J51),0,ROUND(L57*(L58/L59-1),0))</f>
        <v>0</v>
      </c>
      <c r="O60" s="1428" t="s">
        <v>407</v>
      </c>
      <c r="P60" s="1419" t="s">
        <v>850</v>
      </c>
      <c r="Q60" s="1420" t="e">
        <f ca="1">L58</f>
        <v>#DIV/0!</v>
      </c>
      <c r="R60" s="1420" t="s">
        <v>851</v>
      </c>
    </row>
    <row r="61" spans="1:18" s="1384" customFormat="1" ht="13.5" thickBot="1">
      <c r="A61" s="982" t="s">
        <v>776</v>
      </c>
      <c r="B61" s="950" t="s">
        <v>722</v>
      </c>
      <c r="C61" s="21">
        <f ca="1">IF(项目基本情况!B11="自然人","——",IF(D61="按租金收入计税",ROUND(C49*F61/(1+'数据-取费表'!C42),2),IF(D61="按房产原值计税",ROUND(C57*F61*0.7,2),INDIRECT("'数据-取费表'!Aj"&amp;$G$1))))</f>
        <v>0</v>
      </c>
      <c r="D61" s="1370" t="s">
        <v>3337</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725</v>
      </c>
      <c r="C62" s="22">
        <f ca="1">IF(项目基本情况!B11="自然人","——",ROUND(F62*F63/10000,2))</f>
        <v>1.36</v>
      </c>
      <c r="D62" s="965" t="s">
        <v>726</v>
      </c>
      <c r="E62" s="950" t="s">
        <v>727</v>
      </c>
      <c r="F62" s="325">
        <f t="shared" si="0"/>
        <v>24</v>
      </c>
      <c r="I62" s="1462" t="s">
        <v>853</v>
      </c>
      <c r="J62" s="1463" t="s">
        <v>854</v>
      </c>
      <c r="K62" s="1463" t="s">
        <v>855</v>
      </c>
      <c r="L62" s="1463" t="s">
        <v>856</v>
      </c>
      <c r="M62" s="1464" t="s">
        <v>857</v>
      </c>
      <c r="O62" s="1418" t="s">
        <v>409</v>
      </c>
      <c r="P62" s="1419" t="s">
        <v>858</v>
      </c>
      <c r="Q62" s="1420">
        <f ca="1">Q56+Q57</f>
        <v>9032</v>
      </c>
      <c r="R62" s="1420" t="s">
        <v>410</v>
      </c>
    </row>
    <row r="63" spans="1:18" s="1384" customFormat="1" ht="13.5" thickBot="1">
      <c r="A63" s="326"/>
      <c r="B63" s="956"/>
      <c r="C63" s="26"/>
      <c r="D63" s="966"/>
      <c r="E63" s="950" t="s">
        <v>783</v>
      </c>
      <c r="F63" s="303">
        <f t="shared" ca="1" si="0"/>
        <v>566.84</v>
      </c>
      <c r="I63" s="1462" t="s">
        <v>859</v>
      </c>
      <c r="J63" s="1463">
        <v>70</v>
      </c>
      <c r="K63" s="1463">
        <v>50</v>
      </c>
      <c r="L63" s="1463">
        <v>80</v>
      </c>
      <c r="M63" s="1465">
        <v>0.02</v>
      </c>
      <c r="O63" s="1403" t="s">
        <v>860</v>
      </c>
      <c r="P63" s="1381"/>
      <c r="Q63" s="1381"/>
      <c r="R63" s="1381"/>
    </row>
    <row r="64" spans="1:18" s="1384" customFormat="1" ht="13.5" thickBot="1">
      <c r="A64" s="982" t="s">
        <v>784</v>
      </c>
      <c r="B64" s="950" t="s">
        <v>733</v>
      </c>
      <c r="C64" s="21">
        <f ca="1">ROUND(C57*F64,2)</f>
        <v>16.66</v>
      </c>
      <c r="D64" s="964" t="s">
        <v>786</v>
      </c>
      <c r="E64" s="950" t="s">
        <v>778</v>
      </c>
      <c r="F64" s="328">
        <f t="shared" ca="1" si="0"/>
        <v>5.0000000000000001E-3</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2.67</v>
      </c>
      <c r="D65" s="964" t="s">
        <v>738</v>
      </c>
      <c r="E65" s="950" t="s">
        <v>707</v>
      </c>
      <c r="F65" s="330">
        <f t="shared" ca="1" si="0"/>
        <v>1E-3</v>
      </c>
      <c r="I65" s="1462" t="s">
        <v>862</v>
      </c>
      <c r="J65" s="1463">
        <v>40</v>
      </c>
      <c r="K65" s="1463">
        <v>30</v>
      </c>
      <c r="L65" s="1463">
        <v>50</v>
      </c>
      <c r="M65" s="1465">
        <v>0.02</v>
      </c>
      <c r="O65" s="1418" t="s">
        <v>403</v>
      </c>
      <c r="P65" s="1419" t="s">
        <v>812</v>
      </c>
      <c r="Q65" s="1420">
        <f ca="1">C40+J29</f>
        <v>9032</v>
      </c>
      <c r="R65" s="1420" t="s">
        <v>813</v>
      </c>
    </row>
    <row r="66" spans="1:18" s="1384" customFormat="1" ht="16.5" thickBot="1">
      <c r="A66" s="982" t="s">
        <v>788</v>
      </c>
      <c r="B66" s="950" t="s">
        <v>723</v>
      </c>
      <c r="C66" s="21">
        <f ca="1">ROUND(C48*F66,2)</f>
        <v>0</v>
      </c>
      <c r="D66" s="964" t="s">
        <v>789</v>
      </c>
      <c r="E66" s="950" t="s">
        <v>707</v>
      </c>
      <c r="F66" s="312">
        <f t="shared" ca="1" si="0"/>
        <v>5.0000000000000001E-3</v>
      </c>
      <c r="O66" s="1418" t="s">
        <v>404</v>
      </c>
      <c r="P66" s="1419" t="s">
        <v>841</v>
      </c>
      <c r="Q66" s="1420">
        <f ca="1">L60</f>
        <v>0</v>
      </c>
      <c r="R66" s="1420" t="s">
        <v>864</v>
      </c>
    </row>
    <row r="67" spans="1:18" s="1384" customFormat="1" ht="16.5" thickBot="1">
      <c r="A67" s="957" t="s">
        <v>394</v>
      </c>
      <c r="B67" s="967" t="s">
        <v>747</v>
      </c>
      <c r="C67" s="316">
        <f ca="1">C48-C58</f>
        <v>-20</v>
      </c>
      <c r="D67" s="963" t="s">
        <v>748</v>
      </c>
      <c r="E67" s="968"/>
      <c r="F67" s="969"/>
      <c r="O67" s="1428" t="s">
        <v>405</v>
      </c>
      <c r="P67" s="1419" t="s">
        <v>845</v>
      </c>
      <c r="Q67" s="1466">
        <f ca="1">L51</f>
        <v>8318</v>
      </c>
      <c r="R67" s="1420" t="s">
        <v>865</v>
      </c>
    </row>
    <row r="68" spans="1:18" s="1384" customFormat="1" ht="16.5" thickBot="1">
      <c r="A68" s="947" t="s">
        <v>395</v>
      </c>
      <c r="B68" s="948" t="s">
        <v>769</v>
      </c>
      <c r="C68" s="301">
        <f ca="1">ROUND(C67*(1-((1+F70)/(1+F68))^F69)/(F68-F70),0)</f>
        <v>-237</v>
      </c>
      <c r="D68" s="965" t="s">
        <v>753</v>
      </c>
      <c r="E68" s="950" t="s">
        <v>754</v>
      </c>
      <c r="F68" s="312">
        <f ca="1">F40</f>
        <v>5.5E-2</v>
      </c>
      <c r="O68" s="1428" t="s">
        <v>406</v>
      </c>
      <c r="P68" s="1467" t="s">
        <v>866</v>
      </c>
      <c r="Q68" s="1420">
        <f ca="1">ROUND(Q69-Q70*Q71,0)</f>
        <v>439</v>
      </c>
      <c r="R68" s="1420" t="s">
        <v>414</v>
      </c>
    </row>
    <row r="69" spans="1:18" s="1384" customFormat="1" ht="13.5" thickBot="1">
      <c r="A69" s="951"/>
      <c r="B69" s="952"/>
      <c r="C69" s="306"/>
      <c r="D69" s="970" t="s">
        <v>757</v>
      </c>
      <c r="E69" s="950" t="s">
        <v>758</v>
      </c>
      <c r="F69" s="333">
        <f ca="1">F41</f>
        <v>19.66</v>
      </c>
      <c r="O69" s="1428" t="s">
        <v>411</v>
      </c>
      <c r="P69" s="1467" t="s">
        <v>867</v>
      </c>
      <c r="Q69" s="1420">
        <f ca="1">C39</f>
        <v>626</v>
      </c>
      <c r="R69" s="1420" t="s">
        <v>813</v>
      </c>
    </row>
    <row r="70" spans="1:18" s="1384" customFormat="1" ht="13.5" thickBot="1">
      <c r="A70" s="954"/>
      <c r="B70" s="955"/>
      <c r="C70" s="310"/>
      <c r="D70" s="966"/>
      <c r="E70" s="950" t="s">
        <v>761</v>
      </c>
      <c r="F70" s="1054"/>
      <c r="O70" s="1428" t="s">
        <v>412</v>
      </c>
      <c r="P70" s="1467" t="s">
        <v>868</v>
      </c>
      <c r="Q70" s="1420">
        <f ca="1">C13</f>
        <v>2665</v>
      </c>
      <c r="R70" s="1420" t="s">
        <v>813</v>
      </c>
    </row>
    <row r="71" spans="1:18" s="1384" customFormat="1" ht="13.5" thickBot="1">
      <c r="A71" s="971" t="s">
        <v>396</v>
      </c>
      <c r="B71" s="972" t="s">
        <v>771</v>
      </c>
      <c r="C71" s="336">
        <f ca="1">ROUND(C68*10000/F71,0)</f>
        <v>-598</v>
      </c>
      <c r="D71" s="973" t="s">
        <v>772</v>
      </c>
      <c r="E71" s="974" t="s">
        <v>773</v>
      </c>
      <c r="F71" s="339">
        <f ca="1">F43</f>
        <v>3962.1600000000008</v>
      </c>
      <c r="O71" s="1428" t="s">
        <v>413</v>
      </c>
      <c r="P71" s="1467" t="s">
        <v>869</v>
      </c>
      <c r="Q71" s="1431">
        <f ca="1">C76</f>
        <v>7.0000000000000007E-2</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187</v>
      </c>
      <c r="D75" s="1384"/>
      <c r="E75" s="1384"/>
      <c r="F75" s="1384"/>
      <c r="K75" s="1402"/>
      <c r="L75" s="1384"/>
      <c r="O75" s="1418" t="s">
        <v>409</v>
      </c>
      <c r="P75" s="1419" t="s">
        <v>833</v>
      </c>
      <c r="Q75" s="1420">
        <f ca="1">Q65+Q66</f>
        <v>9032</v>
      </c>
      <c r="R75" s="1420" t="s">
        <v>410</v>
      </c>
    </row>
    <row r="76" spans="1:18">
      <c r="B76" s="342" t="s">
        <v>791</v>
      </c>
      <c r="C76" s="343">
        <f ca="1">INDIRECT("'数据-取费表'!j"&amp;$G$1)</f>
        <v>7.0000000000000007E-2</v>
      </c>
      <c r="I76" s="1384"/>
      <c r="J76" s="1384"/>
      <c r="K76" s="1402"/>
      <c r="L76" s="1384"/>
    </row>
    <row r="77" spans="1:18">
      <c r="B77" s="344" t="s">
        <v>792</v>
      </c>
      <c r="C77" s="345"/>
      <c r="I77" s="1384"/>
      <c r="J77" s="1384"/>
      <c r="K77" s="1402"/>
      <c r="L77" s="1384"/>
    </row>
    <row r="78" spans="1:18">
      <c r="B78" s="270" t="s">
        <v>793</v>
      </c>
      <c r="C78" s="346"/>
    </row>
    <row r="79" spans="1:18">
      <c r="B79" s="340" t="s">
        <v>794</v>
      </c>
      <c r="C79" s="274">
        <f ca="1">1-C80</f>
        <v>0.70100000000000007</v>
      </c>
    </row>
    <row r="80" spans="1:18">
      <c r="B80" s="340" t="s">
        <v>795</v>
      </c>
      <c r="C80" s="274">
        <f ca="1">ROUND(C75/C39,3)</f>
        <v>0.29899999999999999</v>
      </c>
    </row>
    <row r="81" spans="2:3">
      <c r="B81" s="270" t="s">
        <v>796</v>
      </c>
      <c r="C81" s="238"/>
    </row>
    <row r="82" spans="2:3">
      <c r="B82" s="273" t="s">
        <v>797</v>
      </c>
      <c r="C82" s="275">
        <f ca="1">1-C83</f>
        <v>0.70500000000000007</v>
      </c>
    </row>
    <row r="83" spans="2:3">
      <c r="B83" s="273" t="s">
        <v>798</v>
      </c>
      <c r="C83" s="274">
        <f ca="1">ROUND(C13/C40,3)</f>
        <v>0.29499999999999998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1764</v>
      </c>
      <c r="B4" s="356"/>
      <c r="C4" s="3679" t="s">
        <v>1765</v>
      </c>
      <c r="D4" s="3680"/>
      <c r="E4" s="3681" t="s">
        <v>1766</v>
      </c>
      <c r="F4" s="3682"/>
      <c r="G4" s="3679" t="s">
        <v>1767</v>
      </c>
      <c r="H4" s="3680"/>
      <c r="I4" s="3679" t="s">
        <v>1768</v>
      </c>
      <c r="J4" s="3680"/>
      <c r="K4" s="559" t="s">
        <v>1769</v>
      </c>
      <c r="L4" s="2715"/>
      <c r="M4" s="2716"/>
      <c r="N4" s="2716"/>
      <c r="O4" s="2716"/>
      <c r="P4" s="3717" t="s">
        <v>1770</v>
      </c>
      <c r="Q4" s="3718"/>
      <c r="R4" s="3715" t="s">
        <v>1766</v>
      </c>
      <c r="S4" s="3716"/>
      <c r="T4" s="3715" t="s">
        <v>1767</v>
      </c>
      <c r="U4" s="3716"/>
      <c r="V4" s="3692" t="s">
        <v>1768</v>
      </c>
      <c r="W4" s="3692"/>
      <c r="X4" s="1355"/>
      <c r="Y4" s="3715" t="s">
        <v>1770</v>
      </c>
      <c r="Z4" s="3716"/>
      <c r="AA4" s="3714" t="s">
        <v>1766</v>
      </c>
      <c r="AB4" s="3659" t="s">
        <v>1767</v>
      </c>
      <c r="AC4" s="3714" t="s">
        <v>1768</v>
      </c>
    </row>
    <row r="5" spans="1:30" ht="15">
      <c r="A5" s="358"/>
      <c r="B5" s="359"/>
      <c r="C5" s="3669" t="s">
        <v>1668</v>
      </c>
      <c r="D5" s="3670"/>
      <c r="E5" s="3667" t="s">
        <v>1669</v>
      </c>
      <c r="F5" s="3668"/>
      <c r="G5" s="3669" t="s">
        <v>1670</v>
      </c>
      <c r="H5" s="3670"/>
      <c r="I5" s="3669" t="s">
        <v>1671</v>
      </c>
      <c r="J5" s="3670"/>
      <c r="K5" s="559"/>
      <c r="L5" s="2715"/>
      <c r="M5" s="2716"/>
      <c r="N5" s="2716"/>
      <c r="O5" s="2716"/>
      <c r="P5" s="3719"/>
      <c r="Q5" s="3686"/>
      <c r="R5" s="3665"/>
      <c r="S5" s="3666"/>
      <c r="T5" s="3665"/>
      <c r="U5" s="3666"/>
      <c r="V5" s="3692"/>
      <c r="W5" s="3692"/>
      <c r="X5" s="1355"/>
      <c r="Y5" s="3665"/>
      <c r="Z5" s="3666"/>
      <c r="AA5" s="3659"/>
      <c r="AB5" s="3659"/>
      <c r="AC5" s="3659"/>
    </row>
    <row r="6" spans="1:30" ht="15.75" thickBot="1">
      <c r="A6" s="360"/>
      <c r="B6" s="361"/>
      <c r="C6" s="3671" t="s">
        <v>1672</v>
      </c>
      <c r="D6" s="3672"/>
      <c r="E6" s="3673" t="s">
        <v>1672</v>
      </c>
      <c r="F6" s="3674"/>
      <c r="G6" s="3671" t="s">
        <v>1672</v>
      </c>
      <c r="H6" s="3672"/>
      <c r="I6" s="3671" t="s">
        <v>1672</v>
      </c>
      <c r="J6" s="3672"/>
      <c r="K6" s="559" t="s">
        <v>1673</v>
      </c>
      <c r="L6" s="2715"/>
      <c r="M6" s="2716"/>
      <c r="N6" s="2716"/>
      <c r="O6" s="2716"/>
      <c r="P6" s="3720"/>
      <c r="Q6" s="3688"/>
      <c r="R6" s="3665"/>
      <c r="S6" s="3666"/>
      <c r="T6" s="3689"/>
      <c r="U6" s="3690"/>
      <c r="V6" s="3692"/>
      <c r="W6" s="3692"/>
      <c r="X6" s="1355"/>
      <c r="Y6" s="3689"/>
      <c r="Z6" s="3690"/>
      <c r="AA6" s="3660"/>
      <c r="AB6" s="3660"/>
      <c r="AC6" s="3660"/>
    </row>
    <row r="7" spans="1:30" s="108" customFormat="1" ht="15.75" thickBot="1">
      <c r="A7" s="362" t="s">
        <v>1674</v>
      </c>
      <c r="B7" s="363"/>
      <c r="C7" s="364">
        <f>'数据-取费表'!B2</f>
        <v>45142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1" t="s">
        <v>1675</v>
      </c>
      <c r="Q7" s="3694"/>
      <c r="R7" s="701" t="s">
        <v>14</v>
      </c>
      <c r="S7" s="702">
        <f t="shared" ref="S7:S15" si="0">F7</f>
        <v>0</v>
      </c>
      <c r="T7" s="701" t="s">
        <v>14</v>
      </c>
      <c r="U7" s="702">
        <f t="shared" ref="U7:U15" si="1">H7</f>
        <v>0</v>
      </c>
      <c r="V7" s="701" t="s">
        <v>14</v>
      </c>
      <c r="W7" s="702">
        <f t="shared" ref="W7:W15" si="2">J7</f>
        <v>0</v>
      </c>
      <c r="X7" s="703"/>
      <c r="Y7" s="3661" t="s">
        <v>1675</v>
      </c>
      <c r="Z7" s="366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1" t="s">
        <v>1678</v>
      </c>
      <c r="Q8" s="3662"/>
      <c r="R8" s="701" t="s">
        <v>14</v>
      </c>
      <c r="S8" s="702">
        <f t="shared" si="0"/>
        <v>0</v>
      </c>
      <c r="T8" s="701" t="s">
        <v>14</v>
      </c>
      <c r="U8" s="702">
        <f t="shared" si="1"/>
        <v>0</v>
      </c>
      <c r="V8" s="701" t="s">
        <v>14</v>
      </c>
      <c r="W8" s="702">
        <f t="shared" si="2"/>
        <v>0</v>
      </c>
      <c r="X8" s="703"/>
      <c r="Y8" s="3661" t="s">
        <v>1678</v>
      </c>
      <c r="Z8" s="3662"/>
      <c r="AA8" s="704" t="e">
        <f t="shared" ref="AA8:AA45" si="3">D8/F8</f>
        <v>#DIV/0!</v>
      </c>
      <c r="AB8" s="704" t="e">
        <f t="shared" ref="AB8:AB45" si="4">D8/H8</f>
        <v>#DIV/0!</v>
      </c>
      <c r="AC8" s="704" t="e">
        <f t="shared" ref="AC8:AC45" si="5">D8/J8</f>
        <v>#DIV/0!</v>
      </c>
    </row>
    <row r="9" spans="1:30" s="108" customFormat="1">
      <c r="A9" s="369" t="s">
        <v>1679</v>
      </c>
      <c r="B9" s="63" t="s">
        <v>1680</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120</v>
      </c>
      <c r="G10" s="414"/>
      <c r="H10" s="127">
        <f>ROUND(100/'数据-取费表'!G16,0)</f>
        <v>120</v>
      </c>
      <c r="I10" s="414"/>
      <c r="J10" s="127">
        <f>ROUND(100/'数据-取费表'!G16,0)</f>
        <v>120</v>
      </c>
      <c r="K10" s="620"/>
      <c r="L10" s="2719"/>
      <c r="M10" s="2720"/>
      <c r="N10" s="2720"/>
      <c r="O10" s="2773"/>
      <c r="P10" s="3704"/>
      <c r="Q10" s="1343" t="str">
        <f t="shared" si="6"/>
        <v>土地使用年限（年）</v>
      </c>
      <c r="R10" s="701" t="s">
        <v>14</v>
      </c>
      <c r="S10" s="702">
        <f t="shared" si="0"/>
        <v>120</v>
      </c>
      <c r="T10" s="701" t="s">
        <v>14</v>
      </c>
      <c r="U10" s="702">
        <f t="shared" si="1"/>
        <v>120</v>
      </c>
      <c r="V10" s="701" t="s">
        <v>14</v>
      </c>
      <c r="W10" s="702">
        <f t="shared" si="2"/>
        <v>120</v>
      </c>
      <c r="X10" s="703"/>
      <c r="Y10" s="3634"/>
      <c r="Z10" s="52" t="str">
        <f t="shared" si="7"/>
        <v>土地使用年限（年）</v>
      </c>
      <c r="AA10" s="704">
        <f t="shared" si="3"/>
        <v>0.83333333333333337</v>
      </c>
      <c r="AB10" s="704">
        <f t="shared" si="4"/>
        <v>0.83333333333333337</v>
      </c>
      <c r="AC10" s="704">
        <f t="shared" si="5"/>
        <v>0.83333333333333337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1865</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99.75">
      <c r="A15" s="391" t="s">
        <v>1685</v>
      </c>
      <c r="B15" s="61" t="s">
        <v>1252</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1686</v>
      </c>
      <c r="Q15" s="1352" t="str">
        <f t="shared" si="6"/>
        <v>居住社区成熟度</v>
      </c>
      <c r="R15" s="705" t="s">
        <v>14</v>
      </c>
      <c r="S15" s="706">
        <f t="shared" si="0"/>
        <v>100</v>
      </c>
      <c r="T15" s="705" t="s">
        <v>14</v>
      </c>
      <c r="U15" s="706">
        <f t="shared" si="1"/>
        <v>100</v>
      </c>
      <c r="V15" s="705" t="s">
        <v>14</v>
      </c>
      <c r="W15" s="706">
        <f t="shared" si="2"/>
        <v>100</v>
      </c>
      <c r="X15" s="1355"/>
      <c r="Y15" s="3697"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1772</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1806</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1828</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1867</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1773</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1774</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6" t="s">
        <v>1691</v>
      </c>
      <c r="Q36" s="1352">
        <f t="shared" si="8"/>
        <v>111</v>
      </c>
      <c r="R36" s="705" t="s">
        <v>14</v>
      </c>
      <c r="S36" s="706">
        <f t="shared" si="10"/>
        <v>100</v>
      </c>
      <c r="T36" s="705" t="s">
        <v>14</v>
      </c>
      <c r="U36" s="706">
        <f t="shared" si="11"/>
        <v>100</v>
      </c>
      <c r="V36" s="705" t="s">
        <v>14</v>
      </c>
      <c r="W36" s="706">
        <f t="shared" si="12"/>
        <v>100</v>
      </c>
      <c r="X36" s="1355"/>
      <c r="Y36" s="3702"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1870</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1871</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1872</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1873</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1691</v>
      </c>
      <c r="Q42" s="1352" t="str">
        <f t="shared" si="14"/>
        <v>工程地质条件</v>
      </c>
      <c r="R42" s="705" t="s">
        <v>14</v>
      </c>
      <c r="S42" s="706">
        <f t="shared" si="10"/>
        <v>100</v>
      </c>
      <c r="T42" s="705" t="s">
        <v>14</v>
      </c>
      <c r="U42" s="706">
        <f t="shared" si="11"/>
        <v>100</v>
      </c>
      <c r="V42" s="705" t="s">
        <v>14</v>
      </c>
      <c r="W42" s="706">
        <f t="shared" si="12"/>
        <v>100</v>
      </c>
      <c r="X42" s="1355"/>
      <c r="Y42" s="3702"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1839</v>
      </c>
      <c r="B46" s="1982" t="s">
        <v>1874</v>
      </c>
      <c r="C46" s="630" t="s">
        <v>0</v>
      </c>
      <c r="D46" s="432"/>
      <c r="E46" s="433"/>
      <c r="F46" s="434"/>
      <c r="G46" s="435"/>
      <c r="H46" s="436"/>
      <c r="I46" s="433"/>
      <c r="J46" s="436"/>
      <c r="K46" s="714"/>
      <c r="L46" s="2724"/>
      <c r="M46" s="2725"/>
      <c r="N46" s="2716"/>
      <c r="O46" s="2725"/>
      <c r="P46" s="3704" t="str">
        <f>A46</f>
        <v>成交单价</v>
      </c>
      <c r="Q46" s="3704"/>
      <c r="R46" s="3692">
        <f>E46</f>
        <v>0</v>
      </c>
      <c r="S46" s="3692"/>
      <c r="T46" s="3692">
        <f>G46</f>
        <v>0</v>
      </c>
      <c r="U46" s="3692"/>
      <c r="V46" s="3692">
        <f>I46</f>
        <v>0</v>
      </c>
      <c r="W46" s="3692"/>
      <c r="X46" s="690"/>
      <c r="Y46" s="712"/>
      <c r="Z46" s="690"/>
      <c r="AA46" s="690"/>
      <c r="AB46" s="690"/>
      <c r="AC46" s="690"/>
    </row>
    <row r="47" spans="1:29" ht="15.75" thickBot="1">
      <c r="A47" s="437" t="s">
        <v>1788</v>
      </c>
      <c r="B47" s="631"/>
      <c r="C47" s="440" t="e">
        <f>R48</f>
        <v>#DIV/0!</v>
      </c>
      <c r="D47" s="2317" t="s">
        <v>2133</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4"/>
      <c r="M48" s="2725"/>
      <c r="N48" s="2725"/>
      <c r="O48" s="2725"/>
      <c r="P48" s="3721" t="str">
        <f>A48</f>
        <v>估价对象XX用房的比较价值（楼面单价，元/平方米）</v>
      </c>
      <c r="Q48" s="3722"/>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1876</v>
      </c>
      <c r="B55" s="633" t="s">
        <v>1877</v>
      </c>
      <c r="C55" s="1983" t="s">
        <v>1878</v>
      </c>
      <c r="D55" s="1984" t="s">
        <v>1879</v>
      </c>
      <c r="E55" s="634" t="s">
        <v>1880</v>
      </c>
      <c r="F55" s="890" t="s">
        <v>1881</v>
      </c>
      <c r="G55" s="3679" t="s">
        <v>1882</v>
      </c>
      <c r="H55" s="3749"/>
      <c r="I55" s="135" t="s">
        <v>1883</v>
      </c>
      <c r="J55" s="1985">
        <f>项目基本情况!F35</f>
        <v>0</v>
      </c>
      <c r="K55" s="1986" t="s">
        <v>1884</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1885</v>
      </c>
      <c r="B56" s="637" t="e">
        <f>C48</f>
        <v>#DIV/0!</v>
      </c>
      <c r="C56" s="638">
        <v>1</v>
      </c>
      <c r="D56" s="944">
        <v>1</v>
      </c>
      <c r="E56" s="638">
        <f>'数据-汇总表'!E8+'数据-汇总表'!E9</f>
        <v>57210.759999999995</v>
      </c>
      <c r="F56" s="886" t="e">
        <f t="shared" ref="F56:F64" si="15">ROUND(B56*E56/10000,0)</f>
        <v>#DIV/0!</v>
      </c>
      <c r="G56" s="3675"/>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1886</v>
      </c>
      <c r="B57" s="218" t="e">
        <f>ROUND($C$48*C57*D57,0)</f>
        <v>#DIV/0!</v>
      </c>
      <c r="C57" s="171">
        <f t="shared" ref="C57:C64" si="16">IF($C$55="北京市系数",I57,J57)</f>
        <v>0.7</v>
      </c>
      <c r="D57" s="945">
        <v>0.25</v>
      </c>
      <c r="E57" s="642"/>
      <c r="F57" s="886" t="e">
        <f t="shared" si="15"/>
        <v>#DIV/0!</v>
      </c>
      <c r="G57" s="3004" t="s">
        <v>1887</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1888</v>
      </c>
      <c r="B58" s="218" t="e">
        <f t="shared" ref="B58:B64" si="17">ROUND($C$48*C58*D58,0)</f>
        <v>#DIV/0!</v>
      </c>
      <c r="C58" s="171">
        <f t="shared" si="16"/>
        <v>0.4</v>
      </c>
      <c r="D58" s="945">
        <v>0.25</v>
      </c>
      <c r="E58" s="642"/>
      <c r="F58" s="886" t="e">
        <f t="shared" si="15"/>
        <v>#DIV/0!</v>
      </c>
      <c r="G58" s="3005"/>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1889</v>
      </c>
      <c r="B59" s="218" t="e">
        <f t="shared" si="17"/>
        <v>#DIV/0!</v>
      </c>
      <c r="C59" s="171">
        <f t="shared" si="16"/>
        <v>0.3</v>
      </c>
      <c r="D59" s="945">
        <v>0.25</v>
      </c>
      <c r="E59" s="642"/>
      <c r="F59" s="886" t="e">
        <f t="shared" si="15"/>
        <v>#DIV/0!</v>
      </c>
      <c r="G59" s="3005"/>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1890</v>
      </c>
      <c r="B60" s="218" t="e">
        <f t="shared" si="17"/>
        <v>#DIV/0!</v>
      </c>
      <c r="C60" s="171">
        <f t="shared" si="16"/>
        <v>0.3</v>
      </c>
      <c r="D60" s="945">
        <v>0.25</v>
      </c>
      <c r="E60" s="217">
        <f>'数据-汇总表'!E11</f>
        <v>0</v>
      </c>
      <c r="F60" s="886" t="e">
        <f t="shared" si="15"/>
        <v>#DIV/0!</v>
      </c>
      <c r="G60" s="1987" t="s">
        <v>1891</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1892</v>
      </c>
      <c r="B61" s="218" t="e">
        <f t="shared" si="17"/>
        <v>#DIV/0!</v>
      </c>
      <c r="C61" s="171">
        <f t="shared" si="16"/>
        <v>0.3</v>
      </c>
      <c r="D61" s="945">
        <v>0.25</v>
      </c>
      <c r="E61" s="217">
        <f>'数据-汇总表'!E12</f>
        <v>0</v>
      </c>
      <c r="F61" s="886" t="e">
        <f t="shared" si="15"/>
        <v>#DIV/0!</v>
      </c>
      <c r="G61" s="892" t="s">
        <v>1893</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1894</v>
      </c>
      <c r="B62" s="218" t="e">
        <f t="shared" si="17"/>
        <v>#DIV/0!</v>
      </c>
      <c r="C62" s="171">
        <f t="shared" si="16"/>
        <v>0</v>
      </c>
      <c r="D62" s="945">
        <v>0.25</v>
      </c>
      <c r="E62" s="217">
        <f>'数据-汇总表'!E13</f>
        <v>6092.7899999999991</v>
      </c>
      <c r="F62" s="886" t="e">
        <f t="shared" si="15"/>
        <v>#DIV/0!</v>
      </c>
      <c r="G62" s="892" t="s">
        <v>1895</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1896</v>
      </c>
      <c r="B63" s="218" t="e">
        <f t="shared" si="17"/>
        <v>#DIV/0!</v>
      </c>
      <c r="C63" s="171">
        <f t="shared" si="16"/>
        <v>0.2</v>
      </c>
      <c r="D63" s="945">
        <v>0.25</v>
      </c>
      <c r="E63" s="217">
        <f>'数据-汇总表'!E14</f>
        <v>0</v>
      </c>
      <c r="F63" s="886" t="e">
        <f t="shared" si="15"/>
        <v>#DIV/0!</v>
      </c>
      <c r="G63" s="1987" t="s">
        <v>1887</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1897</v>
      </c>
      <c r="B64" s="218" t="e">
        <f t="shared" si="17"/>
        <v>#DIV/0!</v>
      </c>
      <c r="C64" s="171">
        <f t="shared" si="16"/>
        <v>0.2</v>
      </c>
      <c r="D64" s="945">
        <v>0.25</v>
      </c>
      <c r="E64" s="217">
        <f>'数据-汇总表'!E15</f>
        <v>0</v>
      </c>
      <c r="F64" s="886" t="e">
        <f t="shared" si="15"/>
        <v>#DIV/0!</v>
      </c>
      <c r="G64" s="1988" t="s">
        <v>1891</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1898</v>
      </c>
      <c r="B65" s="644" t="s">
        <v>22</v>
      </c>
      <c r="C65" s="644" t="s">
        <v>23</v>
      </c>
      <c r="D65" s="644" t="s">
        <v>392</v>
      </c>
      <c r="E65" s="644">
        <f>IF(B46="楼面地价",SUM(E56:E64),'数据-汇总表'!D3)</f>
        <v>63303.549999999996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1793</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1899</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1711</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1676</v>
      </c>
      <c r="B72" s="459"/>
      <c r="C72" s="471" t="s">
        <v>1771</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1714</v>
      </c>
      <c r="B74" s="477" t="s">
        <v>1680</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1683</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1685</v>
      </c>
      <c r="B87" s="477" t="s">
        <v>1715</v>
      </c>
      <c r="C87" s="522" t="s">
        <v>1716</v>
      </c>
      <c r="D87" s="522" t="s">
        <v>1717</v>
      </c>
      <c r="E87" s="522" t="s">
        <v>1718</v>
      </c>
      <c r="F87" s="522" t="s">
        <v>1719</v>
      </c>
      <c r="G87" s="522" t="s">
        <v>1720</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1901</v>
      </c>
      <c r="C89" s="527" t="s">
        <v>1716</v>
      </c>
      <c r="D89" s="527" t="s">
        <v>1717</v>
      </c>
      <c r="E89" s="527" t="s">
        <v>1718</v>
      </c>
      <c r="F89" s="527" t="s">
        <v>1719</v>
      </c>
      <c r="G89" s="527" t="s">
        <v>1720</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1816</v>
      </c>
      <c r="C91" s="527" t="s">
        <v>1716</v>
      </c>
      <c r="D91" s="527" t="s">
        <v>1717</v>
      </c>
      <c r="E91" s="527" t="s">
        <v>1718</v>
      </c>
      <c r="F91" s="527" t="s">
        <v>1719</v>
      </c>
      <c r="G91" s="527" t="s">
        <v>1720</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1721</v>
      </c>
      <c r="C93" s="527" t="s">
        <v>1716</v>
      </c>
      <c r="D93" s="527" t="s">
        <v>1717</v>
      </c>
      <c r="E93" s="527" t="s">
        <v>1718</v>
      </c>
      <c r="F93" s="527" t="s">
        <v>1719</v>
      </c>
      <c r="G93" s="527" t="s">
        <v>1720</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1810</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1868</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1909</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1910</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1911</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1912</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15" priority="18" stopIfTrue="1" operator="containsText" text="超过">
      <formula>NOT(ISERROR(SEARCH("超过",F51)))</formula>
    </cfRule>
  </conditionalFormatting>
  <conditionalFormatting sqref="J53">
    <cfRule type="containsText" dxfId="114" priority="17" stopIfTrue="1" operator="containsText" text="超过">
      <formula>NOT(ISERROR(SEARCH("超过",J53)))</formula>
    </cfRule>
  </conditionalFormatting>
  <conditionalFormatting sqref="H53">
    <cfRule type="containsText" dxfId="113" priority="16" stopIfTrue="1" operator="containsText" text="超过">
      <formula>NOT(ISERROR(SEARCH("超过",H53)))</formula>
    </cfRule>
  </conditionalFormatting>
  <conditionalFormatting sqref="F53">
    <cfRule type="containsText" dxfId="112" priority="15" stopIfTrue="1" operator="containsText" text="超过">
      <formula>NOT(ISERROR(SEARCH("超过",F53)))</formula>
    </cfRule>
  </conditionalFormatting>
  <conditionalFormatting sqref="F52 H52 J52">
    <cfRule type="containsText" dxfId="111" priority="14" stopIfTrue="1" operator="containsText" text="超过">
      <formula>NOT(ISERROR(SEARCH("超过",F52)))</formula>
    </cfRule>
  </conditionalFormatting>
  <conditionalFormatting sqref="E51">
    <cfRule type="expression" dxfId="110" priority="13" stopIfTrue="1">
      <formula>$F$51="超过30%"</formula>
    </cfRule>
  </conditionalFormatting>
  <conditionalFormatting sqref="G53">
    <cfRule type="expression" dxfId="109" priority="12" stopIfTrue="1">
      <formula>$H$53="超过30%"</formula>
    </cfRule>
  </conditionalFormatting>
  <conditionalFormatting sqref="E52">
    <cfRule type="expression" dxfId="108" priority="11" stopIfTrue="1">
      <formula>$F$52="超过20%"</formula>
    </cfRule>
  </conditionalFormatting>
  <conditionalFormatting sqref="E53">
    <cfRule type="expression" dxfId="107" priority="10" stopIfTrue="1">
      <formula>$F$53="超过30%"</formula>
    </cfRule>
  </conditionalFormatting>
  <conditionalFormatting sqref="G51">
    <cfRule type="expression" dxfId="106" priority="9" stopIfTrue="1">
      <formula>$H$53+$H$51="超过30%"</formula>
    </cfRule>
  </conditionalFormatting>
  <conditionalFormatting sqref="G52">
    <cfRule type="expression" dxfId="105" priority="8" stopIfTrue="1">
      <formula>$H$52="超过20%"</formula>
    </cfRule>
  </conditionalFormatting>
  <conditionalFormatting sqref="I51">
    <cfRule type="expression" dxfId="104" priority="7" stopIfTrue="1">
      <formula>$J$51="超过30%"</formula>
    </cfRule>
  </conditionalFormatting>
  <conditionalFormatting sqref="I52">
    <cfRule type="expression" dxfId="103" priority="6" stopIfTrue="1">
      <formula>$J$52="超过20%"</formula>
    </cfRule>
  </conditionalFormatting>
  <conditionalFormatting sqref="I53">
    <cfRule type="expression" dxfId="102" priority="5" stopIfTrue="1">
      <formula>$J$53="超过30%"</formula>
    </cfRule>
  </conditionalFormatting>
  <conditionalFormatting sqref="F47">
    <cfRule type="expression" dxfId="101" priority="4">
      <formula>$D$47="简单平均"</formula>
    </cfRule>
  </conditionalFormatting>
  <conditionalFormatting sqref="H47">
    <cfRule type="expression" dxfId="100" priority="3">
      <formula>$D$47="简单平均"</formula>
    </cfRule>
  </conditionalFormatting>
  <conditionalFormatting sqref="J47">
    <cfRule type="expression" dxfId="99" priority="2">
      <formula>$D$47="简单平均"</formula>
    </cfRule>
  </conditionalFormatting>
  <conditionalFormatting sqref="F7:F45 H7:H45 J7:J45">
    <cfRule type="cellIs" dxfId="9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估价对象为北京市房地产，为所有。根据《国有土地使用证》[]，估价对象（分摊）出让国有建设用地使用权面积为9623.18平方米，建筑面积为67265.71平方米。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估价对象为北京市房地产,属开发建设的，该项目尚在开发建设中。根据《国有土地使用证》[]，估价对象（分摊）出让国有建设用地使用权面积为9623.18平方米，规划建筑面积为67265.71平方米。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2023年8月4日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本次评估采用的主估价方法为比较法和收益法。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9" t="s">
        <v>1558</v>
      </c>
      <c r="D1" s="198"/>
      <c r="E1" s="198"/>
      <c r="F1" s="198"/>
      <c r="G1" s="1126">
        <f>MATCH(B1,'数据-取费表'!A6:A16,0)+5</f>
        <v>11</v>
      </c>
      <c r="H1" s="1061" t="str">
        <f>IF(ISERROR(FIND("住宅",B1)),"非住宅","住宅")</f>
        <v>非住宅</v>
      </c>
    </row>
    <row r="2" spans="1:8" s="200" customFormat="1" ht="18" customHeight="1">
      <c r="A2" s="201" t="s">
        <v>1457</v>
      </c>
      <c r="B2" s="3422">
        <f ca="1">ROUND(IF(D2="——",C52/10000,C52/10000-E2),4)</f>
        <v>48353.030100000004</v>
      </c>
      <c r="C2" s="199" t="s">
        <v>1458</v>
      </c>
      <c r="D2" s="1853" t="s">
        <v>43</v>
      </c>
      <c r="E2" s="1169" t="e">
        <f ca="1">SUMIF(INDIRECT("'"&amp;G2&amp;"'"&amp;"!A:A"),"承租人权益价值",INDIRECT("'"&amp;G2&amp;"'"&amp;"!c:c"))</f>
        <v>#REF!</v>
      </c>
      <c r="F2" s="1854" t="s">
        <v>1458</v>
      </c>
      <c r="G2" s="1855"/>
    </row>
    <row r="3" spans="1:8" s="200" customFormat="1" ht="18" customHeight="1" thickBot="1">
      <c r="A3" s="203" t="s">
        <v>1459</v>
      </c>
      <c r="B3" s="204">
        <f ca="1">ROUND(B2*10000/(IF(B1="",'数据-汇总表'!E3,INDIRECT("'数据-取费表'!k"&amp;$G$1))),0)</f>
        <v>7188</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13453142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13453142</v>
      </c>
      <c r="D8" s="222"/>
      <c r="E8" s="220"/>
      <c r="F8" s="221"/>
      <c r="G8" s="1856"/>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1475</v>
      </c>
      <c r="C10" s="225">
        <f ca="1">ROUND(D10*E10,0)</f>
        <v>13453142</v>
      </c>
      <c r="D10" s="845">
        <f ca="1">IF(B1="",'数据-汇总表'!E6,IF(INDIRECT("'数据-取费表'!c"&amp;$G$1)="住宅",INDIRECT("'数据-取费表'!s"&amp;$G$1),INDIRECT("'数据-取费表'!k"&amp;$G$1)+INDIRECT("'数据-取费表'!s"&amp;$G$1)))</f>
        <v>67265.709999999992</v>
      </c>
      <c r="E10" s="225">
        <f>'数据-取费表'!B28</f>
        <v>200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13453142</v>
      </c>
      <c r="D19" s="849">
        <f ca="1">D9+D10</f>
        <v>67265.709999999992</v>
      </c>
      <c r="E19" s="211">
        <f>'数据-取费表'!B31</f>
        <v>200</v>
      </c>
      <c r="F19" s="231"/>
      <c r="G19" s="1856"/>
    </row>
    <row r="20" spans="1:7" s="214" customFormat="1" ht="13.5" customHeight="1">
      <c r="A20" s="255" t="s">
        <v>1569</v>
      </c>
      <c r="B20" s="210" t="s">
        <v>1570</v>
      </c>
      <c r="C20" s="232">
        <f ca="1">ROUND((C5+C19)*F20,0)</f>
        <v>538126</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2997356</v>
      </c>
      <c r="D22" s="235">
        <f ca="1">C26</f>
        <v>1.1000000000000001E-3</v>
      </c>
      <c r="E22" s="236" t="s">
        <v>1574</v>
      </c>
      <c r="F22" s="237">
        <f ca="1">'数据-取费表'!B40</f>
        <v>3.5499999999999997E-2</v>
      </c>
      <c r="G22" s="234" t="str">
        <f>IF('数据-取费表'!B22&lt;=1,"单利计息","复利计息")</f>
        <v>复利计息</v>
      </c>
    </row>
    <row r="23" spans="1:7" s="214" customFormat="1" ht="13.5" customHeight="1">
      <c r="A23" s="780" t="s">
        <v>1467</v>
      </c>
      <c r="B23" s="215" t="s">
        <v>1578</v>
      </c>
      <c r="C23" s="1128">
        <f ca="1">ROUND(IF('数据-取费表'!B22&lt;=1,C5*F22*'数据-取费表'!B22,C5*(POWER((1+F22),'数据-取费表'!B22)-1)),0)</f>
        <v>1484224</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1484224</v>
      </c>
      <c r="D24" s="238"/>
      <c r="E24" s="238"/>
      <c r="F24" s="239"/>
      <c r="G24" s="240" t="s">
        <v>1581</v>
      </c>
    </row>
    <row r="25" spans="1:7" s="214" customFormat="1" ht="24">
      <c r="A25" s="780" t="s">
        <v>1471</v>
      </c>
      <c r="B25" s="215" t="s">
        <v>1582</v>
      </c>
      <c r="C25" s="1128">
        <f ca="1">ROUND(IF('数据-取费表'!B22&lt;=1,C20*F22*'数据-取费表'!B22/2,C20*(POWER((1+F22),'数据-取费表'!B22/2)-1)),0)</f>
        <v>28908</v>
      </c>
      <c r="D25" s="238"/>
      <c r="E25" s="241"/>
      <c r="F25" s="239"/>
      <c r="G25" s="242" t="s">
        <v>1583</v>
      </c>
    </row>
    <row r="26" spans="1:7" s="214" customFormat="1">
      <c r="A26" s="780" t="s">
        <v>350</v>
      </c>
      <c r="B26" s="215" t="s">
        <v>1506</v>
      </c>
      <c r="C26" s="238">
        <f ca="1">ROUND(IF('数据-取费表'!B22&lt;=1,F21*F22*'数据-取费表'!B22/2,F21*(POWER((1+F22),'数据-取费表'!B22/2)-1)),4)</f>
        <v>1.1000000000000001E-3</v>
      </c>
      <c r="D26" s="238"/>
      <c r="E26" s="241"/>
      <c r="F26" s="239"/>
      <c r="G26" s="243"/>
    </row>
    <row r="27" spans="1:7" s="214" customFormat="1" ht="24.75">
      <c r="A27" s="255" t="s">
        <v>1507</v>
      </c>
      <c r="B27" s="244" t="s">
        <v>1508</v>
      </c>
      <c r="C27" s="245">
        <f ca="1">C28</f>
        <v>5214438</v>
      </c>
      <c r="D27" s="235">
        <f ca="1">C29</f>
        <v>3.8E-3</v>
      </c>
      <c r="E27" s="236" t="s">
        <v>1509</v>
      </c>
      <c r="F27" s="246">
        <f ca="1">IF(B1="",'数据-取费表'!Q16,INDIRECT("'数据-取费表'!q"&amp;$G$1))</f>
        <v>0.19</v>
      </c>
      <c r="G27" s="247" t="s">
        <v>1510</v>
      </c>
    </row>
    <row r="28" spans="1:7" s="214" customFormat="1" ht="13.5" customHeight="1">
      <c r="A28" s="780" t="s">
        <v>346</v>
      </c>
      <c r="B28" s="248" t="s">
        <v>1511</v>
      </c>
      <c r="C28" s="249">
        <f ca="1">ROUND((C5+C19+C20)*F27,0)</f>
        <v>5214438</v>
      </c>
      <c r="D28" s="235"/>
      <c r="E28" s="236"/>
      <c r="F28" s="246"/>
      <c r="G28" s="247"/>
    </row>
    <row r="29" spans="1:7" s="214" customFormat="1" ht="13.5" customHeight="1">
      <c r="A29" s="780" t="s">
        <v>347</v>
      </c>
      <c r="B29" s="248" t="s">
        <v>1512</v>
      </c>
      <c r="C29" s="238">
        <f ca="1">ROUND(C21*F27,4)</f>
        <v>3.8E-3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38681063</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404051605</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366759120</v>
      </c>
      <c r="D34" s="217"/>
      <c r="E34" s="220"/>
      <c r="F34" s="257"/>
      <c r="G34" s="219"/>
    </row>
    <row r="35" spans="1:7" ht="13.5" customHeight="1">
      <c r="A35" s="780" t="s">
        <v>351</v>
      </c>
      <c r="B35" s="215" t="s">
        <v>1522</v>
      </c>
      <c r="C35" s="220">
        <f ca="1">ROUND(C34*F35,0)</f>
        <v>18337956</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13453142</v>
      </c>
      <c r="D37" s="217">
        <f ca="1">D19</f>
        <v>67265.709999999992</v>
      </c>
      <c r="E37" s="249">
        <f>'数据-取费表'!B35</f>
        <v>200</v>
      </c>
      <c r="F37" s="259"/>
      <c r="G37" s="261"/>
    </row>
    <row r="38" spans="1:7" ht="13.5" customHeight="1">
      <c r="A38" s="780" t="s">
        <v>354</v>
      </c>
      <c r="B38" s="215" t="s">
        <v>1528</v>
      </c>
      <c r="C38" s="220">
        <f ca="1">ROUND(C34*F38,0)</f>
        <v>5501387</v>
      </c>
      <c r="D38" s="220"/>
      <c r="E38" s="220"/>
      <c r="F38" s="259">
        <f>'数据-取费表'!B36</f>
        <v>1.4999999999999999E-2</v>
      </c>
      <c r="G38" s="219" t="s">
        <v>1523</v>
      </c>
    </row>
    <row r="39" spans="1:7" s="214" customFormat="1" ht="13.5" customHeight="1">
      <c r="A39" s="255" t="s">
        <v>1529</v>
      </c>
      <c r="B39" s="210" t="s">
        <v>1530</v>
      </c>
      <c r="C39" s="232">
        <f ca="1">ROUND(C33*F20,0)</f>
        <v>8081032</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22139697</v>
      </c>
      <c r="D41" s="235">
        <f ca="1">C44</f>
        <v>1.1000000000000001E-3</v>
      </c>
      <c r="E41" s="236" t="s">
        <v>1534</v>
      </c>
      <c r="F41" s="237">
        <f ca="1">F22</f>
        <v>3.5499999999999997E-2</v>
      </c>
      <c r="G41" s="234" t="str">
        <f>IF('数据-取费表'!B22&lt;=1,"单利计息","复利计息")</f>
        <v>复利计息</v>
      </c>
    </row>
    <row r="42" spans="1:7" ht="13.5" customHeight="1">
      <c r="A42" s="780" t="s">
        <v>346</v>
      </c>
      <c r="B42" s="215" t="s">
        <v>1538</v>
      </c>
      <c r="C42" s="238">
        <f ca="1">ROUND(IF('数据-取费表'!B22&lt;=1,C33*F22*'数据-取费表'!B20/2,C33*(POWER((1+F22),'数据-取费表'!B20/2)-1)),0)</f>
        <v>21705585</v>
      </c>
      <c r="D42" s="238"/>
      <c r="E42" s="238"/>
      <c r="F42" s="239"/>
      <c r="G42" s="3724" t="s">
        <v>1586</v>
      </c>
    </row>
    <row r="43" spans="1:7" ht="13.5" customHeight="1">
      <c r="A43" s="780" t="s">
        <v>347</v>
      </c>
      <c r="B43" s="215" t="s">
        <v>1540</v>
      </c>
      <c r="C43" s="238">
        <f ca="1">ROUND(IF('数据-取费表'!B22&lt;=1,C39*F22*'数据-取费表'!B20/2,C39*(POWER((1+F22),'数据-取费表'!B20/2)-1)),0)</f>
        <v>434112</v>
      </c>
      <c r="D43" s="238"/>
      <c r="E43" s="238"/>
      <c r="F43" s="239"/>
      <c r="G43" s="3725"/>
    </row>
    <row r="44" spans="1:7" ht="13.5" customHeight="1">
      <c r="A44" s="780" t="s">
        <v>348</v>
      </c>
      <c r="B44" s="215" t="s">
        <v>1541</v>
      </c>
      <c r="C44" s="238">
        <f ca="1">ROUND(IF('数据-取费表'!B22&lt;=1,C40*F22*'数据-取费表'!B20/2,C40*(POWER((1+F22),'数据-取费表'!B20/2)-1)),4)</f>
        <v>1.1000000000000001E-3</v>
      </c>
      <c r="D44" s="238"/>
      <c r="E44" s="238"/>
      <c r="F44" s="239"/>
      <c r="G44" s="3726"/>
    </row>
    <row r="45" spans="1:7" s="214" customFormat="1" ht="13.5" customHeight="1">
      <c r="A45" s="255" t="s">
        <v>1542</v>
      </c>
      <c r="B45" s="244" t="s">
        <v>1508</v>
      </c>
      <c r="C45" s="245">
        <f ca="1">C46</f>
        <v>78305201</v>
      </c>
      <c r="D45" s="235">
        <f ca="1">C47</f>
        <v>3.8E-3</v>
      </c>
      <c r="E45" s="236" t="s">
        <v>1534</v>
      </c>
      <c r="F45" s="246">
        <f ca="1">F27</f>
        <v>0.19</v>
      </c>
      <c r="G45" s="247" t="s">
        <v>1543</v>
      </c>
    </row>
    <row r="46" spans="1:7" s="214" customFormat="1" ht="13.5" customHeight="1">
      <c r="A46" s="780" t="s">
        <v>346</v>
      </c>
      <c r="B46" s="248" t="s">
        <v>1544</v>
      </c>
      <c r="C46" s="249">
        <f ca="1">ROUND((C33+C39)*F27,0)</f>
        <v>78305201</v>
      </c>
      <c r="D46" s="263"/>
      <c r="E46" s="236"/>
      <c r="F46" s="246"/>
      <c r="G46" s="247"/>
    </row>
    <row r="47" spans="1:7" s="214" customFormat="1" ht="13.5" customHeight="1">
      <c r="A47" s="780" t="s">
        <v>347</v>
      </c>
      <c r="B47" s="248" t="s">
        <v>1545</v>
      </c>
      <c r="C47" s="238">
        <f ca="1">ROUND(C40*F27,4)</f>
        <v>3.8E-3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556061548</v>
      </c>
      <c r="D49" s="232"/>
      <c r="E49" s="232"/>
      <c r="F49" s="264"/>
      <c r="G49" s="234" t="s">
        <v>1549</v>
      </c>
    </row>
    <row r="50" spans="1:7" s="258" customFormat="1">
      <c r="A50" s="255" t="s">
        <v>1550</v>
      </c>
      <c r="B50" s="210" t="s">
        <v>1551</v>
      </c>
      <c r="C50" s="232"/>
      <c r="D50" s="232"/>
      <c r="E50" s="232"/>
      <c r="F50" s="264">
        <f>IF('数据-取费表'!B24=0,'数据-取费表'!N16,1)</f>
        <v>0.8</v>
      </c>
      <c r="G50" s="247"/>
    </row>
    <row r="51" spans="1:7" ht="16.5" customHeight="1">
      <c r="A51" s="255" t="s">
        <v>1553</v>
      </c>
      <c r="B51" s="210" t="s">
        <v>1588</v>
      </c>
      <c r="C51" s="232">
        <f ca="1">ROUND(C49*F50,0)</f>
        <v>444849238</v>
      </c>
      <c r="D51" s="232"/>
      <c r="E51" s="232"/>
      <c r="F51" s="264"/>
      <c r="G51" s="234" t="s">
        <v>1555</v>
      </c>
    </row>
    <row r="52" spans="1:7" s="208" customFormat="1" ht="16.5" thickBot="1">
      <c r="A52" s="265" t="s">
        <v>1556</v>
      </c>
      <c r="B52" s="266"/>
      <c r="C52" s="267">
        <f ca="1">C31+C51</f>
        <v>483530301</v>
      </c>
      <c r="D52" s="266"/>
      <c r="E52" s="266"/>
      <c r="F52" s="266"/>
      <c r="G52" s="268"/>
    </row>
    <row r="55" spans="1:7" ht="15">
      <c r="B55" s="270" t="s">
        <v>1557</v>
      </c>
      <c r="C55" s="271"/>
    </row>
    <row r="56" spans="1:7">
      <c r="B56" s="273" t="s">
        <v>797</v>
      </c>
      <c r="C56" s="275">
        <f ca="1">1-C57</f>
        <v>7.999999999999996E-2</v>
      </c>
    </row>
    <row r="57" spans="1:7">
      <c r="B57" s="273" t="s">
        <v>798</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71"/>
      <c r="H1" s="2804"/>
      <c r="I1" s="2804"/>
      <c r="J1" s="2804"/>
      <c r="K1" s="2805">
        <f>MATCH(C1,'数据-取费表'!A6:A16,0)+5</f>
        <v>11</v>
      </c>
    </row>
    <row r="2" spans="1:33" ht="18" customHeight="1">
      <c r="A2" s="201" t="s">
        <v>1457</v>
      </c>
      <c r="B2" s="204">
        <f ca="1">C32</f>
        <v>-1587</v>
      </c>
      <c r="C2" s="276" t="s">
        <v>1590</v>
      </c>
      <c r="D2" s="276"/>
      <c r="E2" s="2804"/>
      <c r="F2" s="2804"/>
      <c r="G2" s="2804"/>
      <c r="H2" s="2804"/>
      <c r="I2" s="2804"/>
      <c r="J2" s="2804"/>
      <c r="K2" s="2804"/>
    </row>
    <row r="3" spans="1:33" ht="18" customHeight="1" thickBot="1">
      <c r="A3" s="203" t="s">
        <v>1459</v>
      </c>
      <c r="B3" s="204">
        <f ca="1">ROUND(B2*10000/IF(C1="",'数据-汇总表'!E3,INDIRECT("'数据-取费表'!K"&amp;$K$1)),0)</f>
        <v>-236</v>
      </c>
      <c r="C3" s="276" t="s">
        <v>1591</v>
      </c>
      <c r="D3" s="276"/>
      <c r="E3" s="2804"/>
      <c r="F3" s="2804"/>
      <c r="G3" s="2804"/>
      <c r="H3" s="2804"/>
      <c r="I3" s="2804"/>
      <c r="J3" s="2804"/>
      <c r="K3" s="2804"/>
    </row>
    <row r="4" spans="1:33" s="785" customFormat="1" ht="16.5" customHeight="1">
      <c r="A4" s="782" t="s">
        <v>1592</v>
      </c>
      <c r="B4" s="783"/>
      <c r="C4" s="824">
        <f>SUM(C8:K8)</f>
        <v>0</v>
      </c>
      <c r="D4" s="783"/>
      <c r="E4" s="783"/>
      <c r="F4" s="783"/>
      <c r="G4" s="783"/>
      <c r="H4" s="783"/>
      <c r="I4" s="783"/>
      <c r="J4" s="783"/>
      <c r="K4" s="784"/>
    </row>
    <row r="5" spans="1:33" s="789" customFormat="1" ht="15">
      <c r="A5" s="786" t="s">
        <v>1593</v>
      </c>
      <c r="B5" s="787" t="s">
        <v>1594</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1598</v>
      </c>
      <c r="B8" s="164" t="s">
        <v>1599</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1608</v>
      </c>
      <c r="C12" s="21">
        <f ca="1">ROUND(C11*F12,0)</f>
        <v>0</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0</v>
      </c>
      <c r="D14" s="846">
        <f ca="1">IF(C1="",'数据-汇总表'!E3,INDIRECT("'数据-取费表'!K"&amp;$K$1)+INDIRECT("'数据-取费表'!S"&amp;$K$1))</f>
        <v>67265.709999999992</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0</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0</v>
      </c>
      <c r="D17" s="846">
        <f ca="1">D14</f>
        <v>67265.709999999992</v>
      </c>
      <c r="E17" s="21">
        <f>'数据-取费表'!B32</f>
        <v>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1345</v>
      </c>
      <c r="D18" s="846"/>
      <c r="E18" s="21"/>
      <c r="F18" s="804"/>
      <c r="G18" s="1862"/>
      <c r="H18" s="1187"/>
      <c r="I18" s="1863"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1622</v>
      </c>
      <c r="C20" s="21">
        <f ca="1">ROUND(D20*E20/10000,0)</f>
        <v>1345</v>
      </c>
      <c r="D20" s="846">
        <f ca="1">IF(C1="",'数据-汇总表'!E6,IF(INDIRECT("'数据-取费表'!c"&amp;$K$1)="住宅",INDIRECT("'数据-取费表'!s"&amp;$K$1),INDIRECT("'数据-取费表'!k"&amp;$K$1)+INDIRECT("'数据-取费表'!s"&amp;$K$1)))</f>
        <v>67265.709999999992</v>
      </c>
      <c r="E20" s="21">
        <f>'数据-取费表'!B28</f>
        <v>200</v>
      </c>
      <c r="F20" s="804"/>
      <c r="G20" s="12"/>
      <c r="H20" s="809"/>
      <c r="I20" s="809"/>
      <c r="J20" s="809"/>
      <c r="K20" s="810"/>
    </row>
    <row r="21" spans="1:33" s="803" customFormat="1" ht="13.5" customHeight="1">
      <c r="A21" s="790" t="s">
        <v>357</v>
      </c>
      <c r="B21" s="813" t="s">
        <v>1623</v>
      </c>
      <c r="C21" s="814">
        <f ca="1">C16+C17+C18</f>
        <v>1345</v>
      </c>
      <c r="D21" s="815"/>
      <c r="E21" s="281"/>
      <c r="F21" s="281"/>
      <c r="G21" s="131" t="s">
        <v>1624</v>
      </c>
      <c r="H21" s="807"/>
      <c r="I21" s="807"/>
      <c r="J21" s="807"/>
      <c r="K21" s="808"/>
    </row>
    <row r="22" spans="1:33" s="803" customFormat="1" ht="13.5" customHeight="1">
      <c r="A22" s="790" t="s">
        <v>1596</v>
      </c>
      <c r="B22" s="813" t="s">
        <v>1625</v>
      </c>
      <c r="C22" s="814">
        <f ca="1">ROUND(C21*F22,0)</f>
        <v>27</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0</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1635</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1636</v>
      </c>
      <c r="B28" s="1865" t="s">
        <v>1637</v>
      </c>
      <c r="C28" s="287">
        <f ca="1">C30</f>
        <v>261</v>
      </c>
      <c r="D28" s="280">
        <f ca="1">C29</f>
        <v>0</v>
      </c>
      <c r="E28" s="282" t="s">
        <v>12</v>
      </c>
      <c r="F28" s="288">
        <f ca="1">IF(C1="",'数据-取费表'!Q16,INDIRECT("'数据-取费表'!q"&amp;$K$1))</f>
        <v>0.19</v>
      </c>
      <c r="G28" s="817"/>
      <c r="H28" s="818"/>
      <c r="I28" s="818"/>
      <c r="J28" s="818"/>
      <c r="K28" s="819"/>
    </row>
    <row r="29" spans="1:33" s="291" customFormat="1" ht="13.5" customHeight="1">
      <c r="A29" s="800" t="s">
        <v>358</v>
      </c>
      <c r="B29" s="822" t="s">
        <v>1638</v>
      </c>
      <c r="C29" s="284">
        <f ca="1">ROUND((1+C24)*F28*'数据-取费表'!B24/'数据-取费表'!B20,4)</f>
        <v>0</v>
      </c>
      <c r="D29" s="284"/>
      <c r="E29" s="285"/>
      <c r="F29" s="290"/>
      <c r="G29" s="131" t="s">
        <v>1639</v>
      </c>
      <c r="H29" s="807"/>
      <c r="I29" s="807"/>
      <c r="J29" s="807"/>
      <c r="K29" s="808"/>
    </row>
    <row r="30" spans="1:33" s="291" customFormat="1" ht="13.5" customHeight="1">
      <c r="A30" s="800" t="s">
        <v>359</v>
      </c>
      <c r="B30" s="822" t="s">
        <v>1640</v>
      </c>
      <c r="C30" s="292">
        <f ca="1">ROUND((C21+C22+C23)*F28,0)</f>
        <v>261</v>
      </c>
      <c r="D30" s="284"/>
      <c r="E30" s="285"/>
      <c r="F30" s="290"/>
      <c r="G30" s="131"/>
      <c r="H30" s="807"/>
      <c r="I30" s="807"/>
      <c r="J30" s="807"/>
      <c r="K30" s="808"/>
    </row>
    <row r="31" spans="1:33" s="803" customFormat="1" ht="13.5" customHeight="1" thickBot="1">
      <c r="A31" s="1866" t="s">
        <v>1641</v>
      </c>
      <c r="B31" s="833" t="s">
        <v>1642</v>
      </c>
      <c r="C31" s="834">
        <f>ROUND(C4*F31/(1+'数据-取费表'!C42),0)</f>
        <v>0</v>
      </c>
      <c r="D31" s="835"/>
      <c r="E31" s="836"/>
      <c r="F31" s="837">
        <f>'数据-取费表'!B41</f>
        <v>5.6000000000000001E-2</v>
      </c>
      <c r="G31" s="838" t="s">
        <v>1643</v>
      </c>
      <c r="H31" s="839"/>
      <c r="I31" s="839"/>
      <c r="J31" s="839"/>
      <c r="K31" s="840"/>
    </row>
    <row r="32" spans="1:33" s="799" customFormat="1" ht="13.5" customHeight="1" thickBot="1">
      <c r="A32" s="828" t="s">
        <v>1644</v>
      </c>
      <c r="B32" s="829"/>
      <c r="C32" s="830">
        <f ca="1">ROUND((C4-C21-C22-C23-C25-C28-C31)/(1+C24+D25+D28),0)</f>
        <v>-1587</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11</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23" t="e">
        <f ca="1">ROUND(D2/10000,4)</f>
        <v>#DIV/0!</v>
      </c>
      <c r="C2" s="1387" t="s">
        <v>874</v>
      </c>
      <c r="D2" s="1471" t="e">
        <f ca="1">C40+J29+L46</f>
        <v>#DIV/0!</v>
      </c>
      <c r="E2" s="1388" t="s">
        <v>875</v>
      </c>
      <c r="F2" s="1389"/>
      <c r="G2" s="2706"/>
      <c r="H2" s="2695"/>
      <c r="I2" s="2695"/>
      <c r="J2" s="2695"/>
      <c r="K2" s="2696"/>
      <c r="L2" s="2695"/>
      <c r="M2" s="2695"/>
    </row>
    <row r="3" spans="1:37" ht="18" customHeight="1" thickBot="1">
      <c r="A3" s="1390" t="s">
        <v>876</v>
      </c>
      <c r="B3" s="1391">
        <f ca="1">IF(ISERROR(D2/F43),0,ROUND(D2/F43,0))</f>
        <v>0</v>
      </c>
      <c r="C3" s="1387" t="s">
        <v>877</v>
      </c>
      <c r="D3" s="1387"/>
      <c r="E3" s="1388"/>
      <c r="F3" s="1389"/>
      <c r="G3" s="2706"/>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11" t="s">
        <v>689</v>
      </c>
      <c r="C6" s="1074">
        <f ca="1">ROUND(F6*F8*F7*(1-F9),0)</f>
        <v>0</v>
      </c>
      <c r="D6" s="155" t="s">
        <v>2101</v>
      </c>
      <c r="E6" s="302" t="s">
        <v>691</v>
      </c>
      <c r="F6" s="303">
        <f ca="1">INDIRECT("'数据-取费表'!u"&amp;$G$1)</f>
        <v>0</v>
      </c>
      <c r="G6" s="1384"/>
      <c r="H6" s="1069" t="s">
        <v>398</v>
      </c>
      <c r="I6" s="3711" t="s">
        <v>689</v>
      </c>
      <c r="J6" s="301">
        <f ca="1">ROUND(M6*M8*M7*(1-M9),0)</f>
        <v>0</v>
      </c>
      <c r="K6" s="1376" t="s">
        <v>2102</v>
      </c>
      <c r="L6" s="302" t="s">
        <v>691</v>
      </c>
      <c r="M6" s="303">
        <f ca="1">INDIRECT("'数据-取费表'!z"&amp;$G$1)</f>
        <v>0</v>
      </c>
    </row>
    <row r="7" spans="1:37" ht="18" customHeight="1">
      <c r="A7" s="1073"/>
      <c r="B7" s="3712"/>
      <c r="C7" s="1075"/>
      <c r="D7" s="307"/>
      <c r="E7" s="1076" t="s">
        <v>692</v>
      </c>
      <c r="F7" s="303">
        <f ca="1">IF(INDIRECT("'数据-取费表'!ah"&amp;$G$1)="",INDIRECT("'数据-取费表'!k"&amp;$G$1),INDIRECT("'数据-取费表'!ah"&amp;$G$1))</f>
        <v>0</v>
      </c>
      <c r="G7" s="1384"/>
      <c r="H7" s="304"/>
      <c r="I7" s="3712"/>
      <c r="J7" s="306"/>
      <c r="K7" s="307"/>
      <c r="L7" s="302" t="s">
        <v>692</v>
      </c>
      <c r="M7" s="303">
        <f ca="1">F7</f>
        <v>0</v>
      </c>
    </row>
    <row r="8" spans="1:37" ht="18" customHeight="1">
      <c r="A8" s="304"/>
      <c r="B8" s="3712"/>
      <c r="C8" s="306"/>
      <c r="D8" s="307"/>
      <c r="E8" s="302" t="s">
        <v>693</v>
      </c>
      <c r="F8" s="303">
        <f ca="1">INDIRECT("'数据-取费表'!ai"&amp;$G$1)</f>
        <v>0</v>
      </c>
      <c r="G8" s="1384"/>
      <c r="H8" s="304"/>
      <c r="I8" s="3712"/>
      <c r="J8" s="306"/>
      <c r="K8" s="307"/>
      <c r="L8" s="302" t="s">
        <v>693</v>
      </c>
      <c r="M8" s="303">
        <f ca="1">INDIRECT("'数据-取费表'!ai"&amp;$G$1)</f>
        <v>0</v>
      </c>
    </row>
    <row r="9" spans="1:37" ht="18" customHeight="1">
      <c r="A9" s="304"/>
      <c r="B9" s="3713"/>
      <c r="C9" s="306"/>
      <c r="D9" s="307"/>
      <c r="E9" s="302" t="s">
        <v>694</v>
      </c>
      <c r="F9" s="312">
        <f ca="1">INDIRECT("'数据-取费表'!w"&amp;$G$1)</f>
        <v>0</v>
      </c>
      <c r="G9" s="1384"/>
      <c r="H9" s="304"/>
      <c r="I9" s="3713"/>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2111</v>
      </c>
      <c r="E10" s="313" t="s">
        <v>696</v>
      </c>
      <c r="F10" s="1116"/>
      <c r="G10" s="1384"/>
      <c r="H10" s="1069" t="s">
        <v>402</v>
      </c>
      <c r="I10" s="1365" t="s">
        <v>695</v>
      </c>
      <c r="J10" s="301">
        <f ca="1">ROUND(IF(M10="押一",J6/12*M11,IF(M10="押二",J6/12*2*M11,IF(M10="押三",J6/12*3*M11,J11*M11))),0)</f>
        <v>0</v>
      </c>
      <c r="K10" s="1377" t="s">
        <v>2113</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6">
        <f ca="1">ROUND(IF(AND(项目基本情况!B11="自然人",项目基本情况!B10="北京市"),J6*M17/(1+'数据-取费表'!C42),J18+J19+J20),0)</f>
        <v>0</v>
      </c>
      <c r="K17" s="1345" t="s">
        <v>715</v>
      </c>
      <c r="L17" s="1344" t="s">
        <v>716</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1.4999999999999999E-2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3337</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0.02</v>
      </c>
      <c r="G20" s="1396"/>
      <c r="H20" s="982" t="s">
        <v>675</v>
      </c>
      <c r="I20" s="155" t="s">
        <v>725</v>
      </c>
      <c r="J20" s="22">
        <f ca="1">ROUND(M20*M21,0)</f>
        <v>0</v>
      </c>
      <c r="K20" s="324" t="s">
        <v>726</v>
      </c>
      <c r="L20" s="302" t="s">
        <v>727</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0.02</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1.1000000000000001E-3</v>
      </c>
      <c r="D24" s="329" t="str">
        <f>IF(F23&lt;=1,"销售费用×利率×(建设周期÷2)","销售费用×((1+利率)^(建设周期÷2)-1)")</f>
        <v>销售费用×((1+利率)^(建设周期÷2)-1)</v>
      </c>
      <c r="E24" s="302" t="s">
        <v>742</v>
      </c>
      <c r="F24" s="331">
        <f ca="1">'数据-取费表'!B40</f>
        <v>3.5499999999999997E-2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7"/>
      <c r="I30" s="1398"/>
      <c r="J30" s="1399"/>
      <c r="K30" s="2475"/>
      <c r="L30" s="2698"/>
      <c r="M30" s="2699"/>
    </row>
    <row r="31" spans="1:37" ht="18" customHeight="1">
      <c r="A31" s="982" t="s">
        <v>398</v>
      </c>
      <c r="B31" s="302" t="s">
        <v>714</v>
      </c>
      <c r="C31" s="2316">
        <f ca="1">ROUND(IF(AND(项目基本情况!B11="自然人",项目基本情况!B10="北京市"),C6*F31/(1+'数据-取费表'!C42),C32+C33+C34),0)</f>
        <v>0</v>
      </c>
      <c r="D31" s="1345" t="s">
        <v>715</v>
      </c>
      <c r="E31" s="1344" t="s">
        <v>765</v>
      </c>
      <c r="F31" s="2315" t="str">
        <f>IF(项目基本情况!B11="企业","——",IF(M47="住宅",IF(F6*F7*F8/12/(1+'数据-取费表'!F30)&gt;100000,4%,2.5%),IF(F6*F7*F8/12/(1+'数据-取费表'!F30)&gt;100000,12%,7%)))</f>
        <v>——</v>
      </c>
      <c r="G31" s="1384"/>
      <c r="H31" s="2806" t="s">
        <v>2305</v>
      </c>
      <c r="I31" s="1398"/>
      <c r="J31" s="1399"/>
      <c r="K31" s="2475"/>
      <c r="L31" s="2698"/>
      <c r="M31" s="2699"/>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7"/>
      <c r="I32" s="1398"/>
      <c r="J32" s="1399"/>
      <c r="K32" s="2475"/>
      <c r="L32" s="2698"/>
      <c r="M32" s="2699"/>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3337</v>
      </c>
      <c r="E33" s="302" t="s">
        <v>707</v>
      </c>
      <c r="F33" s="322">
        <f>IF(D33="按票据","——",IF(D33="按租金收入计税",'数据-取费表'!B51,'数据-取费表'!B50))</f>
        <v>0.12</v>
      </c>
      <c r="G33" s="1384"/>
      <c r="H33" s="2700"/>
      <c r="I33" s="1398"/>
      <c r="J33" s="1399"/>
      <c r="K33" s="2701"/>
      <c r="L33" s="2700"/>
      <c r="M33" s="2700"/>
    </row>
    <row r="34" spans="1:18" ht="18" customHeight="1">
      <c r="A34" s="1069" t="s">
        <v>675</v>
      </c>
      <c r="B34" s="155" t="s">
        <v>725</v>
      </c>
      <c r="C34" s="22">
        <f ca="1">IF(项目基本情况!B11="自然人","——",ROUND(F34*F35,0))</f>
        <v>0</v>
      </c>
      <c r="D34" s="324" t="s">
        <v>726</v>
      </c>
      <c r="E34" s="302" t="s">
        <v>727</v>
      </c>
      <c r="F34" s="325">
        <f>'数据-取费表'!B52</f>
        <v>24</v>
      </c>
      <c r="G34" s="1384"/>
      <c r="H34" s="2697"/>
      <c r="I34" s="1398"/>
      <c r="J34" s="1399"/>
      <c r="K34" s="2702"/>
      <c r="L34" s="2703"/>
      <c r="M34" s="2703"/>
    </row>
    <row r="35" spans="1:18" ht="18" customHeight="1">
      <c r="A35" s="1103"/>
      <c r="B35" s="1101"/>
      <c r="C35" s="26"/>
      <c r="D35" s="327"/>
      <c r="E35" s="302" t="s">
        <v>731</v>
      </c>
      <c r="F35" s="303">
        <f ca="1">INDIRECT("'数据-取费表'!r"&amp;$G$1)</f>
        <v>0</v>
      </c>
      <c r="G35" s="1384"/>
      <c r="H35" s="2697"/>
      <c r="I35" s="1398"/>
      <c r="J35" s="1399"/>
      <c r="K35" s="2701"/>
      <c r="L35" s="2700"/>
      <c r="M35" s="2700"/>
    </row>
    <row r="36" spans="1:18" ht="18" customHeight="1">
      <c r="A36" s="1102" t="s">
        <v>402</v>
      </c>
      <c r="B36" s="302" t="s">
        <v>733</v>
      </c>
      <c r="C36" s="21">
        <f ca="1">ROUND(C29*F36,0)</f>
        <v>0</v>
      </c>
      <c r="D36" s="1344" t="s">
        <v>766</v>
      </c>
      <c r="E36" s="302" t="s">
        <v>707</v>
      </c>
      <c r="F36" s="328">
        <f ca="1">INDIRECT("'数据-取费表'!Ak"&amp;$G$1)</f>
        <v>0</v>
      </c>
      <c r="G36" s="1384"/>
      <c r="H36" s="2700"/>
      <c r="I36" s="1398"/>
      <c r="J36" s="1399"/>
      <c r="K36" s="2544"/>
      <c r="L36" s="2700"/>
      <c r="M36" s="2700"/>
    </row>
    <row r="37" spans="1:18" ht="18" customHeight="1">
      <c r="A37" s="982" t="s">
        <v>437</v>
      </c>
      <c r="B37" s="302" t="s">
        <v>737</v>
      </c>
      <c r="C37" s="21">
        <f ca="1">ROUND(C13*F37,0)</f>
        <v>0</v>
      </c>
      <c r="D37" s="1344" t="s">
        <v>738</v>
      </c>
      <c r="E37" s="302" t="s">
        <v>739</v>
      </c>
      <c r="F37" s="330">
        <f ca="1">INDIRECT("'数据-取费表'!Al"&amp;$G$1)</f>
        <v>0</v>
      </c>
      <c r="G37" s="1384"/>
      <c r="H37" s="2700"/>
      <c r="I37" s="1398"/>
      <c r="J37" s="1399"/>
      <c r="K37" s="2544"/>
      <c r="L37" s="2700"/>
      <c r="M37" s="2700"/>
    </row>
    <row r="38" spans="1:18" ht="18" customHeight="1" thickBot="1">
      <c r="A38" s="1089" t="s">
        <v>679</v>
      </c>
      <c r="B38" s="1090" t="s">
        <v>723</v>
      </c>
      <c r="C38" s="1091">
        <f ca="1">ROUND(C5*F38,0)</f>
        <v>0</v>
      </c>
      <c r="D38" s="1092" t="s">
        <v>743</v>
      </c>
      <c r="E38" s="1090" t="s">
        <v>739</v>
      </c>
      <c r="F38" s="1086">
        <f ca="1">INDIRECT("'数据-取费表'!Am"&amp;$G$1)</f>
        <v>0</v>
      </c>
      <c r="G38" s="1384"/>
      <c r="H38" s="2700"/>
      <c r="I38" s="1398"/>
      <c r="J38" s="1399"/>
      <c r="K38" s="2704"/>
      <c r="L38" s="2700"/>
      <c r="M38" s="2700"/>
    </row>
    <row r="39" spans="1:18" ht="24.6" customHeight="1" thickTop="1">
      <c r="A39" s="1079" t="s">
        <v>394</v>
      </c>
      <c r="B39" s="1094" t="s">
        <v>767</v>
      </c>
      <c r="C39" s="310">
        <f ca="1">C5-C30</f>
        <v>0</v>
      </c>
      <c r="D39" s="1095" t="s">
        <v>768</v>
      </c>
      <c r="E39" s="1096"/>
      <c r="F39" s="1097"/>
      <c r="G39" s="1384"/>
      <c r="H39" s="2700"/>
      <c r="I39" s="1398"/>
      <c r="J39" s="1399"/>
      <c r="K39" s="2704"/>
      <c r="L39" s="2700"/>
      <c r="M39" s="2700"/>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4"/>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761</v>
      </c>
      <c r="F42" s="312">
        <f ca="1">INDIRECT("'数据-取费表'!v"&amp;$G$1)</f>
        <v>0</v>
      </c>
      <c r="G42" s="1384"/>
      <c r="H42" s="1191"/>
      <c r="I42" s="1398"/>
      <c r="J42" s="1399"/>
      <c r="K42" s="2544"/>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t="e">
        <f ca="1">ROUND((C68-C40)/10000,4)</f>
        <v>#DIV/0!</v>
      </c>
      <c r="D45" s="3430" t="s">
        <v>3354</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2114</v>
      </c>
      <c r="E53" s="313" t="s">
        <v>696</v>
      </c>
      <c r="F53" s="1116"/>
      <c r="I53" s="1439" t="s">
        <v>831</v>
      </c>
      <c r="J53" s="2168">
        <f ca="1">IF(M47="住宅",IF(D1="——",MAX(J51,L48),MAX(J51,L48-'数据-取费表'!B24)),IF(D1="——",MIN(J51,L48),MIN(J51,L48-'数据-取费表'!B24)))</f>
        <v>0</v>
      </c>
      <c r="K53" s="3709" t="s">
        <v>832</v>
      </c>
      <c r="L53" s="3710"/>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6">
        <f ca="1">ROUND(IF(AND(项目基本情况!B11="自然人",项目基本情况!B10="北京市"),C49*F59/(1+'数据-取费表'!C42),C60+C61+C62),0)</f>
        <v>0</v>
      </c>
      <c r="D59" s="963" t="s">
        <v>715</v>
      </c>
      <c r="E59" s="964" t="s">
        <v>716</v>
      </c>
      <c r="F59" s="2315"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3337</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24</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41" t="s">
        <v>3360</v>
      </c>
      <c r="E2" s="3442"/>
      <c r="F2" s="2844"/>
      <c r="G2" s="2845"/>
      <c r="H2" s="2846"/>
      <c r="I2" s="2847"/>
      <c r="J2" s="3750" t="s">
        <v>2316</v>
      </c>
      <c r="K2" s="3751"/>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2" t="s">
        <v>2326</v>
      </c>
      <c r="K3" s="3753"/>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2" t="s">
        <v>2328</v>
      </c>
      <c r="K4" s="3753"/>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54" t="s">
        <v>2332</v>
      </c>
      <c r="B6" s="3755"/>
      <c r="C6" s="3756"/>
      <c r="D6" s="2868"/>
      <c r="E6" s="2869"/>
      <c r="F6" s="2870"/>
      <c r="G6" s="2871"/>
      <c r="H6" s="2846"/>
      <c r="I6" s="2847"/>
      <c r="J6" s="3757">
        <v>1</v>
      </c>
      <c r="K6" s="3758"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7"/>
      <c r="K7" s="3759"/>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1" t="s">
        <v>2346</v>
      </c>
      <c r="C8" s="3762"/>
      <c r="D8" s="2887" t="s">
        <v>2347</v>
      </c>
      <c r="E8" s="2888" t="s">
        <v>2348</v>
      </c>
      <c r="F8" s="2889" t="s">
        <v>2349</v>
      </c>
      <c r="G8" s="2890"/>
      <c r="H8" s="2846"/>
      <c r="I8" s="2847"/>
      <c r="J8" s="3757"/>
      <c r="K8" s="3759"/>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1" t="s">
        <v>2352</v>
      </c>
      <c r="C9" s="3762"/>
      <c r="D9" s="2887">
        <f>ROUND(D6*E9,0)</f>
        <v>0</v>
      </c>
      <c r="E9" s="2891"/>
      <c r="F9" s="2892" t="s">
        <v>2353</v>
      </c>
      <c r="G9" s="2871"/>
      <c r="H9" s="2846"/>
      <c r="I9" s="2847"/>
      <c r="J9" s="3757"/>
      <c r="K9" s="3759"/>
      <c r="L9" s="2881" t="s">
        <v>2354</v>
      </c>
      <c r="M9" s="2882"/>
      <c r="N9" s="2858"/>
      <c r="O9" s="2883"/>
      <c r="P9" s="2883"/>
      <c r="Q9" s="2884">
        <v>365</v>
      </c>
      <c r="R9" s="2885">
        <f t="shared" si="0"/>
        <v>0</v>
      </c>
      <c r="S9" s="2839"/>
      <c r="T9" s="2839"/>
      <c r="U9" s="2839"/>
      <c r="V9" s="2847"/>
    </row>
    <row r="10" spans="1:22" s="2851" customFormat="1" ht="13.15" customHeight="1">
      <c r="A10" s="2886">
        <v>2</v>
      </c>
      <c r="B10" s="3761" t="s">
        <v>2355</v>
      </c>
      <c r="C10" s="3762"/>
      <c r="D10" s="2887">
        <f>ROUND(D6*E10,0)</f>
        <v>0</v>
      </c>
      <c r="E10" s="2891"/>
      <c r="F10" s="2892" t="s">
        <v>2356</v>
      </c>
      <c r="G10" s="2871"/>
      <c r="H10" s="2846"/>
      <c r="I10" s="2847"/>
      <c r="J10" s="3757"/>
      <c r="K10" s="3759"/>
      <c r="L10" s="2881" t="s">
        <v>2357</v>
      </c>
      <c r="M10" s="2882"/>
      <c r="N10" s="2858"/>
      <c r="O10" s="2883"/>
      <c r="P10" s="2883"/>
      <c r="Q10" s="2884">
        <v>365</v>
      </c>
      <c r="R10" s="2885">
        <f t="shared" si="0"/>
        <v>0</v>
      </c>
      <c r="S10" s="2839"/>
      <c r="T10" s="2839"/>
      <c r="U10" s="2839"/>
      <c r="V10" s="2847"/>
    </row>
    <row r="11" spans="1:22" s="2851" customFormat="1" ht="13.15" customHeight="1">
      <c r="A11" s="2886">
        <v>3</v>
      </c>
      <c r="B11" s="3761" t="s">
        <v>2358</v>
      </c>
      <c r="C11" s="3762"/>
      <c r="D11" s="2887">
        <f>D12+D14+D15+D16</f>
        <v>0</v>
      </c>
      <c r="E11" s="2893" t="e">
        <f>D11/D6</f>
        <v>#DIV/0!</v>
      </c>
      <c r="F11" s="2889"/>
      <c r="G11" s="2890"/>
      <c r="H11" s="2846"/>
      <c r="I11" s="2847"/>
      <c r="J11" s="3757"/>
      <c r="K11" s="3759"/>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3" t="s">
        <v>2361</v>
      </c>
      <c r="C12" s="3764"/>
      <c r="D12" s="2895">
        <f>ROUND(D13*1.2%*(1-30%),0)</f>
        <v>0</v>
      </c>
      <c r="E12" s="2896">
        <v>1.2E-2</v>
      </c>
      <c r="F12" s="2889" t="s">
        <v>2362</v>
      </c>
      <c r="G12" s="2890"/>
      <c r="H12" s="2846"/>
      <c r="I12" s="2847"/>
      <c r="J12" s="3757"/>
      <c r="K12" s="3759"/>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7"/>
      <c r="K13" s="3759"/>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3" t="s">
        <v>2367</v>
      </c>
      <c r="C14" s="3764"/>
      <c r="D14" s="2895">
        <f>ROUND(E14*B5/10000,0)</f>
        <v>0</v>
      </c>
      <c r="E14" s="2884"/>
      <c r="F14" s="2889" t="s">
        <v>2368</v>
      </c>
      <c r="G14" s="2890"/>
      <c r="H14" s="2846"/>
      <c r="I14" s="2847"/>
      <c r="J14" s="3757"/>
      <c r="K14" s="3760"/>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3" t="s">
        <v>2371</v>
      </c>
      <c r="C15" s="3764"/>
      <c r="D15" s="2895">
        <f>ROUND(D6*E15,0)</f>
        <v>0</v>
      </c>
      <c r="E15" s="2896">
        <v>5.5E-2</v>
      </c>
      <c r="F15" s="2889" t="s">
        <v>2372</v>
      </c>
      <c r="G15" s="2871"/>
      <c r="H15" s="2846"/>
      <c r="I15" s="2847"/>
      <c r="J15" s="3757">
        <v>2</v>
      </c>
      <c r="K15" s="3758"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3" t="s">
        <v>2380</v>
      </c>
      <c r="C16" s="3764"/>
      <c r="D16" s="2906">
        <f>D6*E16</f>
        <v>0</v>
      </c>
      <c r="E16" s="2907"/>
      <c r="F16" s="2892" t="s">
        <v>2381</v>
      </c>
      <c r="G16" s="2871"/>
      <c r="H16" s="2846"/>
      <c r="I16" s="2847"/>
      <c r="J16" s="3757"/>
      <c r="K16" s="3759"/>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5" t="s">
        <v>2383</v>
      </c>
      <c r="C17" s="3766"/>
      <c r="D17" s="2909">
        <f>ROUND(D6*E17,0)</f>
        <v>0</v>
      </c>
      <c r="E17" s="2910"/>
      <c r="F17" s="2911" t="s">
        <v>2384</v>
      </c>
      <c r="G17" s="2871"/>
      <c r="H17" s="2846"/>
      <c r="I17" s="2847"/>
      <c r="J17" s="3757"/>
      <c r="K17" s="3759"/>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7"/>
      <c r="K18" s="3759"/>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7"/>
      <c r="K19" s="3760"/>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7">
        <v>3</v>
      </c>
      <c r="K20" s="3758"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7"/>
      <c r="K21" s="3759"/>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7"/>
      <c r="K22" s="3759"/>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7"/>
      <c r="K23" s="3759"/>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7"/>
      <c r="K24" s="3760"/>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67">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6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50" t="s">
        <v>2316</v>
      </c>
      <c r="K32" s="3751"/>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2" t="s">
        <v>2326</v>
      </c>
      <c r="K33" s="3753"/>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2" t="s">
        <v>2328</v>
      </c>
      <c r="K34" s="375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7">
        <v>1</v>
      </c>
      <c r="K36" s="3758"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7"/>
      <c r="K37" s="3759"/>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7"/>
      <c r="K38" s="3759"/>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7"/>
      <c r="K39" s="3759"/>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7"/>
      <c r="K40" s="3760"/>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7">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6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 sqref="H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1653</v>
      </c>
      <c r="B1" s="1868"/>
      <c r="C1" s="1868"/>
      <c r="D1" s="1868"/>
      <c r="E1" s="1869"/>
      <c r="F1" s="2707"/>
      <c r="G1" s="1489"/>
      <c r="H1" s="1489"/>
      <c r="I1" s="1489"/>
      <c r="J1" s="1489"/>
      <c r="K1" s="1489"/>
      <c r="L1" s="1489"/>
      <c r="M1" s="1489"/>
      <c r="N1" s="1489"/>
      <c r="O1" s="1489"/>
      <c r="P1" s="1489"/>
      <c r="Q1" s="1489"/>
      <c r="R1" s="1489"/>
      <c r="S1" s="1489"/>
    </row>
    <row r="2" spans="1:22" ht="15.75">
      <c r="A2" s="1870" t="s">
        <v>1457</v>
      </c>
      <c r="B2" s="1871">
        <f ca="1">SUMIF(B6:B13,"&lt;&gt;#ref!",B6:B13)</f>
        <v>309176</v>
      </c>
      <c r="C2" s="1872" t="s">
        <v>1646</v>
      </c>
      <c r="D2" s="1873" t="s">
        <v>1647</v>
      </c>
      <c r="E2" s="2607">
        <f>SUM(E6:E13)</f>
        <v>56067.819999999992</v>
      </c>
      <c r="F2" s="2707"/>
      <c r="G2" s="1489"/>
      <c r="H2" s="1489"/>
      <c r="I2" s="1489"/>
      <c r="J2" s="1489"/>
      <c r="K2" s="1489"/>
      <c r="L2" s="1489"/>
      <c r="M2" s="1489"/>
      <c r="N2" s="1489"/>
      <c r="O2" s="1489"/>
      <c r="P2" s="1489"/>
      <c r="Q2" s="1489"/>
      <c r="R2" s="1489"/>
      <c r="S2" s="1489"/>
    </row>
    <row r="3" spans="1:22" ht="15.75">
      <c r="A3" s="1870" t="s">
        <v>681</v>
      </c>
      <c r="B3" s="2601">
        <f ca="1">ROUND(B2*10000/E2,0)</f>
        <v>55143</v>
      </c>
      <c r="C3" s="1872" t="s">
        <v>1654</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1648</v>
      </c>
      <c r="B5" s="3769" t="s">
        <v>1649</v>
      </c>
      <c r="C5" s="3770"/>
      <c r="D5" s="2708"/>
      <c r="E5" s="1874" t="s">
        <v>1650</v>
      </c>
      <c r="F5" s="1875" t="s">
        <v>1651</v>
      </c>
      <c r="G5" s="1489"/>
      <c r="H5" s="1489"/>
      <c r="I5" s="1489"/>
      <c r="J5" s="1489"/>
      <c r="K5" s="1489"/>
      <c r="L5" s="1489"/>
      <c r="M5" s="1489"/>
      <c r="N5" s="1489"/>
      <c r="O5" s="1489"/>
      <c r="P5" s="1489"/>
      <c r="Q5" s="1489"/>
      <c r="R5" s="1489"/>
      <c r="S5" s="1489"/>
    </row>
    <row r="6" spans="1:22">
      <c r="A6" s="2604" t="str">
        <f>'数据-取费表'!AN6</f>
        <v>收益法(地下商业)</v>
      </c>
      <c r="B6" s="2602">
        <f ca="1">IF(F6="是",'数据-取费表'!AO6,0)</f>
        <v>9572</v>
      </c>
      <c r="C6" s="1872" t="s">
        <v>1646</v>
      </c>
      <c r="D6" s="2709"/>
      <c r="E6" s="2606">
        <f>IF(OR(A6=0,F6="否"),0,'数据-取费表'!K6+'数据-取费表'!S6)</f>
        <v>3962.1600000000008</v>
      </c>
      <c r="F6" s="1876" t="s">
        <v>1652</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31866</v>
      </c>
      <c r="C7" s="1872" t="s">
        <v>1646</v>
      </c>
      <c r="D7" s="2709"/>
      <c r="E7" s="2606">
        <f>IF(OR(A7=0,F7="否"),0,'数据-取费表'!K7+'数据-取费表'!S7)</f>
        <v>5038.8999999999996</v>
      </c>
      <c r="F7" s="1876" t="s">
        <v>1652</v>
      </c>
      <c r="G7" s="1489"/>
      <c r="H7" s="1489"/>
      <c r="I7" s="1489"/>
      <c r="J7" s="1489"/>
      <c r="K7" s="1489"/>
      <c r="L7" s="1489"/>
      <c r="M7" s="1489"/>
      <c r="N7" s="1489"/>
      <c r="O7" s="1489"/>
      <c r="P7" s="1489"/>
      <c r="Q7" s="1489"/>
      <c r="R7" s="1489"/>
      <c r="S7" s="1489"/>
    </row>
    <row r="8" spans="1:22">
      <c r="A8" s="2604" t="str">
        <f>'数据-取费表'!AN8</f>
        <v>收益法</v>
      </c>
      <c r="B8" s="2602">
        <f ca="1">IF(F8="是",'数据-取费表'!AO8,0)</f>
        <v>267738</v>
      </c>
      <c r="C8" s="1872" t="s">
        <v>1646</v>
      </c>
      <c r="D8" s="2709"/>
      <c r="E8" s="2606">
        <f>IF(OR(A8=0,F8="否"),0,'数据-取费表'!K8+'数据-取费表'!S8)</f>
        <v>47066.759999999995</v>
      </c>
      <c r="F8" s="1876" t="s">
        <v>1652</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1646</v>
      </c>
      <c r="D9" s="2709"/>
      <c r="E9" s="2606">
        <f>IF(OR(A9=0,F9="否"),0,'数据-取费表'!K9+'数据-取费表'!S9)</f>
        <v>0</v>
      </c>
      <c r="F9" s="1876" t="s">
        <v>1652</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1646</v>
      </c>
      <c r="D10" s="2709"/>
      <c r="E10" s="2606">
        <f>IF(OR(A10=0,F10="否"),0,'数据-取费表'!K10+'数据-取费表'!S10)</f>
        <v>0</v>
      </c>
      <c r="F10" s="1876" t="s">
        <v>1652</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1646</v>
      </c>
      <c r="D11" s="2709"/>
      <c r="E11" s="2606">
        <f>IF(OR(A11=0,F11="否"),0,'数据-取费表'!K11+'数据-取费表'!S11)</f>
        <v>0</v>
      </c>
      <c r="F11" s="1876" t="s">
        <v>1652</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1646</v>
      </c>
      <c r="D12" s="2709"/>
      <c r="E12" s="2606">
        <f>IF(OR(A12=0,F12="否"),0,'数据-取费表'!K12+'数据-取费表'!S12)</f>
        <v>0</v>
      </c>
      <c r="F12" s="1876" t="s">
        <v>1652</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1646</v>
      </c>
      <c r="D13" s="2710"/>
      <c r="E13" s="2606">
        <f>IF(OR(A13=0,F13="否"),0,'数据-取费表'!K13+'数据-取费表'!S13)</f>
        <v>0</v>
      </c>
      <c r="F13" s="1876"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8" t="s">
        <v>1656</v>
      </c>
      <c r="C1" s="1238" t="s">
        <v>1657</v>
      </c>
      <c r="D1" s="1225"/>
      <c r="E1" s="3424"/>
      <c r="F1" s="1879"/>
      <c r="G1" s="1235" t="s">
        <v>1658</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680</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1659</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681</v>
      </c>
      <c r="B3" s="353">
        <f>IF(C2="——",C49,ROUND(B2*10000/D3,0))</f>
        <v>0</v>
      </c>
      <c r="C3" s="354" t="s">
        <v>1660</v>
      </c>
      <c r="D3" s="353">
        <f>IF(D1="",'数据-汇总表'!E3,SUMIF('数据-汇总表'!$C19:$C33,D1,'数据-汇总表'!$E19:$E33))</f>
        <v>67265.709999999992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1661</v>
      </c>
      <c r="B4" s="356"/>
      <c r="C4" s="3679" t="s">
        <v>1662</v>
      </c>
      <c r="D4" s="3680"/>
      <c r="E4" s="3681" t="s">
        <v>1663</v>
      </c>
      <c r="F4" s="3682"/>
      <c r="G4" s="3679" t="s">
        <v>1664</v>
      </c>
      <c r="H4" s="3680"/>
      <c r="I4" s="3679" t="s">
        <v>1665</v>
      </c>
      <c r="J4" s="3680"/>
      <c r="K4" s="1889" t="s">
        <v>1666</v>
      </c>
      <c r="L4" s="2715"/>
      <c r="M4" s="2716"/>
      <c r="N4" s="2716"/>
      <c r="O4" s="2716"/>
      <c r="P4" s="3717" t="s">
        <v>1667</v>
      </c>
      <c r="Q4" s="3718"/>
      <c r="R4" s="3715" t="s">
        <v>1663</v>
      </c>
      <c r="S4" s="3716"/>
      <c r="T4" s="3715" t="s">
        <v>1664</v>
      </c>
      <c r="U4" s="3716"/>
      <c r="V4" s="3692" t="s">
        <v>1665</v>
      </c>
      <c r="W4" s="3692"/>
      <c r="X4" s="1355"/>
      <c r="Y4" s="3715" t="s">
        <v>1667</v>
      </c>
      <c r="Z4" s="3716"/>
      <c r="AA4" s="3714" t="s">
        <v>1663</v>
      </c>
      <c r="AB4" s="3714" t="s">
        <v>1664</v>
      </c>
      <c r="AC4" s="3714" t="s">
        <v>1665</v>
      </c>
    </row>
    <row r="5" spans="1:29" ht="15">
      <c r="A5" s="358"/>
      <c r="B5" s="359"/>
      <c r="C5" s="3669" t="s">
        <v>1668</v>
      </c>
      <c r="D5" s="3670"/>
      <c r="E5" s="3667" t="s">
        <v>1669</v>
      </c>
      <c r="F5" s="3668"/>
      <c r="G5" s="3669" t="s">
        <v>1670</v>
      </c>
      <c r="H5" s="3670"/>
      <c r="I5" s="3669" t="s">
        <v>1671</v>
      </c>
      <c r="J5" s="3670"/>
      <c r="K5" s="1890"/>
      <c r="L5" s="2715"/>
      <c r="M5" s="2716"/>
      <c r="N5" s="2716"/>
      <c r="O5" s="2716"/>
      <c r="P5" s="3719"/>
      <c r="Q5" s="3686"/>
      <c r="R5" s="3665"/>
      <c r="S5" s="3666"/>
      <c r="T5" s="3665"/>
      <c r="U5" s="3666"/>
      <c r="V5" s="3692"/>
      <c r="W5" s="3692"/>
      <c r="X5" s="1355"/>
      <c r="Y5" s="3665"/>
      <c r="Z5" s="3666"/>
      <c r="AA5" s="3659"/>
      <c r="AB5" s="3659"/>
      <c r="AC5" s="3659"/>
    </row>
    <row r="6" spans="1:29" ht="15.75" thickBot="1">
      <c r="A6" s="360"/>
      <c r="B6" s="361"/>
      <c r="C6" s="3671" t="s">
        <v>1672</v>
      </c>
      <c r="D6" s="3672"/>
      <c r="E6" s="3673" t="s">
        <v>1672</v>
      </c>
      <c r="F6" s="3674"/>
      <c r="G6" s="3671" t="s">
        <v>1672</v>
      </c>
      <c r="H6" s="3672"/>
      <c r="I6" s="3671" t="s">
        <v>1672</v>
      </c>
      <c r="J6" s="3672"/>
      <c r="K6" s="1890" t="s">
        <v>1673</v>
      </c>
      <c r="L6" s="2715"/>
      <c r="M6" s="2716"/>
      <c r="N6" s="2716"/>
      <c r="O6" s="2716"/>
      <c r="P6" s="3720"/>
      <c r="Q6" s="3688"/>
      <c r="R6" s="3665"/>
      <c r="S6" s="3666"/>
      <c r="T6" s="3689"/>
      <c r="U6" s="3690"/>
      <c r="V6" s="3692"/>
      <c r="W6" s="3692"/>
      <c r="X6" s="1355"/>
      <c r="Y6" s="3689"/>
      <c r="Z6" s="3690"/>
      <c r="AA6" s="3660"/>
      <c r="AB6" s="3660"/>
      <c r="AC6" s="3660"/>
    </row>
    <row r="7" spans="1:29" s="108" customFormat="1" ht="15.75" thickBot="1">
      <c r="A7" s="362" t="s">
        <v>1674</v>
      </c>
      <c r="B7" s="363"/>
      <c r="C7" s="364">
        <f>'数据-取费表'!B2</f>
        <v>45142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1" t="s">
        <v>1675</v>
      </c>
      <c r="Q7" s="3694"/>
      <c r="R7" s="701" t="s">
        <v>20</v>
      </c>
      <c r="S7" s="702">
        <f t="shared" ref="S7:S15" si="0">F7</f>
        <v>0</v>
      </c>
      <c r="T7" s="701" t="s">
        <v>20</v>
      </c>
      <c r="U7" s="702">
        <f t="shared" ref="U7:U15" si="1">H7</f>
        <v>0</v>
      </c>
      <c r="V7" s="701" t="s">
        <v>20</v>
      </c>
      <c r="W7" s="702">
        <f t="shared" ref="W7:W15" si="2">J7</f>
        <v>0</v>
      </c>
      <c r="X7" s="703"/>
      <c r="Y7" s="3661" t="s">
        <v>1675</v>
      </c>
      <c r="Z7" s="3662"/>
      <c r="AA7" s="704" t="e">
        <f>D7/F7</f>
        <v>#DIV/0!</v>
      </c>
      <c r="AB7" s="704" t="e">
        <f>D7/H7</f>
        <v>#DIV/0!</v>
      </c>
      <c r="AC7" s="704" t="e">
        <f>D7/J7</f>
        <v>#DIV/0!</v>
      </c>
    </row>
    <row r="8" spans="1:29" s="108" customFormat="1" ht="15.75" thickBot="1">
      <c r="A8" s="362" t="s">
        <v>1676</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1" t="s">
        <v>1678</v>
      </c>
      <c r="Q8" s="3662"/>
      <c r="R8" s="701" t="s">
        <v>20</v>
      </c>
      <c r="S8" s="702">
        <f t="shared" si="0"/>
        <v>100</v>
      </c>
      <c r="T8" s="701" t="s">
        <v>20</v>
      </c>
      <c r="U8" s="702">
        <f t="shared" si="1"/>
        <v>100</v>
      </c>
      <c r="V8" s="701" t="s">
        <v>20</v>
      </c>
      <c r="W8" s="702">
        <f t="shared" si="2"/>
        <v>100</v>
      </c>
      <c r="X8" s="703"/>
      <c r="Y8" s="3661" t="s">
        <v>1678</v>
      </c>
      <c r="Z8" s="3662"/>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704">
        <f t="shared" si="5"/>
        <v>1</v>
      </c>
    </row>
    <row r="10" spans="1:29" s="378" customFormat="1" ht="27">
      <c r="A10" s="374"/>
      <c r="B10" s="375" t="s">
        <v>1683</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85.5">
      <c r="A15" s="391" t="s">
        <v>1685</v>
      </c>
      <c r="B15" s="61" t="s">
        <v>1252</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1686</v>
      </c>
      <c r="Q15" s="1352" t="str">
        <f t="shared" si="6"/>
        <v>居住社区成熟度</v>
      </c>
      <c r="R15" s="705" t="s">
        <v>18</v>
      </c>
      <c r="S15" s="706">
        <f t="shared" si="0"/>
        <v>100</v>
      </c>
      <c r="T15" s="705" t="s">
        <v>18</v>
      </c>
      <c r="U15" s="706">
        <f t="shared" si="1"/>
        <v>100</v>
      </c>
      <c r="V15" s="705" t="s">
        <v>18</v>
      </c>
      <c r="W15" s="706">
        <f t="shared" si="2"/>
        <v>100</v>
      </c>
      <c r="X15" s="1355"/>
      <c r="Y15" s="3697" t="s">
        <v>1686</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98"/>
      <c r="Z16" s="1356"/>
      <c r="AA16" s="1353">
        <v>1</v>
      </c>
      <c r="AB16" s="1353">
        <v>1</v>
      </c>
      <c r="AC16" s="1353">
        <v>1</v>
      </c>
    </row>
    <row r="17" spans="1:29" ht="71.25">
      <c r="A17" s="379"/>
      <c r="B17" s="402" t="s">
        <v>1254</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98"/>
      <c r="Z18" s="1356"/>
      <c r="AA18" s="1353">
        <v>1</v>
      </c>
      <c r="AB18" s="1353">
        <v>1</v>
      </c>
      <c r="AC18" s="1353">
        <v>1</v>
      </c>
    </row>
    <row r="19" spans="1:29" ht="42.75">
      <c r="A19" s="379"/>
      <c r="B19" s="402" t="s">
        <v>1253</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98"/>
      <c r="Z20" s="1356"/>
      <c r="AA20" s="1353">
        <v>1</v>
      </c>
      <c r="AB20" s="1353">
        <v>1</v>
      </c>
      <c r="AC20" s="1353">
        <v>1</v>
      </c>
    </row>
    <row r="21" spans="1:29" ht="28.5">
      <c r="A21" s="379"/>
      <c r="B21" s="1131" t="s">
        <v>1255</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98"/>
      <c r="Z22" s="1356"/>
      <c r="AA22" s="1353">
        <v>1</v>
      </c>
      <c r="AB22" s="1353">
        <v>1</v>
      </c>
      <c r="AC22" s="1353">
        <v>1</v>
      </c>
    </row>
    <row r="23" spans="1:29" ht="42.75">
      <c r="A23" s="379"/>
      <c r="B23" s="402" t="s">
        <v>1256</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98"/>
      <c r="Z24" s="1356"/>
      <c r="AA24" s="1353">
        <v>1</v>
      </c>
      <c r="AB24" s="1353">
        <v>1</v>
      </c>
      <c r="AC24" s="1353">
        <v>1</v>
      </c>
    </row>
    <row r="25" spans="1:29" ht="15">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1689</v>
      </c>
      <c r="B32" s="63" t="s">
        <v>1690</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1691</v>
      </c>
      <c r="Q32" s="1352" t="str">
        <f t="shared" si="11"/>
        <v>建筑类型</v>
      </c>
      <c r="R32" s="705" t="s">
        <v>18</v>
      </c>
      <c r="S32" s="706">
        <f t="shared" si="12"/>
        <v>100</v>
      </c>
      <c r="T32" s="705" t="s">
        <v>18</v>
      </c>
      <c r="U32" s="706">
        <f t="shared" si="13"/>
        <v>100</v>
      </c>
      <c r="V32" s="705" t="s">
        <v>18</v>
      </c>
      <c r="W32" s="706">
        <f t="shared" si="14"/>
        <v>100</v>
      </c>
      <c r="X32" s="1355"/>
      <c r="Y32" s="3702"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1693</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1695</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1697</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1691</v>
      </c>
      <c r="Q38" s="1352" t="str">
        <f t="shared" si="11"/>
        <v>物业管理</v>
      </c>
      <c r="R38" s="705" t="s">
        <v>18</v>
      </c>
      <c r="S38" s="706">
        <f t="shared" si="12"/>
        <v>100</v>
      </c>
      <c r="T38" s="705" t="s">
        <v>18</v>
      </c>
      <c r="U38" s="706">
        <f t="shared" si="13"/>
        <v>100</v>
      </c>
      <c r="V38" s="705" t="s">
        <v>18</v>
      </c>
      <c r="W38" s="706">
        <f t="shared" si="14"/>
        <v>100</v>
      </c>
      <c r="X38" s="1355"/>
      <c r="Y38" s="3702" t="s">
        <v>1691</v>
      </c>
      <c r="Z38" s="1356" t="str">
        <f t="shared" si="18"/>
        <v>物业管理</v>
      </c>
      <c r="AA38" s="1353">
        <f t="shared" si="15"/>
        <v>1</v>
      </c>
      <c r="AB38" s="1353">
        <f t="shared" si="16"/>
        <v>1</v>
      </c>
      <c r="AC38" s="1353">
        <f t="shared" si="17"/>
        <v>1</v>
      </c>
    </row>
    <row r="39" spans="1:29" ht="15">
      <c r="A39" s="423"/>
      <c r="B39" s="375" t="s">
        <v>1698</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1699</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1701</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1702</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1704</v>
      </c>
      <c r="B48" s="438"/>
      <c r="C48" s="1160" t="e">
        <f>R49</f>
        <v>#DIV/0!</v>
      </c>
      <c r="D48" s="2317" t="s">
        <v>2133</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5"/>
      <c r="L49" s="2724"/>
      <c r="M49" s="2725"/>
      <c r="N49" s="2725"/>
      <c r="O49" s="2725"/>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1709</v>
      </c>
      <c r="B57" s="690"/>
      <c r="C57" s="695"/>
      <c r="D57" s="695"/>
      <c r="E57" s="695"/>
      <c r="F57" s="696"/>
      <c r="G57" s="696"/>
      <c r="H57" s="695"/>
      <c r="I57" s="695"/>
      <c r="J57" s="695"/>
      <c r="K57" s="941"/>
      <c r="L57" s="942"/>
      <c r="M57" s="940"/>
      <c r="N57" s="940"/>
      <c r="O57" s="940"/>
      <c r="P57" s="1918"/>
      <c r="Q57" s="453"/>
    </row>
    <row r="58" spans="1:29" s="457" customFormat="1" ht="15">
      <c r="A58" s="454" t="s">
        <v>1710</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1711</v>
      </c>
      <c r="B60" s="465"/>
      <c r="C60" s="466"/>
      <c r="D60" s="467"/>
      <c r="E60" s="467"/>
      <c r="F60" s="467"/>
      <c r="G60" s="467"/>
      <c r="H60" s="467"/>
      <c r="I60" s="467"/>
      <c r="J60" s="467"/>
      <c r="K60" s="467"/>
      <c r="L60" s="467"/>
      <c r="M60" s="468"/>
      <c r="N60" s="467"/>
      <c r="O60" s="468"/>
      <c r="P60" s="1920"/>
      <c r="Q60" s="453"/>
    </row>
    <row r="61" spans="1:29" s="108" customFormat="1" ht="15">
      <c r="A61" s="470" t="s">
        <v>1712</v>
      </c>
      <c r="B61" s="459"/>
      <c r="C61" s="471" t="s">
        <v>1713</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1714</v>
      </c>
      <c r="B63" s="477" t="s">
        <v>1680</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1683</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1729</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1730</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1689</v>
      </c>
      <c r="B100" s="477" t="s">
        <v>1731</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1733</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1734</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1735</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1736</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1737</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1738</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1739</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1741</v>
      </c>
    </row>
    <row r="137" spans="1:17" ht="15">
      <c r="B137" s="1930" t="s">
        <v>1742</v>
      </c>
      <c r="C137" s="1931"/>
      <c r="D137" s="1931"/>
      <c r="E137" s="1931"/>
      <c r="F137" s="1931"/>
      <c r="G137" s="1932"/>
      <c r="H137" s="1933"/>
      <c r="I137" s="1934" t="s">
        <v>1743</v>
      </c>
      <c r="J137" s="1931"/>
      <c r="K137" s="1935"/>
    </row>
    <row r="138" spans="1:17" ht="15">
      <c r="B138" s="1936"/>
      <c r="C138" s="137" t="s">
        <v>1744</v>
      </c>
      <c r="D138" s="137" t="s">
        <v>1745</v>
      </c>
      <c r="E138" s="1937" t="s">
        <v>1746</v>
      </c>
      <c r="F138" s="1938" t="s">
        <v>1747</v>
      </c>
      <c r="G138" s="137" t="s">
        <v>1745</v>
      </c>
      <c r="H138" s="138" t="s">
        <v>1746</v>
      </c>
      <c r="I138" s="1939"/>
      <c r="J138" s="137" t="s">
        <v>1748</v>
      </c>
      <c r="K138" s="138" t="s">
        <v>1749</v>
      </c>
    </row>
    <row r="139" spans="1:17" ht="15">
      <c r="B139" s="867">
        <v>6</v>
      </c>
      <c r="C139" s="868">
        <v>96</v>
      </c>
      <c r="D139" s="1940" t="s">
        <v>1750</v>
      </c>
      <c r="E139" s="869">
        <v>100</v>
      </c>
      <c r="F139" s="870">
        <v>102.5</v>
      </c>
      <c r="G139" s="1940" t="s">
        <v>1750</v>
      </c>
      <c r="H139" s="871">
        <v>105</v>
      </c>
      <c r="I139" s="1941" t="s">
        <v>1751</v>
      </c>
      <c r="J139" s="868">
        <v>20</v>
      </c>
      <c r="K139" s="872">
        <f>C145/(J139-2)</f>
        <v>4.0555555555555553E-3</v>
      </c>
    </row>
    <row r="140" spans="1:17" ht="15">
      <c r="B140" s="873">
        <v>5</v>
      </c>
      <c r="C140" s="874">
        <v>100</v>
      </c>
      <c r="D140" s="874"/>
      <c r="E140" s="875"/>
      <c r="F140" s="876">
        <v>102</v>
      </c>
      <c r="G140" s="874"/>
      <c r="H140" s="877"/>
      <c r="I140" s="1942" t="s">
        <v>1752</v>
      </c>
      <c r="J140" s="271">
        <f>ROUNDUP((J139-1)/2,0)</f>
        <v>10</v>
      </c>
      <c r="K140" s="878">
        <v>100</v>
      </c>
    </row>
    <row r="141" spans="1:17" ht="15">
      <c r="B141" s="873">
        <v>4</v>
      </c>
      <c r="C141" s="874">
        <v>102</v>
      </c>
      <c r="D141" s="874"/>
      <c r="E141" s="875"/>
      <c r="F141" s="876">
        <v>101.5</v>
      </c>
      <c r="G141" s="874"/>
      <c r="H141" s="877"/>
      <c r="I141" s="1942" t="s">
        <v>1753</v>
      </c>
      <c r="J141" s="271">
        <v>1</v>
      </c>
      <c r="K141" s="879">
        <f>ROUND(100+(J141-J140)*K139*100,1)</f>
        <v>96.4</v>
      </c>
    </row>
    <row r="142" spans="1:17" ht="15">
      <c r="B142" s="873">
        <v>3</v>
      </c>
      <c r="C142" s="874">
        <v>103</v>
      </c>
      <c r="D142" s="874"/>
      <c r="E142" s="875"/>
      <c r="F142" s="876">
        <v>101</v>
      </c>
      <c r="G142" s="874"/>
      <c r="H142" s="877"/>
      <c r="I142" s="1942" t="s">
        <v>1754</v>
      </c>
      <c r="J142" s="271">
        <f>J139</f>
        <v>20</v>
      </c>
      <c r="K142" s="880">
        <v>95</v>
      </c>
    </row>
    <row r="143" spans="1:17" ht="15">
      <c r="B143" s="873">
        <v>2</v>
      </c>
      <c r="C143" s="874">
        <v>100</v>
      </c>
      <c r="D143" s="874"/>
      <c r="E143" s="875"/>
      <c r="F143" s="876">
        <v>100.5</v>
      </c>
      <c r="G143" s="874"/>
      <c r="H143" s="877"/>
      <c r="I143" s="1942" t="s">
        <v>1755</v>
      </c>
      <c r="J143" s="874">
        <v>15</v>
      </c>
      <c r="K143" s="879">
        <f>ROUND(100+(J143-J140)*K139*100,1)</f>
        <v>102</v>
      </c>
    </row>
    <row r="144" spans="1:17" ht="15">
      <c r="B144" s="873">
        <v>1</v>
      </c>
      <c r="C144" s="874">
        <v>98</v>
      </c>
      <c r="D144" s="1943" t="s">
        <v>1756</v>
      </c>
      <c r="E144" s="875">
        <v>102</v>
      </c>
      <c r="F144" s="881">
        <v>100</v>
      </c>
      <c r="G144" s="1943" t="s">
        <v>1756</v>
      </c>
      <c r="H144" s="877">
        <v>105</v>
      </c>
      <c r="I144" s="1942" t="s">
        <v>1755</v>
      </c>
      <c r="J144" s="874">
        <v>18</v>
      </c>
      <c r="K144" s="879">
        <f>ROUND(100+(J144-J140)*K139*100,1)</f>
        <v>103.2</v>
      </c>
    </row>
    <row r="145" spans="2:11" ht="15.75" thickBot="1">
      <c r="B145" s="1944" t="s">
        <v>1757</v>
      </c>
      <c r="C145" s="882">
        <f>ROUND(MAX(C139:C144)/MIN(C139:C144)-1,3)</f>
        <v>7.2999999999999995E-2</v>
      </c>
      <c r="D145" s="883"/>
      <c r="E145" s="883"/>
      <c r="F145" s="1945" t="s">
        <v>1758</v>
      </c>
      <c r="G145" s="1946"/>
      <c r="H145" s="1947"/>
      <c r="I145" s="1948" t="s">
        <v>1755</v>
      </c>
      <c r="J145" s="884">
        <v>8</v>
      </c>
      <c r="K145" s="885">
        <f>ROUND(100+(J145-J140)*K139*100,1)</f>
        <v>99.2</v>
      </c>
    </row>
    <row r="147" spans="2:11">
      <c r="B147" s="1929" t="s">
        <v>1759</v>
      </c>
    </row>
    <row r="148" spans="2:11">
      <c r="B148" s="1929"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92" priority="19" stopIfTrue="1" operator="containsText" text="超过">
      <formula>NOT(ISERROR(SEARCH("超过",F52)))</formula>
    </cfRule>
  </conditionalFormatting>
  <conditionalFormatting sqref="J54">
    <cfRule type="containsText" dxfId="91" priority="18" stopIfTrue="1" operator="containsText" text="超过">
      <formula>NOT(ISERROR(SEARCH("超过",J54)))</formula>
    </cfRule>
  </conditionalFormatting>
  <conditionalFormatting sqref="H54">
    <cfRule type="containsText" dxfId="90" priority="17" stopIfTrue="1" operator="containsText" text="超过">
      <formula>NOT(ISERROR(SEARCH("超过",H54)))</formula>
    </cfRule>
  </conditionalFormatting>
  <conditionalFormatting sqref="F54">
    <cfRule type="containsText" dxfId="89" priority="16" stopIfTrue="1" operator="containsText" text="超过">
      <formula>NOT(ISERROR(SEARCH("超过",F54)))</formula>
    </cfRule>
  </conditionalFormatting>
  <conditionalFormatting sqref="F53 H53 J53">
    <cfRule type="containsText" dxfId="88" priority="15" stopIfTrue="1" operator="containsText" text="超过">
      <formula>NOT(ISERROR(SEARCH("超过",F53)))</formula>
    </cfRule>
  </conditionalFormatting>
  <conditionalFormatting sqref="E52">
    <cfRule type="expression" dxfId="87" priority="14" stopIfTrue="1">
      <formula>$F$52="超过30%"</formula>
    </cfRule>
  </conditionalFormatting>
  <conditionalFormatting sqref="G54">
    <cfRule type="expression" dxfId="86" priority="12" stopIfTrue="1">
      <formula>$H$54="超过30%"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G52">
    <cfRule type="expression" dxfId="83" priority="9" stopIfTrue="1">
      <formula>$H$52="超过30%"</formula>
    </cfRule>
  </conditionalFormatting>
  <conditionalFormatting sqref="G53">
    <cfRule type="expression" dxfId="82" priority="8" stopIfTrue="1">
      <formula>$H$53="超过20%"</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7" t="s">
        <v>1821</v>
      </c>
      <c r="C1" s="1224" t="s">
        <v>1657</v>
      </c>
      <c r="D1" s="1225"/>
      <c r="E1" s="3431"/>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67265.709999999992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913"/>
      <c r="M4" s="914"/>
      <c r="N4" s="914"/>
      <c r="O4" s="914"/>
      <c r="P4" s="3717" t="s">
        <v>1770</v>
      </c>
      <c r="Q4" s="3718"/>
      <c r="R4" s="3715" t="s">
        <v>1766</v>
      </c>
      <c r="S4" s="3716"/>
      <c r="T4" s="3715" t="s">
        <v>1767</v>
      </c>
      <c r="U4" s="3716"/>
      <c r="V4" s="3692" t="s">
        <v>1768</v>
      </c>
      <c r="W4" s="3692"/>
      <c r="X4" s="1355"/>
      <c r="Y4" s="3715" t="s">
        <v>1770</v>
      </c>
      <c r="Z4" s="3716"/>
      <c r="AA4" s="3714" t="s">
        <v>1766</v>
      </c>
      <c r="AB4" s="3659" t="s">
        <v>1767</v>
      </c>
      <c r="AC4" s="3714" t="s">
        <v>1768</v>
      </c>
    </row>
    <row r="5" spans="1:29" ht="15">
      <c r="A5" s="358"/>
      <c r="B5" s="359"/>
      <c r="C5" s="3669" t="s">
        <v>1668</v>
      </c>
      <c r="D5" s="3670"/>
      <c r="E5" s="3667" t="s">
        <v>1669</v>
      </c>
      <c r="F5" s="3668"/>
      <c r="G5" s="3669" t="s">
        <v>1670</v>
      </c>
      <c r="H5" s="3670"/>
      <c r="I5" s="3669" t="s">
        <v>1671</v>
      </c>
      <c r="J5" s="3670"/>
      <c r="K5" s="559"/>
      <c r="L5" s="913"/>
      <c r="M5" s="914"/>
      <c r="N5" s="914"/>
      <c r="O5" s="914"/>
      <c r="P5" s="3719"/>
      <c r="Q5" s="3686"/>
      <c r="R5" s="3665"/>
      <c r="S5" s="3666"/>
      <c r="T5" s="3665"/>
      <c r="U5" s="3666"/>
      <c r="V5" s="3692"/>
      <c r="W5" s="3692"/>
      <c r="X5" s="1355"/>
      <c r="Y5" s="3665"/>
      <c r="Z5" s="3666"/>
      <c r="AA5" s="3659"/>
      <c r="AB5" s="3659"/>
      <c r="AC5" s="3659"/>
    </row>
    <row r="6" spans="1:29" ht="15.75" thickBot="1">
      <c r="A6" s="360"/>
      <c r="B6" s="361"/>
      <c r="C6" s="3671" t="s">
        <v>1672</v>
      </c>
      <c r="D6" s="3672"/>
      <c r="E6" s="3673" t="s">
        <v>1672</v>
      </c>
      <c r="F6" s="3674"/>
      <c r="G6" s="3671" t="s">
        <v>1672</v>
      </c>
      <c r="H6" s="3672"/>
      <c r="I6" s="3671" t="s">
        <v>1672</v>
      </c>
      <c r="J6" s="3672"/>
      <c r="K6" s="559" t="s">
        <v>1673</v>
      </c>
      <c r="L6" s="913"/>
      <c r="M6" s="914"/>
      <c r="N6" s="914"/>
      <c r="O6" s="914"/>
      <c r="P6" s="3720"/>
      <c r="Q6" s="3688"/>
      <c r="R6" s="3665"/>
      <c r="S6" s="3666"/>
      <c r="T6" s="3689"/>
      <c r="U6" s="3690"/>
      <c r="V6" s="3692"/>
      <c r="W6" s="3692"/>
      <c r="X6" s="1355"/>
      <c r="Y6" s="3689"/>
      <c r="Z6" s="3690"/>
      <c r="AA6" s="3660"/>
      <c r="AB6" s="3660"/>
      <c r="AC6" s="3660"/>
    </row>
    <row r="7" spans="1:29" s="108" customFormat="1" ht="15.75" thickBot="1">
      <c r="A7" s="362" t="s">
        <v>1674</v>
      </c>
      <c r="B7" s="363"/>
      <c r="C7" s="364">
        <f>'数据-取费表'!B2</f>
        <v>45142</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1675</v>
      </c>
      <c r="Q7" s="3694"/>
      <c r="R7" s="701" t="s">
        <v>14</v>
      </c>
      <c r="S7" s="702">
        <f t="shared" ref="S7:S15" si="0">F7</f>
        <v>0</v>
      </c>
      <c r="T7" s="701" t="s">
        <v>14</v>
      </c>
      <c r="U7" s="702">
        <f t="shared" ref="U7:U15" si="1">H7</f>
        <v>0</v>
      </c>
      <c r="V7" s="701" t="s">
        <v>14</v>
      </c>
      <c r="W7" s="702">
        <f t="shared" ref="W7:W15" si="2">J7</f>
        <v>0</v>
      </c>
      <c r="X7" s="703"/>
      <c r="Y7" s="3661" t="s">
        <v>1675</v>
      </c>
      <c r="Z7" s="366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1678</v>
      </c>
      <c r="Q8" s="3662"/>
      <c r="R8" s="701" t="s">
        <v>14</v>
      </c>
      <c r="S8" s="702">
        <f t="shared" si="0"/>
        <v>100</v>
      </c>
      <c r="T8" s="701" t="s">
        <v>14</v>
      </c>
      <c r="U8" s="702">
        <f t="shared" si="1"/>
        <v>100</v>
      </c>
      <c r="V8" s="701" t="s">
        <v>14</v>
      </c>
      <c r="W8" s="702">
        <f t="shared" si="2"/>
        <v>100</v>
      </c>
      <c r="X8" s="703"/>
      <c r="Y8" s="3661" t="s">
        <v>1678</v>
      </c>
      <c r="Z8" s="366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704">
        <f t="shared" si="5"/>
        <v>1</v>
      </c>
    </row>
    <row r="10" spans="1:29" s="378" customFormat="1" ht="27">
      <c r="A10" s="374"/>
      <c r="B10" s="375" t="s">
        <v>1683</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1685</v>
      </c>
      <c r="B15" s="61" t="s">
        <v>1822</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1686</v>
      </c>
      <c r="Q15" s="1352" t="str">
        <f t="shared" si="6"/>
        <v>产业集聚程度</v>
      </c>
      <c r="R15" s="705" t="s">
        <v>14</v>
      </c>
      <c r="S15" s="706">
        <f t="shared" si="0"/>
        <v>100</v>
      </c>
      <c r="T15" s="705" t="s">
        <v>14</v>
      </c>
      <c r="U15" s="706">
        <f t="shared" si="1"/>
        <v>100</v>
      </c>
      <c r="V15" s="705" t="s">
        <v>14</v>
      </c>
      <c r="W15" s="706">
        <f t="shared" si="2"/>
        <v>100</v>
      </c>
      <c r="X15" s="1355"/>
      <c r="Y15" s="3697"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1254</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1807</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1808</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1809</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1689</v>
      </c>
      <c r="B29" s="63" t="s">
        <v>1812</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6" t="s">
        <v>1691</v>
      </c>
      <c r="Q29" s="1352" t="str">
        <f t="shared" si="11"/>
        <v>建筑类型</v>
      </c>
      <c r="R29" s="705" t="s">
        <v>14</v>
      </c>
      <c r="S29" s="706">
        <f t="shared" si="12"/>
        <v>100</v>
      </c>
      <c r="T29" s="705" t="s">
        <v>14</v>
      </c>
      <c r="U29" s="706">
        <f t="shared" si="13"/>
        <v>100</v>
      </c>
      <c r="V29" s="705" t="s">
        <v>14</v>
      </c>
      <c r="W29" s="706">
        <f t="shared" si="14"/>
        <v>100</v>
      </c>
      <c r="X29" s="1355"/>
      <c r="Y29" s="3702"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1691</v>
      </c>
      <c r="Q35" s="1352" t="str">
        <f t="shared" si="11"/>
        <v>市政基础设施</v>
      </c>
      <c r="R35" s="705" t="s">
        <v>14</v>
      </c>
      <c r="S35" s="706">
        <f t="shared" si="12"/>
        <v>100</v>
      </c>
      <c r="T35" s="705" t="s">
        <v>14</v>
      </c>
      <c r="U35" s="706">
        <f t="shared" si="13"/>
        <v>100</v>
      </c>
      <c r="V35" s="705" t="s">
        <v>14</v>
      </c>
      <c r="W35" s="706">
        <f t="shared" si="14"/>
        <v>100</v>
      </c>
      <c r="X35" s="1355"/>
      <c r="Y35" s="3702"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1788</v>
      </c>
      <c r="B42" s="438"/>
      <c r="C42" s="1160" t="e">
        <f>R43</f>
        <v>#DIV/0!</v>
      </c>
      <c r="D42" s="2317" t="s">
        <v>2133</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70"/>
      <c r="O54" s="2771"/>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31"/>
      <c r="F1" s="1879"/>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715"/>
      <c r="M4" s="2716"/>
      <c r="N4" s="2716"/>
      <c r="O4" s="2716"/>
      <c r="P4" s="3717" t="s">
        <v>1770</v>
      </c>
      <c r="Q4" s="3718"/>
      <c r="R4" s="3715" t="s">
        <v>1766</v>
      </c>
      <c r="S4" s="3716"/>
      <c r="T4" s="3715" t="s">
        <v>1767</v>
      </c>
      <c r="U4" s="3716"/>
      <c r="V4" s="3692" t="s">
        <v>1768</v>
      </c>
      <c r="W4" s="3692"/>
      <c r="X4" s="1355"/>
      <c r="Y4" s="3715" t="s">
        <v>1770</v>
      </c>
      <c r="Z4" s="3716"/>
      <c r="AA4" s="3714" t="s">
        <v>1766</v>
      </c>
      <c r="AB4" s="3659" t="s">
        <v>1767</v>
      </c>
      <c r="AC4" s="3714" t="s">
        <v>1768</v>
      </c>
    </row>
    <row r="5" spans="1:29" ht="15">
      <c r="A5" s="358"/>
      <c r="B5" s="359"/>
      <c r="C5" s="3669" t="s">
        <v>1668</v>
      </c>
      <c r="D5" s="3670"/>
      <c r="E5" s="3667" t="s">
        <v>1669</v>
      </c>
      <c r="F5" s="3668"/>
      <c r="G5" s="3669" t="s">
        <v>1670</v>
      </c>
      <c r="H5" s="3670"/>
      <c r="I5" s="3669" t="s">
        <v>1671</v>
      </c>
      <c r="J5" s="3670"/>
      <c r="K5" s="559"/>
      <c r="L5" s="2715"/>
      <c r="M5" s="2716"/>
      <c r="N5" s="2716"/>
      <c r="O5" s="2716"/>
      <c r="P5" s="3719"/>
      <c r="Q5" s="3686"/>
      <c r="R5" s="3665"/>
      <c r="S5" s="3666"/>
      <c r="T5" s="3665"/>
      <c r="U5" s="3666"/>
      <c r="V5" s="3692"/>
      <c r="W5" s="3692"/>
      <c r="X5" s="1355"/>
      <c r="Y5" s="3665"/>
      <c r="Z5" s="3666"/>
      <c r="AA5" s="3659"/>
      <c r="AB5" s="3659"/>
      <c r="AC5" s="3659"/>
    </row>
    <row r="6" spans="1:29" ht="15.75" thickBot="1">
      <c r="A6" s="360"/>
      <c r="B6" s="361"/>
      <c r="C6" s="3671" t="s">
        <v>1672</v>
      </c>
      <c r="D6" s="3672"/>
      <c r="E6" s="3673" t="s">
        <v>1672</v>
      </c>
      <c r="F6" s="3674"/>
      <c r="G6" s="3671" t="s">
        <v>1672</v>
      </c>
      <c r="H6" s="3672"/>
      <c r="I6" s="3671" t="s">
        <v>1672</v>
      </c>
      <c r="J6" s="3672"/>
      <c r="K6" s="559" t="s">
        <v>1673</v>
      </c>
      <c r="L6" s="2715"/>
      <c r="M6" s="2716"/>
      <c r="N6" s="2716"/>
      <c r="O6" s="2716"/>
      <c r="P6" s="3720"/>
      <c r="Q6" s="3688"/>
      <c r="R6" s="3665"/>
      <c r="S6" s="3666"/>
      <c r="T6" s="3689"/>
      <c r="U6" s="3690"/>
      <c r="V6" s="3692"/>
      <c r="W6" s="3692"/>
      <c r="X6" s="1355"/>
      <c r="Y6" s="3689"/>
      <c r="Z6" s="3690"/>
      <c r="AA6" s="3660"/>
      <c r="AB6" s="3660"/>
      <c r="AC6" s="3660"/>
    </row>
    <row r="7" spans="1:29" s="108" customFormat="1" ht="15.75" thickBot="1">
      <c r="A7" s="362" t="s">
        <v>1674</v>
      </c>
      <c r="B7" s="363"/>
      <c r="C7" s="364">
        <f>'数据-取费表'!B2</f>
        <v>45142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1" t="s">
        <v>1675</v>
      </c>
      <c r="Q7" s="3694"/>
      <c r="R7" s="701" t="s">
        <v>14</v>
      </c>
      <c r="S7" s="702">
        <f t="shared" ref="S7:S14" si="0">F7</f>
        <v>0</v>
      </c>
      <c r="T7" s="701" t="s">
        <v>14</v>
      </c>
      <c r="U7" s="702">
        <f t="shared" ref="U7:U14" si="1">H7</f>
        <v>0</v>
      </c>
      <c r="V7" s="701" t="s">
        <v>14</v>
      </c>
      <c r="W7" s="702">
        <f t="shared" ref="W7:W14" si="2">J7</f>
        <v>0</v>
      </c>
      <c r="X7" s="703"/>
      <c r="Y7" s="3661" t="s">
        <v>1675</v>
      </c>
      <c r="Z7" s="366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1" t="s">
        <v>1678</v>
      </c>
      <c r="Q8" s="3662"/>
      <c r="R8" s="701" t="s">
        <v>14</v>
      </c>
      <c r="S8" s="702">
        <f t="shared" si="0"/>
        <v>100</v>
      </c>
      <c r="T8" s="701" t="s">
        <v>14</v>
      </c>
      <c r="U8" s="702">
        <f t="shared" si="1"/>
        <v>100</v>
      </c>
      <c r="V8" s="701" t="s">
        <v>14</v>
      </c>
      <c r="W8" s="702">
        <f t="shared" si="2"/>
        <v>100</v>
      </c>
      <c r="X8" s="703"/>
      <c r="Y8" s="3661" t="s">
        <v>1678</v>
      </c>
      <c r="Z8" s="366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1681</v>
      </c>
      <c r="Q9" s="1343" t="str">
        <f t="shared" ref="Q9:Q14" si="6">B9</f>
        <v>用途</v>
      </c>
      <c r="R9" s="701" t="s">
        <v>14</v>
      </c>
      <c r="S9" s="702">
        <f t="shared" si="0"/>
        <v>100</v>
      </c>
      <c r="T9" s="701" t="s">
        <v>14</v>
      </c>
      <c r="U9" s="702">
        <f t="shared" si="1"/>
        <v>100</v>
      </c>
      <c r="V9" s="701" t="s">
        <v>14</v>
      </c>
      <c r="W9" s="702">
        <f t="shared" si="2"/>
        <v>100</v>
      </c>
      <c r="X9" s="703"/>
      <c r="Y9" s="3634" t="s">
        <v>1682</v>
      </c>
      <c r="Z9" s="52" t="str">
        <f t="shared" ref="Z9:Z14" si="7">Q9</f>
        <v>用途</v>
      </c>
      <c r="AA9" s="704">
        <f t="shared" si="3"/>
        <v>1</v>
      </c>
      <c r="AB9" s="704">
        <f t="shared" si="4"/>
        <v>1</v>
      </c>
      <c r="AC9" s="704">
        <f t="shared" si="5"/>
        <v>1</v>
      </c>
    </row>
    <row r="10" spans="1:29" s="378" customFormat="1" ht="27">
      <c r="A10" s="589"/>
      <c r="B10" s="590" t="s">
        <v>1683</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55" t="s">
        <v>1685</v>
      </c>
      <c r="B14" s="577" t="s">
        <v>1828</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1686</v>
      </c>
      <c r="Q14" s="1352" t="str">
        <f t="shared" si="6"/>
        <v>交通便捷度</v>
      </c>
      <c r="R14" s="705" t="s">
        <v>14</v>
      </c>
      <c r="S14" s="706">
        <f t="shared" si="0"/>
        <v>100</v>
      </c>
      <c r="T14" s="705" t="s">
        <v>14</v>
      </c>
      <c r="U14" s="706">
        <f t="shared" si="1"/>
        <v>100</v>
      </c>
      <c r="V14" s="705" t="s">
        <v>14</v>
      </c>
      <c r="W14" s="706">
        <f t="shared" si="2"/>
        <v>100</v>
      </c>
      <c r="X14" s="1355"/>
      <c r="Y14" s="3697"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1807</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1808</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1829</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1689</v>
      </c>
      <c r="B26" s="62" t="s">
        <v>1831</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6"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1691</v>
      </c>
      <c r="Q32" s="1352" t="str">
        <f t="shared" si="11"/>
        <v>车位类型</v>
      </c>
      <c r="R32" s="705" t="s">
        <v>14</v>
      </c>
      <c r="S32" s="706">
        <f t="shared" si="12"/>
        <v>100</v>
      </c>
      <c r="T32" s="705" t="s">
        <v>14</v>
      </c>
      <c r="U32" s="706">
        <f t="shared" si="13"/>
        <v>100</v>
      </c>
      <c r="V32" s="705" t="s">
        <v>14</v>
      </c>
      <c r="W32" s="706">
        <f t="shared" si="14"/>
        <v>100</v>
      </c>
      <c r="X32" s="1355"/>
      <c r="Y32" s="3702"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1839</v>
      </c>
      <c r="B37" s="1973" t="s">
        <v>3355</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1840</v>
      </c>
      <c r="B38" s="438" t="str">
        <f>B37</f>
        <v>元/平方米</v>
      </c>
      <c r="C38" s="1160" t="e">
        <f>R39</f>
        <v>#DIV/0!</v>
      </c>
      <c r="D38" s="2317" t="s">
        <v>2133</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4"/>
      <c r="M39" s="2725"/>
      <c r="N39" s="2725"/>
      <c r="O39" s="2725"/>
      <c r="P39" s="3721" t="str">
        <f>A39</f>
        <v>估价对象XX用房的比较价值（楼面单价，元/平方米）</v>
      </c>
      <c r="Q39" s="372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1845</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1846</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1711</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1676</v>
      </c>
      <c r="B51" s="459"/>
      <c r="C51" s="471" t="s">
        <v>1771</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1714</v>
      </c>
      <c r="B53" s="477" t="s">
        <v>1680</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1683</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1722</v>
      </c>
      <c r="C65" s="527" t="s">
        <v>1716</v>
      </c>
      <c r="D65" s="527" t="s">
        <v>1717</v>
      </c>
      <c r="E65" s="527" t="s">
        <v>1718</v>
      </c>
      <c r="F65" s="527" t="s">
        <v>1719</v>
      </c>
      <c r="G65" s="527" t="s">
        <v>1720</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1808</v>
      </c>
      <c r="C67" s="608" t="s">
        <v>1794</v>
      </c>
      <c r="D67" s="608" t="s">
        <v>1795</v>
      </c>
      <c r="E67" s="608" t="s">
        <v>1796</v>
      </c>
      <c r="F67" s="608" t="s">
        <v>1797</v>
      </c>
      <c r="G67" s="608" t="s">
        <v>1798</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1728</v>
      </c>
      <c r="C69" s="527" t="s">
        <v>1716</v>
      </c>
      <c r="D69" s="527" t="s">
        <v>1717</v>
      </c>
      <c r="E69" s="527" t="s">
        <v>1718</v>
      </c>
      <c r="F69" s="527" t="s">
        <v>1719</v>
      </c>
      <c r="G69" s="527" t="s">
        <v>1720</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1847</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1689</v>
      </c>
      <c r="B79" s="477" t="s">
        <v>1848</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1849</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1735</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1851</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1853</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1854</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3335</v>
      </c>
      <c r="C1" s="1224" t="s">
        <v>1657</v>
      </c>
      <c r="D1" s="1225"/>
      <c r="E1" s="3431"/>
      <c r="F1" s="1879"/>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1458</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715"/>
      <c r="M4" s="2716"/>
      <c r="N4" s="2716"/>
      <c r="O4" s="2716"/>
      <c r="P4" s="3717" t="s">
        <v>1770</v>
      </c>
      <c r="Q4" s="3718"/>
      <c r="R4" s="3715" t="s">
        <v>1766</v>
      </c>
      <c r="S4" s="3716"/>
      <c r="T4" s="3715" t="s">
        <v>1767</v>
      </c>
      <c r="U4" s="3716"/>
      <c r="V4" s="3692" t="s">
        <v>1768</v>
      </c>
      <c r="W4" s="3692"/>
      <c r="X4" s="1355"/>
      <c r="Y4" s="3715" t="s">
        <v>1770</v>
      </c>
      <c r="Z4" s="3716"/>
      <c r="AA4" s="3714" t="s">
        <v>1766</v>
      </c>
      <c r="AB4" s="3659" t="s">
        <v>1767</v>
      </c>
      <c r="AC4" s="3714" t="s">
        <v>1768</v>
      </c>
    </row>
    <row r="5" spans="1:29" ht="15">
      <c r="A5" s="358"/>
      <c r="B5" s="359"/>
      <c r="C5" s="3669" t="s">
        <v>1668</v>
      </c>
      <c r="D5" s="3670"/>
      <c r="E5" s="3667" t="s">
        <v>1669</v>
      </c>
      <c r="F5" s="3668"/>
      <c r="G5" s="3669" t="s">
        <v>1670</v>
      </c>
      <c r="H5" s="3670"/>
      <c r="I5" s="3669" t="s">
        <v>1671</v>
      </c>
      <c r="J5" s="3670"/>
      <c r="K5" s="559"/>
      <c r="L5" s="2715"/>
      <c r="M5" s="2716"/>
      <c r="N5" s="2716"/>
      <c r="O5" s="2716"/>
      <c r="P5" s="3719"/>
      <c r="Q5" s="3686"/>
      <c r="R5" s="3665"/>
      <c r="S5" s="3666"/>
      <c r="T5" s="3665"/>
      <c r="U5" s="3666"/>
      <c r="V5" s="3692"/>
      <c r="W5" s="3692"/>
      <c r="X5" s="1355"/>
      <c r="Y5" s="3665"/>
      <c r="Z5" s="3666"/>
      <c r="AA5" s="3659"/>
      <c r="AB5" s="3659"/>
      <c r="AC5" s="3659"/>
    </row>
    <row r="6" spans="1:29" ht="15.75" thickBot="1">
      <c r="A6" s="360"/>
      <c r="B6" s="361"/>
      <c r="C6" s="3671" t="s">
        <v>1672</v>
      </c>
      <c r="D6" s="3672"/>
      <c r="E6" s="3673" t="s">
        <v>1672</v>
      </c>
      <c r="F6" s="3674"/>
      <c r="G6" s="3671" t="s">
        <v>1672</v>
      </c>
      <c r="H6" s="3672"/>
      <c r="I6" s="3671" t="s">
        <v>1672</v>
      </c>
      <c r="J6" s="3672"/>
      <c r="K6" s="559" t="s">
        <v>1673</v>
      </c>
      <c r="L6" s="2715"/>
      <c r="M6" s="2716"/>
      <c r="N6" s="2716"/>
      <c r="O6" s="2716"/>
      <c r="P6" s="3720"/>
      <c r="Q6" s="3688"/>
      <c r="R6" s="3665"/>
      <c r="S6" s="3666"/>
      <c r="T6" s="3689"/>
      <c r="U6" s="3690"/>
      <c r="V6" s="3692"/>
      <c r="W6" s="3692"/>
      <c r="X6" s="1355"/>
      <c r="Y6" s="3689"/>
      <c r="Z6" s="3690"/>
      <c r="AA6" s="3660"/>
      <c r="AB6" s="3660"/>
      <c r="AC6" s="3660"/>
    </row>
    <row r="7" spans="1:29" s="108" customFormat="1" ht="15.75" thickBot="1">
      <c r="A7" s="362" t="s">
        <v>1674</v>
      </c>
      <c r="B7" s="363"/>
      <c r="C7" s="364">
        <f>'数据-取费表'!B2</f>
        <v>45142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1" t="s">
        <v>1675</v>
      </c>
      <c r="Q7" s="3694"/>
      <c r="R7" s="701" t="s">
        <v>14</v>
      </c>
      <c r="S7" s="702">
        <f t="shared" ref="S7:S14" si="0">F7</f>
        <v>0</v>
      </c>
      <c r="T7" s="701" t="s">
        <v>14</v>
      </c>
      <c r="U7" s="702">
        <f t="shared" ref="U7:U14" si="1">H7</f>
        <v>0</v>
      </c>
      <c r="V7" s="701" t="s">
        <v>14</v>
      </c>
      <c r="W7" s="702">
        <f t="shared" ref="W7:W14" si="2">J7</f>
        <v>0</v>
      </c>
      <c r="X7" s="703"/>
      <c r="Y7" s="3661" t="s">
        <v>1675</v>
      </c>
      <c r="Z7" s="366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1" t="s">
        <v>1678</v>
      </c>
      <c r="Q8" s="3662"/>
      <c r="R8" s="701" t="s">
        <v>14</v>
      </c>
      <c r="S8" s="702">
        <f t="shared" si="0"/>
        <v>100</v>
      </c>
      <c r="T8" s="701" t="s">
        <v>14</v>
      </c>
      <c r="U8" s="702">
        <f t="shared" si="1"/>
        <v>100</v>
      </c>
      <c r="V8" s="701" t="s">
        <v>14</v>
      </c>
      <c r="W8" s="702">
        <f t="shared" si="2"/>
        <v>100</v>
      </c>
      <c r="X8" s="703"/>
      <c r="Y8" s="3661" t="s">
        <v>1678</v>
      </c>
      <c r="Z8" s="366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1681</v>
      </c>
      <c r="Q9" s="1343" t="str">
        <f t="shared" ref="Q9:Q14" si="6">B9</f>
        <v>用途</v>
      </c>
      <c r="R9" s="701" t="s">
        <v>14</v>
      </c>
      <c r="S9" s="702">
        <f t="shared" si="0"/>
        <v>100</v>
      </c>
      <c r="T9" s="701" t="s">
        <v>14</v>
      </c>
      <c r="U9" s="702">
        <f t="shared" si="1"/>
        <v>100</v>
      </c>
      <c r="V9" s="701" t="s">
        <v>14</v>
      </c>
      <c r="W9" s="702">
        <f t="shared" si="2"/>
        <v>100</v>
      </c>
      <c r="X9" s="703"/>
      <c r="Y9" s="3634" t="s">
        <v>1682</v>
      </c>
      <c r="Z9" s="52" t="str">
        <f t="shared" ref="Z9:Z14" si="7">Q9</f>
        <v>用途</v>
      </c>
      <c r="AA9" s="704">
        <f t="shared" si="3"/>
        <v>1</v>
      </c>
      <c r="AB9" s="704">
        <f t="shared" si="4"/>
        <v>1</v>
      </c>
      <c r="AC9" s="704">
        <f t="shared" si="5"/>
        <v>1</v>
      </c>
    </row>
    <row r="10" spans="1:29" s="378" customFormat="1" ht="27">
      <c r="A10" s="374"/>
      <c r="B10" s="375" t="s">
        <v>1683</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85.5">
      <c r="A14" s="391" t="s">
        <v>1685</v>
      </c>
      <c r="B14" s="61" t="s">
        <v>1828</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1686</v>
      </c>
      <c r="Q14" s="1352" t="str">
        <f t="shared" si="6"/>
        <v>交通便捷度</v>
      </c>
      <c r="R14" s="705" t="s">
        <v>14</v>
      </c>
      <c r="S14" s="706">
        <f t="shared" si="0"/>
        <v>100</v>
      </c>
      <c r="T14" s="705" t="s">
        <v>14</v>
      </c>
      <c r="U14" s="706">
        <f t="shared" si="1"/>
        <v>100</v>
      </c>
      <c r="V14" s="705" t="s">
        <v>14</v>
      </c>
      <c r="W14" s="706">
        <f t="shared" si="2"/>
        <v>100</v>
      </c>
      <c r="X14" s="1355"/>
      <c r="Y14" s="3697"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1807</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1808</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1829</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1689</v>
      </c>
      <c r="B26" s="63" t="s">
        <v>1833</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6"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1691</v>
      </c>
      <c r="Q32" s="1352">
        <f t="shared" si="11"/>
        <v>111</v>
      </c>
      <c r="R32" s="705" t="s">
        <v>14</v>
      </c>
      <c r="S32" s="706">
        <f t="shared" si="12"/>
        <v>100</v>
      </c>
      <c r="T32" s="705" t="s">
        <v>14</v>
      </c>
      <c r="U32" s="706">
        <f t="shared" si="13"/>
        <v>100</v>
      </c>
      <c r="V32" s="705" t="s">
        <v>14</v>
      </c>
      <c r="W32" s="706">
        <f t="shared" si="14"/>
        <v>100</v>
      </c>
      <c r="X32" s="1355"/>
      <c r="Y32" s="3702"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1788</v>
      </c>
      <c r="B36" s="438"/>
      <c r="C36" s="1160" t="e">
        <f>R37</f>
        <v>#DIV/0!</v>
      </c>
      <c r="D36" s="2317" t="s">
        <v>2133</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4"/>
      <c r="M37" s="2725"/>
      <c r="N37" s="2725"/>
      <c r="O37" s="2725"/>
      <c r="P37" s="3721" t="str">
        <f>A37</f>
        <v>估价对象XX用房的比较价值（楼面单价，元/平方米）</v>
      </c>
      <c r="Q37" s="372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1793</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1674</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1711</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1676</v>
      </c>
      <c r="B49" s="459"/>
      <c r="C49" s="471" t="s">
        <v>1771</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1714</v>
      </c>
      <c r="B51" s="477" t="s">
        <v>1680</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1683</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1858</v>
      </c>
      <c r="C63" s="527" t="s">
        <v>1716</v>
      </c>
      <c r="D63" s="527" t="s">
        <v>1717</v>
      </c>
      <c r="E63" s="527" t="s">
        <v>1718</v>
      </c>
      <c r="F63" s="527" t="s">
        <v>1719</v>
      </c>
      <c r="G63" s="527" t="s">
        <v>1720</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1808</v>
      </c>
      <c r="C65" s="608" t="s">
        <v>1794</v>
      </c>
      <c r="D65" s="608" t="s">
        <v>1795</v>
      </c>
      <c r="E65" s="608" t="s">
        <v>1796</v>
      </c>
      <c r="F65" s="608" t="s">
        <v>1797</v>
      </c>
      <c r="G65" s="608" t="s">
        <v>1798</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1728</v>
      </c>
      <c r="C67" s="527" t="s">
        <v>1716</v>
      </c>
      <c r="D67" s="527" t="s">
        <v>1717</v>
      </c>
      <c r="E67" s="527" t="s">
        <v>1718</v>
      </c>
      <c r="F67" s="527" t="s">
        <v>1719</v>
      </c>
      <c r="G67" s="527" t="s">
        <v>1720</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1847</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1689</v>
      </c>
      <c r="B77" s="477" t="s">
        <v>1735</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1851</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1859</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1861</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1764</v>
      </c>
      <c r="B4" s="356"/>
      <c r="C4" s="3679" t="s">
        <v>1765</v>
      </c>
      <c r="D4" s="3680"/>
      <c r="E4" s="3681" t="s">
        <v>1766</v>
      </c>
      <c r="F4" s="3682"/>
      <c r="G4" s="3679" t="s">
        <v>1767</v>
      </c>
      <c r="H4" s="3680"/>
      <c r="I4" s="3679" t="s">
        <v>1768</v>
      </c>
      <c r="J4" s="3680"/>
      <c r="K4" s="559" t="s">
        <v>1769</v>
      </c>
      <c r="L4" s="2715"/>
      <c r="M4" s="2716"/>
      <c r="N4" s="2716"/>
      <c r="O4" s="2716"/>
      <c r="P4" s="3717" t="s">
        <v>1770</v>
      </c>
      <c r="Q4" s="3718"/>
      <c r="R4" s="3715" t="s">
        <v>1766</v>
      </c>
      <c r="S4" s="3716"/>
      <c r="T4" s="3715" t="s">
        <v>1767</v>
      </c>
      <c r="U4" s="3716"/>
      <c r="V4" s="3692" t="s">
        <v>1768</v>
      </c>
      <c r="W4" s="3692"/>
      <c r="X4" s="1355"/>
      <c r="Y4" s="3715" t="s">
        <v>1770</v>
      </c>
      <c r="Z4" s="3716"/>
      <c r="AA4" s="3714" t="s">
        <v>1766</v>
      </c>
      <c r="AB4" s="3659" t="s">
        <v>1767</v>
      </c>
      <c r="AC4" s="3714" t="s">
        <v>1768</v>
      </c>
    </row>
    <row r="5" spans="1:29" ht="15">
      <c r="A5" s="358"/>
      <c r="B5" s="359"/>
      <c r="C5" s="3669" t="s">
        <v>1668</v>
      </c>
      <c r="D5" s="3670"/>
      <c r="E5" s="3667" t="s">
        <v>1669</v>
      </c>
      <c r="F5" s="3668"/>
      <c r="G5" s="3669" t="s">
        <v>1670</v>
      </c>
      <c r="H5" s="3670"/>
      <c r="I5" s="3669" t="s">
        <v>1671</v>
      </c>
      <c r="J5" s="3670"/>
      <c r="K5" s="559"/>
      <c r="L5" s="2715"/>
      <c r="M5" s="2716"/>
      <c r="N5" s="2716"/>
      <c r="O5" s="2716"/>
      <c r="P5" s="3719"/>
      <c r="Q5" s="3686"/>
      <c r="R5" s="3665"/>
      <c r="S5" s="3666"/>
      <c r="T5" s="3665"/>
      <c r="U5" s="3666"/>
      <c r="V5" s="3692"/>
      <c r="W5" s="3692"/>
      <c r="X5" s="1355"/>
      <c r="Y5" s="3665"/>
      <c r="Z5" s="3666"/>
      <c r="AA5" s="3659"/>
      <c r="AB5" s="3659"/>
      <c r="AC5" s="3659"/>
    </row>
    <row r="6" spans="1:29" ht="15.75" thickBot="1">
      <c r="A6" s="360"/>
      <c r="B6" s="361"/>
      <c r="C6" s="3772" t="s">
        <v>1914</v>
      </c>
      <c r="D6" s="3773"/>
      <c r="E6" s="3774" t="s">
        <v>1914</v>
      </c>
      <c r="F6" s="3775"/>
      <c r="G6" s="3772" t="s">
        <v>1914</v>
      </c>
      <c r="H6" s="3773"/>
      <c r="I6" s="3772" t="s">
        <v>1914</v>
      </c>
      <c r="J6" s="3773"/>
      <c r="K6" s="559" t="s">
        <v>1673</v>
      </c>
      <c r="L6" s="2715"/>
      <c r="M6" s="2716"/>
      <c r="N6" s="2716"/>
      <c r="O6" s="2716"/>
      <c r="P6" s="3720"/>
      <c r="Q6" s="3688"/>
      <c r="R6" s="3665"/>
      <c r="S6" s="3666"/>
      <c r="T6" s="3689"/>
      <c r="U6" s="3690"/>
      <c r="V6" s="3692"/>
      <c r="W6" s="3692"/>
      <c r="X6" s="1355"/>
      <c r="Y6" s="3689"/>
      <c r="Z6" s="3690"/>
      <c r="AA6" s="3660"/>
      <c r="AB6" s="3660"/>
      <c r="AC6" s="3660"/>
    </row>
    <row r="7" spans="1:29" s="108" customFormat="1" ht="15.75" thickBot="1">
      <c r="A7" s="362" t="s">
        <v>1674</v>
      </c>
      <c r="B7" s="363"/>
      <c r="C7" s="364">
        <f>'数据-取费表'!B2</f>
        <v>45142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1" t="s">
        <v>1675</v>
      </c>
      <c r="Q7" s="3694"/>
      <c r="R7" s="701" t="s">
        <v>14</v>
      </c>
      <c r="S7" s="702">
        <f t="shared" ref="S7:S15" si="0">F7</f>
        <v>0</v>
      </c>
      <c r="T7" s="701" t="s">
        <v>14</v>
      </c>
      <c r="U7" s="702">
        <f t="shared" ref="U7:U15" si="1">H7</f>
        <v>0</v>
      </c>
      <c r="V7" s="701" t="s">
        <v>14</v>
      </c>
      <c r="W7" s="702">
        <f t="shared" ref="W7:W15" si="2">J7</f>
        <v>0</v>
      </c>
      <c r="X7" s="703"/>
      <c r="Y7" s="3661" t="s">
        <v>1675</v>
      </c>
      <c r="Z7" s="366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1" t="s">
        <v>1678</v>
      </c>
      <c r="Q8" s="3662"/>
      <c r="R8" s="701" t="s">
        <v>14</v>
      </c>
      <c r="S8" s="702">
        <f t="shared" si="0"/>
        <v>0</v>
      </c>
      <c r="T8" s="701" t="s">
        <v>14</v>
      </c>
      <c r="U8" s="702">
        <f t="shared" si="1"/>
        <v>0</v>
      </c>
      <c r="V8" s="701" t="s">
        <v>14</v>
      </c>
      <c r="W8" s="702">
        <f t="shared" si="2"/>
        <v>0</v>
      </c>
      <c r="X8" s="703"/>
      <c r="Y8" s="3661" t="s">
        <v>1678</v>
      </c>
      <c r="Z8" s="3662"/>
      <c r="AA8" s="704" t="e">
        <f t="shared" ref="AA8:AA40" si="3">D8/F8</f>
        <v>#DIV/0!</v>
      </c>
      <c r="AB8" s="704" t="e">
        <f t="shared" ref="AB8:AB40" si="4">D8/H8</f>
        <v>#DIV/0!</v>
      </c>
      <c r="AC8" s="704" t="e">
        <f t="shared" ref="AC8:AC40" si="5">D8/J8</f>
        <v>#DIV/0!</v>
      </c>
    </row>
    <row r="9" spans="1:29" s="108" customFormat="1">
      <c r="A9" s="369" t="s">
        <v>1679</v>
      </c>
      <c r="B9" s="63" t="s">
        <v>1680</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1681</v>
      </c>
      <c r="Q9" s="1343" t="str">
        <f t="shared" ref="Q9:Q15" si="6">B9</f>
        <v>用途</v>
      </c>
      <c r="R9" s="701" t="s">
        <v>14</v>
      </c>
      <c r="S9" s="702">
        <f t="shared" si="0"/>
        <v>100</v>
      </c>
      <c r="T9" s="701" t="s">
        <v>14</v>
      </c>
      <c r="U9" s="702">
        <f t="shared" si="1"/>
        <v>100</v>
      </c>
      <c r="V9" s="701" t="s">
        <v>14</v>
      </c>
      <c r="W9" s="702">
        <f t="shared" si="2"/>
        <v>100</v>
      </c>
      <c r="X9" s="703"/>
      <c r="Y9" s="3634"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120</v>
      </c>
      <c r="G10" s="383"/>
      <c r="H10" s="127">
        <f>ROUND(100/'数据-取费表'!G16,0)</f>
        <v>120</v>
      </c>
      <c r="I10" s="383"/>
      <c r="J10" s="127">
        <f>ROUND(100/'数据-取费表'!G16,0)</f>
        <v>120</v>
      </c>
      <c r="K10" s="620"/>
      <c r="L10" s="2719"/>
      <c r="M10" s="2720"/>
      <c r="N10" s="2720"/>
      <c r="O10" s="2773"/>
      <c r="P10" s="3704"/>
      <c r="Q10" s="1343" t="str">
        <f t="shared" si="6"/>
        <v>土地使用年限（年）</v>
      </c>
      <c r="R10" s="701" t="s">
        <v>14</v>
      </c>
      <c r="S10" s="702">
        <f t="shared" si="0"/>
        <v>120</v>
      </c>
      <c r="T10" s="701" t="s">
        <v>14</v>
      </c>
      <c r="U10" s="702">
        <f t="shared" si="1"/>
        <v>120</v>
      </c>
      <c r="V10" s="701" t="s">
        <v>14</v>
      </c>
      <c r="W10" s="702">
        <f t="shared" si="2"/>
        <v>120</v>
      </c>
      <c r="X10" s="703"/>
      <c r="Y10" s="3634"/>
      <c r="Z10" s="52" t="str">
        <f t="shared" si="7"/>
        <v>土地使用年限（年）</v>
      </c>
      <c r="AA10" s="704">
        <f t="shared" si="3"/>
        <v>0.83333333333333337</v>
      </c>
      <c r="AB10" s="704">
        <f t="shared" si="4"/>
        <v>0.83333333333333337</v>
      </c>
      <c r="AC10" s="704">
        <f t="shared" si="5"/>
        <v>0.83333333333333337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57">
      <c r="A15" s="391" t="s">
        <v>1685</v>
      </c>
      <c r="B15" s="577" t="s">
        <v>1915</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1686</v>
      </c>
      <c r="Q15" s="1352" t="str">
        <f t="shared" si="6"/>
        <v>产业集聚程度</v>
      </c>
      <c r="R15" s="705" t="s">
        <v>14</v>
      </c>
      <c r="S15" s="706">
        <f t="shared" si="0"/>
        <v>100</v>
      </c>
      <c r="T15" s="705" t="s">
        <v>14</v>
      </c>
      <c r="U15" s="706">
        <f t="shared" si="1"/>
        <v>100</v>
      </c>
      <c r="V15" s="705" t="s">
        <v>14</v>
      </c>
      <c r="W15" s="706">
        <f t="shared" si="2"/>
        <v>100</v>
      </c>
      <c r="X15" s="1355"/>
      <c r="Y15" s="3697"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1828</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1866</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1916</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1773</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1774</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1810</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6" t="s">
        <v>1691</v>
      </c>
      <c r="Q32" s="1352">
        <f t="shared" si="8"/>
        <v>111</v>
      </c>
      <c r="R32" s="705" t="s">
        <v>14</v>
      </c>
      <c r="S32" s="706">
        <f t="shared" si="10"/>
        <v>100</v>
      </c>
      <c r="T32" s="705" t="s">
        <v>14</v>
      </c>
      <c r="U32" s="706">
        <f t="shared" si="11"/>
        <v>100</v>
      </c>
      <c r="V32" s="705" t="s">
        <v>14</v>
      </c>
      <c r="W32" s="706">
        <f t="shared" si="12"/>
        <v>100</v>
      </c>
      <c r="X32" s="1355"/>
      <c r="Y32" s="3702" t="s">
        <v>1691</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1870</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1872</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1873</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1691</v>
      </c>
      <c r="Q37" s="1352" t="str">
        <f t="shared" si="14"/>
        <v>工程地质条件</v>
      </c>
      <c r="R37" s="705" t="s">
        <v>14</v>
      </c>
      <c r="S37" s="706">
        <f t="shared" si="10"/>
        <v>100</v>
      </c>
      <c r="T37" s="705" t="s">
        <v>14</v>
      </c>
      <c r="U37" s="706">
        <f t="shared" si="11"/>
        <v>100</v>
      </c>
      <c r="V37" s="705" t="s">
        <v>14</v>
      </c>
      <c r="W37" s="706">
        <f t="shared" si="12"/>
        <v>100</v>
      </c>
      <c r="X37" s="1355"/>
      <c r="Y37" s="3702"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1839</v>
      </c>
      <c r="B41" s="1982" t="s">
        <v>1917</v>
      </c>
      <c r="C41" s="630" t="s">
        <v>0</v>
      </c>
      <c r="D41" s="432"/>
      <c r="E41" s="433"/>
      <c r="F41" s="434"/>
      <c r="G41" s="435"/>
      <c r="H41" s="436"/>
      <c r="I41" s="433"/>
      <c r="J41" s="436"/>
      <c r="K41" s="714"/>
      <c r="L41" s="2724"/>
      <c r="M41" s="2716"/>
      <c r="N41" s="2716"/>
      <c r="O41" s="2725"/>
      <c r="P41" s="3704" t="str">
        <f>A41</f>
        <v>成交单价</v>
      </c>
      <c r="Q41" s="3704"/>
      <c r="R41" s="3692">
        <f>E41</f>
        <v>0</v>
      </c>
      <c r="S41" s="3692"/>
      <c r="T41" s="3692">
        <f>G41</f>
        <v>0</v>
      </c>
      <c r="U41" s="3692"/>
      <c r="V41" s="3692">
        <f>I41</f>
        <v>0</v>
      </c>
      <c r="W41" s="3692"/>
      <c r="X41" s="690"/>
      <c r="Y41" s="712"/>
      <c r="Z41" s="690"/>
      <c r="AA41" s="690"/>
      <c r="AB41" s="690"/>
      <c r="AC41" s="690"/>
    </row>
    <row r="42" spans="1:31" ht="15.75" thickBot="1">
      <c r="A42" s="437" t="s">
        <v>1788</v>
      </c>
      <c r="B42" s="631"/>
      <c r="C42" s="440" t="e">
        <f>R43</f>
        <v>#DIV/0!</v>
      </c>
      <c r="D42" s="2317" t="s">
        <v>2133</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4"/>
      <c r="M43" s="2716"/>
      <c r="N43" s="2716"/>
      <c r="O43" s="2725"/>
      <c r="P43" s="3721" t="str">
        <f>A43</f>
        <v>估价对象XX用房的比较价值（楼面单价，元/平方米）</v>
      </c>
      <c r="Q43" s="3722"/>
      <c r="R43" s="3748" t="e">
        <f>ROUND(IF(D42="简单平均",AVERAGE(R42:W42),R42*F42+T42*H42+V42*J42),0)</f>
        <v>#DIV/0!</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1876</v>
      </c>
      <c r="B50" s="633" t="s">
        <v>1877</v>
      </c>
      <c r="C50" s="1983" t="s">
        <v>1878</v>
      </c>
      <c r="D50" s="1984" t="s">
        <v>1879</v>
      </c>
      <c r="E50" s="634" t="s">
        <v>1880</v>
      </c>
      <c r="F50" s="635" t="s">
        <v>1881</v>
      </c>
      <c r="G50" s="3679" t="s">
        <v>1882</v>
      </c>
      <c r="H50" s="3749"/>
      <c r="I50" s="1356" t="s">
        <v>1918</v>
      </c>
      <c r="J50" s="1356">
        <f>项目基本情况!F35</f>
        <v>0</v>
      </c>
      <c r="K50" s="1986" t="s">
        <v>1884</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1885</v>
      </c>
      <c r="B51" s="637" t="e">
        <f>C43</f>
        <v>#DIV/0!</v>
      </c>
      <c r="C51" s="638">
        <v>1</v>
      </c>
      <c r="D51" s="944">
        <v>1</v>
      </c>
      <c r="E51" s="638">
        <f>'数据-汇总表'!E8+'数据-汇总表'!E9</f>
        <v>57210.759999999995</v>
      </c>
      <c r="F51" s="639" t="e">
        <f t="shared" ref="F51:F60" si="15">ROUND(B51*E51/10000,0)</f>
        <v>#DIV/0!</v>
      </c>
      <c r="G51" s="3675"/>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1886</v>
      </c>
      <c r="B52" s="218" t="e">
        <f>ROUND($C$43*C52*D52,0)</f>
        <v>#DIV/0!</v>
      </c>
      <c r="C52" s="171">
        <f t="shared" ref="C52:C60" si="16">IF($C$50="北京市系数",I52,J52)</f>
        <v>0.7</v>
      </c>
      <c r="D52" s="945">
        <v>0.25</v>
      </c>
      <c r="E52" s="642"/>
      <c r="F52" s="639" t="e">
        <f t="shared" si="15"/>
        <v>#DIV/0!</v>
      </c>
      <c r="G52" s="3004" t="s">
        <v>1887</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1888</v>
      </c>
      <c r="B53" s="218" t="e">
        <f t="shared" ref="B53:B60" si="17">ROUND($C$43*C53*D53,0)</f>
        <v>#DIV/0!</v>
      </c>
      <c r="C53" s="171">
        <f t="shared" si="16"/>
        <v>0.4</v>
      </c>
      <c r="D53" s="945">
        <v>0.25</v>
      </c>
      <c r="E53" s="642"/>
      <c r="F53" s="639" t="e">
        <f t="shared" si="15"/>
        <v>#DIV/0!</v>
      </c>
      <c r="G53" s="3005"/>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1889</v>
      </c>
      <c r="B54" s="218" t="e">
        <f t="shared" si="17"/>
        <v>#DIV/0!</v>
      </c>
      <c r="C54" s="171">
        <f t="shared" si="16"/>
        <v>0.3</v>
      </c>
      <c r="D54" s="945">
        <v>0.25</v>
      </c>
      <c r="E54" s="642"/>
      <c r="F54" s="639" t="e">
        <f t="shared" si="15"/>
        <v>#DIV/0!</v>
      </c>
      <c r="G54" s="3005"/>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6"/>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1890</v>
      </c>
      <c r="B56" s="218" t="e">
        <f t="shared" si="17"/>
        <v>#DIV/0!</v>
      </c>
      <c r="C56" s="171">
        <f t="shared" si="16"/>
        <v>0.3</v>
      </c>
      <c r="D56" s="945">
        <v>0.25</v>
      </c>
      <c r="E56" s="217">
        <f>'数据-汇总表'!E11</f>
        <v>0</v>
      </c>
      <c r="F56" s="639" t="e">
        <f t="shared" si="15"/>
        <v>#DIV/0!</v>
      </c>
      <c r="G56" s="1987" t="s">
        <v>1891</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1892</v>
      </c>
      <c r="B57" s="218" t="e">
        <f t="shared" si="17"/>
        <v>#DIV/0!</v>
      </c>
      <c r="C57" s="171">
        <f t="shared" si="16"/>
        <v>0.3</v>
      </c>
      <c r="D57" s="945">
        <v>0.25</v>
      </c>
      <c r="E57" s="217">
        <f>'数据-汇总表'!E12</f>
        <v>0</v>
      </c>
      <c r="F57" s="639" t="e">
        <f t="shared" si="15"/>
        <v>#DIV/0!</v>
      </c>
      <c r="G57" s="892" t="s">
        <v>1893</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1894</v>
      </c>
      <c r="B58" s="218" t="e">
        <f t="shared" si="17"/>
        <v>#DIV/0!</v>
      </c>
      <c r="C58" s="171">
        <f t="shared" si="16"/>
        <v>0</v>
      </c>
      <c r="D58" s="945">
        <v>0.25</v>
      </c>
      <c r="E58" s="217">
        <f>'数据-汇总表'!E13</f>
        <v>6092.7899999999991</v>
      </c>
      <c r="F58" s="639" t="e">
        <f t="shared" si="15"/>
        <v>#DIV/0!</v>
      </c>
      <c r="G58" s="892" t="s">
        <v>1895</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1896</v>
      </c>
      <c r="B59" s="218" t="e">
        <f t="shared" si="17"/>
        <v>#DIV/0!</v>
      </c>
      <c r="C59" s="171">
        <f t="shared" si="16"/>
        <v>0.2</v>
      </c>
      <c r="D59" s="945">
        <v>0.25</v>
      </c>
      <c r="E59" s="217">
        <f>'数据-汇总表'!E14</f>
        <v>0</v>
      </c>
      <c r="F59" s="639" t="e">
        <f t="shared" si="15"/>
        <v>#DIV/0!</v>
      </c>
      <c r="G59" s="1987" t="s">
        <v>1887</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1897</v>
      </c>
      <c r="B60" s="218" t="e">
        <f t="shared" si="17"/>
        <v>#DIV/0!</v>
      </c>
      <c r="C60" s="171">
        <f t="shared" si="16"/>
        <v>0.2</v>
      </c>
      <c r="D60" s="945">
        <v>0.25</v>
      </c>
      <c r="E60" s="217">
        <f>'数据-汇总表'!E15</f>
        <v>0</v>
      </c>
      <c r="F60" s="639" t="e">
        <f t="shared" si="15"/>
        <v>#DIV/0!</v>
      </c>
      <c r="G60" s="1988" t="s">
        <v>1891</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1898</v>
      </c>
      <c r="B61" s="644" t="s">
        <v>22</v>
      </c>
      <c r="C61" s="644" t="s">
        <v>23</v>
      </c>
      <c r="D61" s="644" t="s">
        <v>392</v>
      </c>
      <c r="E61" s="644">
        <f>IF(B41="楼面地价",SUM(E51:E60),'数据-汇总表'!D3)</f>
        <v>9623.18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1793</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1899</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1711</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1676</v>
      </c>
      <c r="B68" s="459"/>
      <c r="C68" s="471" t="s">
        <v>1771</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1714</v>
      </c>
      <c r="B70" s="477" t="s">
        <v>1680</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1683</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1685</v>
      </c>
      <c r="B83" s="477" t="s">
        <v>1824</v>
      </c>
      <c r="C83" s="522" t="s">
        <v>1716</v>
      </c>
      <c r="D83" s="522" t="s">
        <v>1717</v>
      </c>
      <c r="E83" s="522" t="s">
        <v>1718</v>
      </c>
      <c r="F83" s="522" t="s">
        <v>1719</v>
      </c>
      <c r="G83" s="522" t="s">
        <v>1720</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1721</v>
      </c>
      <c r="C85" s="527" t="s">
        <v>1716</v>
      </c>
      <c r="D85" s="527" t="s">
        <v>1717</v>
      </c>
      <c r="E85" s="527" t="s">
        <v>1718</v>
      </c>
      <c r="F85" s="527" t="s">
        <v>1719</v>
      </c>
      <c r="G85" s="527" t="s">
        <v>1720</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1810</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1868</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1909</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1911</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1912</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912</v>
      </c>
      <c r="C4" s="3479"/>
      <c r="D4" s="3479"/>
      <c r="E4" s="1493"/>
    </row>
    <row r="5" spans="1:5" ht="16.5" thickTop="1">
      <c r="A5" s="1491"/>
      <c r="B5" s="3477" t="s">
        <v>904</v>
      </c>
      <c r="C5" s="1494" t="s">
        <v>905</v>
      </c>
      <c r="D5" s="850">
        <f ca="1">结果表!H101</f>
        <v>286836</v>
      </c>
      <c r="E5" s="1491"/>
    </row>
    <row r="6" spans="1:5" ht="15.75">
      <c r="A6" s="1491"/>
      <c r="B6" s="3477"/>
      <c r="C6" s="1494" t="s">
        <v>906</v>
      </c>
      <c r="D6" s="850" t="str">
        <f ca="1">NUMBERSTRING(INT(D5*10000),2)&amp;"元整"</f>
        <v>贰拾捌亿陆仟捌佰叁拾陆万元整</v>
      </c>
      <c r="E6" s="1491"/>
    </row>
    <row r="7" spans="1:5" ht="15.75">
      <c r="A7" s="1491"/>
      <c r="B7" s="3482"/>
      <c r="C7" s="1495" t="s">
        <v>907</v>
      </c>
      <c r="D7" s="851">
        <f ca="1">结果表!H102</f>
        <v>60942</v>
      </c>
      <c r="E7" s="1491"/>
    </row>
    <row r="8" spans="1:5" ht="15.75">
      <c r="A8" s="1491"/>
      <c r="B8" s="3483" t="str">
        <f>结果表!E103</f>
        <v>2.估价师知悉的法定优先受偿款</v>
      </c>
      <c r="C8" s="1496" t="s">
        <v>908</v>
      </c>
      <c r="D8" s="851">
        <f>结果表!H103</f>
        <v>0</v>
      </c>
      <c r="E8" s="1491"/>
    </row>
    <row r="9" spans="1:5" ht="15.75">
      <c r="A9" s="1491"/>
      <c r="B9" s="3485"/>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476" t="str">
        <f>结果表!E107</f>
        <v>3.房地产抵押价值</v>
      </c>
      <c r="C13" s="1499" t="s">
        <v>905</v>
      </c>
      <c r="D13" s="853">
        <f ca="1">结果表!H107</f>
        <v>286836</v>
      </c>
      <c r="E13" s="1491"/>
    </row>
    <row r="14" spans="1:5" ht="15.75">
      <c r="A14" s="1491"/>
      <c r="B14" s="3477"/>
      <c r="C14" s="1494" t="s">
        <v>906</v>
      </c>
      <c r="D14" s="850" t="str">
        <f ca="1">NUMBERSTRING(INT(D13*10000),2)&amp;"元整"</f>
        <v>贰拾捌亿陆仟捌佰叁拾陆万元整</v>
      </c>
      <c r="E14" s="1491"/>
    </row>
    <row r="15" spans="1:5" ht="15">
      <c r="A15" s="1491"/>
      <c r="B15" s="3482"/>
      <c r="C15" s="1495" t="s">
        <v>916</v>
      </c>
      <c r="D15" s="859">
        <f ca="1">结果表!H108</f>
        <v>60942</v>
      </c>
      <c r="E15" s="1491"/>
    </row>
    <row r="16" spans="1:5" ht="15">
      <c r="A16" s="1491"/>
      <c r="B16" s="3483" t="str">
        <f>结果表!E109</f>
        <v>——</v>
      </c>
      <c r="C16" s="1499" t="s">
        <v>917</v>
      </c>
      <c r="D16" s="1500" t="str">
        <f>结果表!H109</f>
        <v>——</v>
      </c>
      <c r="E16" s="1491"/>
    </row>
    <row r="17" spans="1:5" ht="15.75">
      <c r="A17" s="1491"/>
      <c r="B17" s="3484"/>
      <c r="C17" s="1494" t="s">
        <v>918</v>
      </c>
      <c r="D17" s="850" t="e">
        <f>NUMBERSTRING(INT(D16*10000),2)&amp;"元整"</f>
        <v>#VALUE!</v>
      </c>
      <c r="E17" s="1491"/>
    </row>
    <row r="18" spans="1:5" ht="15">
      <c r="A18" s="1491"/>
      <c r="B18" s="3485"/>
      <c r="C18" s="1495" t="s">
        <v>907</v>
      </c>
      <c r="D18" s="859" t="str">
        <f>结果表!H110</f>
        <v>——</v>
      </c>
      <c r="E18" s="1491"/>
    </row>
    <row r="19" spans="1:5" ht="15.75">
      <c r="A19" s="1491"/>
      <c r="B19" s="3476" t="str">
        <f>结果表!E111</f>
        <v>——</v>
      </c>
      <c r="C19" s="1499" t="s">
        <v>905</v>
      </c>
      <c r="D19" s="851" t="str">
        <f>结果表!H111</f>
        <v>——</v>
      </c>
      <c r="E19" s="1491"/>
    </row>
    <row r="20" spans="1:5" ht="15.75">
      <c r="A20" s="1491"/>
      <c r="B20" s="3477"/>
      <c r="C20" s="1494" t="s">
        <v>918</v>
      </c>
      <c r="D20" s="850" t="e">
        <f>NUMBERSTRING(INT(D19*10000),2)&amp;"元整"</f>
        <v>#VALUE!</v>
      </c>
      <c r="E20" s="1491"/>
    </row>
    <row r="21" spans="1:5" ht="15.75" thickBot="1">
      <c r="A21" s="1491"/>
      <c r="B21" s="3478"/>
      <c r="C21" s="1501" t="s">
        <v>916</v>
      </c>
      <c r="D21" s="860" t="str">
        <f>结果表!H112</f>
        <v>——</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79" t="s">
        <v>2079</v>
      </c>
      <c r="D1" s="3780"/>
      <c r="E1" s="3780"/>
      <c r="F1" s="3780"/>
      <c r="G1" s="3780"/>
      <c r="H1" s="3780"/>
      <c r="I1" s="3780"/>
      <c r="J1" s="3780"/>
      <c r="K1" s="3780"/>
      <c r="L1" s="3780"/>
      <c r="M1" s="3780"/>
      <c r="N1" s="3780"/>
      <c r="O1" s="3780"/>
      <c r="P1" s="3780"/>
      <c r="Q1" s="3780"/>
      <c r="R1" s="3780"/>
      <c r="S1" s="3781"/>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2088</v>
      </c>
      <c r="B17" s="2149"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1"/>
      <c r="E20" s="1341"/>
      <c r="F20" s="983" t="e">
        <f ca="1">SUMIF(INDIRECT("'"&amp;H20&amp;"'"&amp;"!A:A"),"承租人权益价值",INDIRECT("'"&amp;H20&amp;"'"&amp;"!c:c"))</f>
        <v>#REF!</v>
      </c>
      <c r="G20" s="983" t="s">
        <v>2092</v>
      </c>
      <c r="H20" s="2152"/>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2076</v>
      </c>
      <c r="B1" s="2147"/>
      <c r="C1" s="2147"/>
      <c r="D1" s="2147"/>
      <c r="E1" s="2147"/>
      <c r="F1" s="2793"/>
      <c r="G1" s="2793"/>
      <c r="H1" s="2793"/>
      <c r="I1" s="2793"/>
      <c r="J1" s="2793"/>
      <c r="K1" s="2793"/>
      <c r="L1" s="2793"/>
      <c r="M1" s="2793"/>
      <c r="N1" s="2793"/>
      <c r="O1" s="2793"/>
      <c r="P1" s="2793"/>
    </row>
    <row r="2" spans="1:16" ht="15.75">
      <c r="A2" s="2145" t="s">
        <v>2068</v>
      </c>
      <c r="B2" s="2602">
        <f ca="1">SUMIF(B6:B13,"&lt;&gt;#ref!",B6:B13)</f>
        <v>8237</v>
      </c>
      <c r="C2" s="2145" t="s">
        <v>2069</v>
      </c>
      <c r="D2" s="2145" t="s">
        <v>2070</v>
      </c>
      <c r="E2" s="2612">
        <f ca="1">SUMIF(E6:E13,"&lt;&gt;#ref!",E6:E13)</f>
        <v>3962.1600000000008</v>
      </c>
      <c r="F2" s="2793"/>
      <c r="G2" s="2793"/>
      <c r="H2" s="2793"/>
      <c r="I2" s="2793"/>
      <c r="J2" s="2793"/>
      <c r="K2" s="2793"/>
      <c r="L2" s="2793"/>
      <c r="M2" s="2793"/>
      <c r="N2" s="2793"/>
      <c r="O2" s="2793"/>
      <c r="P2" s="2793"/>
    </row>
    <row r="3" spans="1:16" ht="15.75">
      <c r="A3" s="2145" t="s">
        <v>2071</v>
      </c>
      <c r="B3" s="2602">
        <f ca="1">ROUND(B2*10000/E2,0)</f>
        <v>20789</v>
      </c>
      <c r="C3" s="2145" t="s">
        <v>2077</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2072</v>
      </c>
      <c r="B5" s="2610" t="s">
        <v>2073</v>
      </c>
      <c r="C5" s="2146"/>
      <c r="D5" s="2793"/>
      <c r="E5" s="2611" t="s">
        <v>2074</v>
      </c>
      <c r="F5" s="2793"/>
      <c r="G5" s="2793"/>
      <c r="H5" s="2793"/>
      <c r="I5" s="2793"/>
      <c r="J5" s="2793"/>
      <c r="K5" s="2793"/>
      <c r="L5" s="2793"/>
      <c r="M5" s="2793"/>
      <c r="N5" s="2793"/>
      <c r="O5" s="2793"/>
      <c r="P5" s="2793"/>
    </row>
    <row r="6" spans="1:16" ht="15.75">
      <c r="A6" s="2609" t="s">
        <v>2075</v>
      </c>
      <c r="B6" s="2602">
        <f ca="1">SUMIF(INDIRECT("'"&amp;A6&amp;"'"&amp;"!A:A"),"总价",INDIRECT("'"&amp;A6&amp;"'"&amp;"!B:B"))</f>
        <v>8237</v>
      </c>
      <c r="C6" s="2145" t="s">
        <v>2069</v>
      </c>
      <c r="D6" s="2793"/>
      <c r="E6" s="2612">
        <f ca="1">SUMIF(INDIRECT("'"&amp;A6&amp;"'"&amp;"!C:C"),"建筑面积",INDIRECT("'"&amp;A6&amp;"'"&amp;"!D:D"))</f>
        <v>3962.1600000000008</v>
      </c>
      <c r="F6" s="2793"/>
      <c r="G6" s="2793"/>
      <c r="H6" s="2793"/>
      <c r="I6" s="2793"/>
      <c r="J6" s="2793"/>
      <c r="K6" s="2793"/>
      <c r="L6" s="2793"/>
      <c r="M6" s="2793"/>
      <c r="N6" s="2793"/>
      <c r="O6" s="2793"/>
      <c r="P6" s="2793"/>
    </row>
    <row r="7" spans="1:16" ht="15.75">
      <c r="A7" s="2609"/>
      <c r="B7" s="2602" t="e">
        <f ca="1">SUMIF(INDIRECT("'"&amp;A7&amp;"'"&amp;"!A:A"),"总价",INDIRECT("'"&amp;A7&amp;"'"&amp;"!B:B"))</f>
        <v>#REF!</v>
      </c>
      <c r="C7" s="2145" t="s">
        <v>2069</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2069</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2069</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2069</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2069</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2069</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2069</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9" t="s">
        <v>2606</v>
      </c>
      <c r="B20" s="3782" t="s">
        <v>2627</v>
      </c>
      <c r="C20" s="3101" t="s">
        <v>2438</v>
      </c>
      <c r="D20" s="3102"/>
      <c r="E20" s="3103">
        <v>1</v>
      </c>
      <c r="F20" s="3104" t="s">
        <v>2439</v>
      </c>
      <c r="G20" s="3104"/>
    </row>
    <row r="21" spans="1:13" ht="19.5" customHeight="1">
      <c r="A21" s="3790"/>
      <c r="B21" s="3783"/>
      <c r="C21" s="3105" t="s">
        <v>2440</v>
      </c>
      <c r="D21" s="3106"/>
      <c r="E21" s="3107">
        <v>1</v>
      </c>
      <c r="F21" s="3104" t="s">
        <v>2441</v>
      </c>
      <c r="G21" s="3104"/>
    </row>
    <row r="22" spans="1:13" ht="19.5" customHeight="1">
      <c r="A22" s="3790"/>
      <c r="B22" s="3783"/>
      <c r="C22" s="3105" t="s">
        <v>2442</v>
      </c>
      <c r="D22" s="3106"/>
      <c r="E22" s="3107">
        <v>0.9</v>
      </c>
      <c r="F22" s="3104" t="s">
        <v>2443</v>
      </c>
      <c r="G22" s="3104"/>
    </row>
    <row r="23" spans="1:13" ht="19.5" customHeight="1">
      <c r="A23" s="3790"/>
      <c r="B23" s="3783"/>
      <c r="C23" s="3105" t="s">
        <v>2444</v>
      </c>
      <c r="D23" s="3106"/>
      <c r="E23" s="3107">
        <v>0.9</v>
      </c>
      <c r="F23" s="3104" t="s">
        <v>2445</v>
      </c>
      <c r="G23" s="3104"/>
    </row>
    <row r="24" spans="1:13" ht="19.5" customHeight="1">
      <c r="A24" s="3790"/>
      <c r="B24" s="3783"/>
      <c r="C24" s="3105" t="s">
        <v>2446</v>
      </c>
      <c r="D24" s="3106"/>
      <c r="E24" s="3107">
        <v>0.8</v>
      </c>
      <c r="F24" s="3104" t="s">
        <v>2447</v>
      </c>
      <c r="G24" s="3104"/>
    </row>
    <row r="25" spans="1:13" ht="19.5" customHeight="1" thickBot="1">
      <c r="A25" s="3791"/>
      <c r="B25" s="3784"/>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5" t="s">
        <v>2630</v>
      </c>
      <c r="B27" s="3782" t="s">
        <v>2611</v>
      </c>
      <c r="C27" s="3101" t="s">
        <v>2451</v>
      </c>
      <c r="D27" s="3102"/>
      <c r="E27" s="3103">
        <v>1</v>
      </c>
      <c r="F27" s="3104" t="s">
        <v>2452</v>
      </c>
      <c r="G27" s="3104"/>
    </row>
    <row r="28" spans="1:13" ht="19.5" customHeight="1">
      <c r="A28" s="3786"/>
      <c r="B28" s="3783"/>
      <c r="C28" s="3105" t="s">
        <v>2453</v>
      </c>
      <c r="D28" s="3106"/>
      <c r="E28" s="3107">
        <v>1</v>
      </c>
      <c r="F28" s="3104" t="s">
        <v>2454</v>
      </c>
      <c r="G28" s="3104"/>
    </row>
    <row r="29" spans="1:13" ht="19.5" customHeight="1">
      <c r="A29" s="3786"/>
      <c r="B29" s="3783"/>
      <c r="C29" s="3105" t="s">
        <v>2455</v>
      </c>
      <c r="D29" s="3106"/>
      <c r="E29" s="3107">
        <v>0.8</v>
      </c>
      <c r="F29" s="3104" t="s">
        <v>2456</v>
      </c>
      <c r="G29" s="3104"/>
    </row>
    <row r="30" spans="1:13" ht="19.5" customHeight="1">
      <c r="A30" s="3786"/>
      <c r="B30" s="3783"/>
      <c r="C30" s="3105" t="s">
        <v>2457</v>
      </c>
      <c r="D30" s="3106"/>
      <c r="E30" s="3107">
        <v>0.8</v>
      </c>
      <c r="F30" s="3104" t="s">
        <v>2458</v>
      </c>
      <c r="G30" s="3104"/>
    </row>
    <row r="31" spans="1:13" ht="19.5" customHeight="1">
      <c r="A31" s="3786"/>
      <c r="B31" s="3783"/>
      <c r="C31" s="3105" t="s">
        <v>2459</v>
      </c>
      <c r="D31" s="3106"/>
      <c r="E31" s="3107">
        <v>0.8</v>
      </c>
      <c r="F31" s="3104" t="s">
        <v>2460</v>
      </c>
      <c r="G31" s="3104"/>
    </row>
    <row r="32" spans="1:13" ht="19.5" customHeight="1">
      <c r="A32" s="3786"/>
      <c r="B32" s="3783"/>
      <c r="C32" s="3105" t="s">
        <v>2461</v>
      </c>
      <c r="D32" s="3106"/>
      <c r="E32" s="3107">
        <v>0.7</v>
      </c>
      <c r="F32" s="3104" t="s">
        <v>2462</v>
      </c>
      <c r="G32" s="3104"/>
    </row>
    <row r="33" spans="1:7" ht="19.5" customHeight="1">
      <c r="A33" s="3786"/>
      <c r="B33" s="3783"/>
      <c r="C33" s="3105" t="s">
        <v>2463</v>
      </c>
      <c r="D33" s="3106"/>
      <c r="E33" s="3107">
        <v>0.8</v>
      </c>
      <c r="F33" s="3104" t="s">
        <v>2464</v>
      </c>
      <c r="G33" s="3104"/>
    </row>
    <row r="34" spans="1:7" ht="19.5" customHeight="1">
      <c r="A34" s="3786"/>
      <c r="B34" s="3783"/>
      <c r="C34" s="3105" t="s">
        <v>2465</v>
      </c>
      <c r="D34" s="3106"/>
      <c r="E34" s="3107">
        <v>0.6</v>
      </c>
      <c r="F34" s="3104" t="s">
        <v>2466</v>
      </c>
      <c r="G34" s="3104"/>
    </row>
    <row r="35" spans="1:7" ht="19.5" customHeight="1">
      <c r="A35" s="3786"/>
      <c r="B35" s="3783"/>
      <c r="C35" s="3105" t="s">
        <v>2467</v>
      </c>
      <c r="D35" s="3106"/>
      <c r="E35" s="3107">
        <v>0.2</v>
      </c>
      <c r="F35" s="3104" t="s">
        <v>2468</v>
      </c>
      <c r="G35" s="3104"/>
    </row>
    <row r="36" spans="1:7" ht="19.5" customHeight="1">
      <c r="A36" s="3786"/>
      <c r="B36" s="3783"/>
      <c r="C36" s="3105" t="s">
        <v>2469</v>
      </c>
      <c r="D36" s="3106"/>
      <c r="E36" s="3107">
        <v>0.2</v>
      </c>
      <c r="F36" s="3104" t="s">
        <v>2470</v>
      </c>
      <c r="G36" s="3104"/>
    </row>
    <row r="37" spans="1:7" ht="19.5" customHeight="1">
      <c r="A37" s="3786"/>
      <c r="B37" s="3788" t="s">
        <v>2631</v>
      </c>
      <c r="C37" s="3105" t="s">
        <v>2471</v>
      </c>
      <c r="D37" s="3106"/>
      <c r="E37" s="3107">
        <v>0.6</v>
      </c>
      <c r="F37" s="3104" t="s">
        <v>2472</v>
      </c>
      <c r="G37" s="3104"/>
    </row>
    <row r="38" spans="1:7" ht="19.5" customHeight="1">
      <c r="A38" s="3786"/>
      <c r="B38" s="3783"/>
      <c r="C38" s="3105" t="s">
        <v>2473</v>
      </c>
      <c r="D38" s="3106"/>
      <c r="E38" s="3107">
        <v>0.6</v>
      </c>
      <c r="F38" s="3104" t="s">
        <v>2474</v>
      </c>
      <c r="G38" s="3104"/>
    </row>
    <row r="39" spans="1:7" ht="19.5" customHeight="1" thickBot="1">
      <c r="A39" s="3787"/>
      <c r="B39" s="3784"/>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9" t="s">
        <v>2609</v>
      </c>
      <c r="B41" s="3782" t="s">
        <v>2633</v>
      </c>
      <c r="C41" s="3101" t="s">
        <v>2478</v>
      </c>
      <c r="D41" s="3102"/>
      <c r="E41" s="3103">
        <v>1</v>
      </c>
      <c r="F41" s="3104" t="s">
        <v>2479</v>
      </c>
      <c r="G41" s="3104"/>
    </row>
    <row r="42" spans="1:7" ht="19.5" customHeight="1">
      <c r="A42" s="3790"/>
      <c r="B42" s="3783"/>
      <c r="C42" s="3105" t="s">
        <v>2480</v>
      </c>
      <c r="D42" s="3106"/>
      <c r="E42" s="3107">
        <v>1</v>
      </c>
      <c r="F42" s="3104" t="s">
        <v>2481</v>
      </c>
      <c r="G42" s="3104"/>
    </row>
    <row r="43" spans="1:7" ht="19.5" customHeight="1">
      <c r="A43" s="3790"/>
      <c r="B43" s="3792"/>
      <c r="C43" s="3105" t="s">
        <v>2482</v>
      </c>
      <c r="D43" s="3106"/>
      <c r="E43" s="3107">
        <v>1.5</v>
      </c>
      <c r="F43" s="3104" t="s">
        <v>2483</v>
      </c>
      <c r="G43" s="3104"/>
    </row>
    <row r="44" spans="1:7" ht="19.5" customHeight="1">
      <c r="A44" s="3790"/>
      <c r="B44" s="3116" t="s">
        <v>2634</v>
      </c>
      <c r="C44" s="3105" t="s">
        <v>2635</v>
      </c>
      <c r="D44" s="3106"/>
      <c r="E44" s="3107">
        <v>2</v>
      </c>
      <c r="F44" s="3104" t="s">
        <v>2484</v>
      </c>
      <c r="G44" s="3104"/>
    </row>
    <row r="45" spans="1:7" ht="19.5" customHeight="1">
      <c r="A45" s="3790"/>
      <c r="B45" s="3788" t="s">
        <v>2636</v>
      </c>
      <c r="C45" s="3105" t="s">
        <v>2485</v>
      </c>
      <c r="D45" s="3106"/>
      <c r="E45" s="3107">
        <v>1</v>
      </c>
      <c r="F45" s="3104" t="s">
        <v>2486</v>
      </c>
      <c r="G45" s="3104"/>
    </row>
    <row r="46" spans="1:7" ht="19.5" customHeight="1">
      <c r="A46" s="3790"/>
      <c r="B46" s="3783"/>
      <c r="C46" s="3105" t="s">
        <v>2487</v>
      </c>
      <c r="D46" s="3106"/>
      <c r="E46" s="3107">
        <v>1</v>
      </c>
      <c r="F46" s="3104" t="s">
        <v>2488</v>
      </c>
      <c r="G46" s="3104"/>
    </row>
    <row r="47" spans="1:7" ht="19.5" customHeight="1">
      <c r="A47" s="3790"/>
      <c r="B47" s="3783"/>
      <c r="C47" s="3105" t="s">
        <v>2489</v>
      </c>
      <c r="D47" s="3106"/>
      <c r="E47" s="3107">
        <v>1</v>
      </c>
      <c r="F47" s="3104" t="s">
        <v>2490</v>
      </c>
      <c r="G47" s="3104"/>
    </row>
    <row r="48" spans="1:7" ht="19.5" customHeight="1">
      <c r="A48" s="3790"/>
      <c r="B48" s="3783"/>
      <c r="C48" s="3105" t="s">
        <v>2491</v>
      </c>
      <c r="D48" s="3106"/>
      <c r="E48" s="3107">
        <v>1</v>
      </c>
      <c r="F48" s="3104" t="s">
        <v>2492</v>
      </c>
      <c r="G48" s="3104"/>
    </row>
    <row r="49" spans="1:7" ht="19.5" customHeight="1">
      <c r="A49" s="3790"/>
      <c r="B49" s="3783"/>
      <c r="C49" s="3105" t="s">
        <v>2493</v>
      </c>
      <c r="D49" s="3106"/>
      <c r="E49" s="3107">
        <v>1</v>
      </c>
      <c r="F49" s="3104" t="s">
        <v>2494</v>
      </c>
      <c r="G49" s="3104"/>
    </row>
    <row r="50" spans="1:7" ht="19.5" customHeight="1">
      <c r="A50" s="3790"/>
      <c r="B50" s="3783"/>
      <c r="C50" s="3105" t="s">
        <v>2495</v>
      </c>
      <c r="D50" s="3106"/>
      <c r="E50" s="3107">
        <v>1</v>
      </c>
      <c r="F50" s="3104" t="s">
        <v>2496</v>
      </c>
      <c r="G50" s="3104"/>
    </row>
    <row r="51" spans="1:7" ht="19.5" customHeight="1" thickBot="1">
      <c r="A51" s="3791"/>
      <c r="B51" s="3784"/>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88" t="s">
        <v>2650</v>
      </c>
      <c r="C73" s="3090" t="s">
        <v>2651</v>
      </c>
      <c r="D73" s="3090" t="s">
        <v>2652</v>
      </c>
      <c r="E73" s="3116">
        <v>0.2</v>
      </c>
      <c r="F73" s="3116">
        <v>25</v>
      </c>
    </row>
    <row r="74" spans="1:7" ht="24">
      <c r="A74" s="3116">
        <v>2</v>
      </c>
      <c r="B74" s="3783"/>
      <c r="C74" s="3090" t="s">
        <v>2653</v>
      </c>
      <c r="D74" s="3090" t="s">
        <v>2654</v>
      </c>
      <c r="E74" s="3116">
        <v>0.2</v>
      </c>
      <c r="F74" s="3116">
        <v>25</v>
      </c>
    </row>
    <row r="75" spans="1:7" ht="24">
      <c r="A75" s="3116">
        <v>3</v>
      </c>
      <c r="B75" s="3783"/>
      <c r="C75" s="3090" t="s">
        <v>2655</v>
      </c>
      <c r="D75" s="3090" t="s">
        <v>2656</v>
      </c>
      <c r="E75" s="3116">
        <v>0.2</v>
      </c>
      <c r="F75" s="3116">
        <v>25</v>
      </c>
    </row>
    <row r="76" spans="1:7" ht="13.5">
      <c r="A76" s="3116">
        <v>4</v>
      </c>
      <c r="B76" s="3783"/>
      <c r="C76" s="3090" t="s">
        <v>2657</v>
      </c>
      <c r="D76" s="3090" t="s">
        <v>2658</v>
      </c>
      <c r="E76" s="3116">
        <v>0.15</v>
      </c>
      <c r="F76" s="3116">
        <v>20</v>
      </c>
    </row>
    <row r="77" spans="1:7" ht="24">
      <c r="A77" s="3116">
        <v>5</v>
      </c>
      <c r="B77" s="3783"/>
      <c r="C77" s="3090" t="s">
        <v>2659</v>
      </c>
      <c r="D77" s="3090" t="s">
        <v>2660</v>
      </c>
      <c r="E77" s="3116">
        <v>0.15</v>
      </c>
      <c r="F77" s="3116">
        <v>20</v>
      </c>
    </row>
    <row r="78" spans="1:7" ht="24">
      <c r="A78" s="3116">
        <v>6</v>
      </c>
      <c r="B78" s="3783"/>
      <c r="C78" s="3090" t="s">
        <v>2661</v>
      </c>
      <c r="D78" s="3090" t="s">
        <v>2662</v>
      </c>
      <c r="E78" s="3116">
        <v>0.15</v>
      </c>
      <c r="F78" s="3116">
        <v>20</v>
      </c>
    </row>
    <row r="79" spans="1:7" ht="24">
      <c r="A79" s="3116">
        <v>7</v>
      </c>
      <c r="B79" s="3783"/>
      <c r="C79" s="3090" t="s">
        <v>2663</v>
      </c>
      <c r="D79" s="3090" t="s">
        <v>2664</v>
      </c>
      <c r="E79" s="3116">
        <v>0.15</v>
      </c>
      <c r="F79" s="3116">
        <v>20</v>
      </c>
    </row>
    <row r="80" spans="1:7" ht="24">
      <c r="A80" s="3116">
        <v>8</v>
      </c>
      <c r="B80" s="3783"/>
      <c r="C80" s="3090" t="s">
        <v>2665</v>
      </c>
      <c r="D80" s="3090" t="s">
        <v>2666</v>
      </c>
      <c r="E80" s="3116">
        <v>0.1</v>
      </c>
      <c r="F80" s="3116">
        <v>15</v>
      </c>
    </row>
    <row r="81" spans="1:6" ht="24">
      <c r="A81" s="3116">
        <v>9</v>
      </c>
      <c r="B81" s="3783"/>
      <c r="C81" s="3090" t="s">
        <v>2667</v>
      </c>
      <c r="D81" s="3090" t="s">
        <v>2668</v>
      </c>
      <c r="E81" s="3116">
        <v>0.1</v>
      </c>
      <c r="F81" s="3116">
        <v>15</v>
      </c>
    </row>
    <row r="82" spans="1:6" ht="24">
      <c r="A82" s="3116">
        <v>10</v>
      </c>
      <c r="B82" s="3783"/>
      <c r="C82" s="3090" t="s">
        <v>2669</v>
      </c>
      <c r="D82" s="3090" t="s">
        <v>2670</v>
      </c>
      <c r="E82" s="3116">
        <v>0.1</v>
      </c>
      <c r="F82" s="3116">
        <v>15</v>
      </c>
    </row>
    <row r="83" spans="1:6" ht="24">
      <c r="A83" s="3116">
        <v>11</v>
      </c>
      <c r="B83" s="3783"/>
      <c r="C83" s="3090" t="s">
        <v>2671</v>
      </c>
      <c r="D83" s="3090" t="s">
        <v>2672</v>
      </c>
      <c r="E83" s="3116">
        <v>0.1</v>
      </c>
      <c r="F83" s="3116">
        <v>15</v>
      </c>
    </row>
    <row r="84" spans="1:6" ht="24">
      <c r="A84" s="3116">
        <v>12</v>
      </c>
      <c r="B84" s="3783"/>
      <c r="C84" s="3090" t="s">
        <v>2673</v>
      </c>
      <c r="D84" s="3090" t="s">
        <v>2674</v>
      </c>
      <c r="E84" s="3116">
        <v>0.1</v>
      </c>
      <c r="F84" s="3116">
        <v>15</v>
      </c>
    </row>
    <row r="85" spans="1:6" ht="13.5">
      <c r="A85" s="3116">
        <v>13</v>
      </c>
      <c r="B85" s="3783"/>
      <c r="C85" s="3090" t="s">
        <v>2675</v>
      </c>
      <c r="D85" s="3090" t="s">
        <v>2676</v>
      </c>
      <c r="E85" s="3116">
        <v>0.1</v>
      </c>
      <c r="F85" s="3116">
        <v>15</v>
      </c>
    </row>
    <row r="86" spans="1:6" ht="13.5">
      <c r="A86" s="3116">
        <v>14</v>
      </c>
      <c r="B86" s="3783"/>
      <c r="C86" s="3090" t="s">
        <v>2677</v>
      </c>
      <c r="D86" s="3090" t="s">
        <v>2678</v>
      </c>
      <c r="E86" s="3116">
        <v>0.1</v>
      </c>
      <c r="F86" s="3116">
        <v>15</v>
      </c>
    </row>
    <row r="87" spans="1:6" ht="13.5">
      <c r="A87" s="3116">
        <v>15</v>
      </c>
      <c r="B87" s="3783"/>
      <c r="C87" s="3090" t="s">
        <v>2679</v>
      </c>
      <c r="D87" s="3090" t="s">
        <v>2680</v>
      </c>
      <c r="E87" s="3116">
        <v>0.1</v>
      </c>
      <c r="F87" s="3116">
        <v>15</v>
      </c>
    </row>
    <row r="88" spans="1:6" ht="24">
      <c r="A88" s="3116">
        <v>16</v>
      </c>
      <c r="B88" s="3783"/>
      <c r="C88" s="3090" t="s">
        <v>2681</v>
      </c>
      <c r="D88" s="3090" t="s">
        <v>2682</v>
      </c>
      <c r="E88" s="3116">
        <v>0.1</v>
      </c>
      <c r="F88" s="3116">
        <v>15</v>
      </c>
    </row>
    <row r="89" spans="1:6" ht="24">
      <c r="A89" s="3116">
        <v>17</v>
      </c>
      <c r="B89" s="3792"/>
      <c r="C89" s="3090" t="s">
        <v>2683</v>
      </c>
      <c r="D89" s="3090" t="s">
        <v>2684</v>
      </c>
      <c r="E89" s="3116">
        <v>0.1</v>
      </c>
      <c r="F89" s="3116">
        <v>15</v>
      </c>
    </row>
    <row r="90" spans="1:6" ht="13.5">
      <c r="A90" s="3116">
        <v>18</v>
      </c>
      <c r="B90" s="3788" t="s">
        <v>2685</v>
      </c>
      <c r="C90" s="3090" t="s">
        <v>2686</v>
      </c>
      <c r="D90" s="3090" t="s">
        <v>2687</v>
      </c>
      <c r="E90" s="3116">
        <v>0.2</v>
      </c>
      <c r="F90" s="3116">
        <v>25</v>
      </c>
    </row>
    <row r="91" spans="1:6" ht="24">
      <c r="A91" s="3116">
        <v>19</v>
      </c>
      <c r="B91" s="3783"/>
      <c r="C91" s="3090" t="s">
        <v>2688</v>
      </c>
      <c r="D91" s="3090" t="s">
        <v>2689</v>
      </c>
      <c r="E91" s="3116">
        <v>0.2</v>
      </c>
      <c r="F91" s="3116">
        <v>25</v>
      </c>
    </row>
    <row r="92" spans="1:6" ht="13.5">
      <c r="A92" s="3116">
        <v>20</v>
      </c>
      <c r="B92" s="3783"/>
      <c r="C92" s="3090" t="s">
        <v>2690</v>
      </c>
      <c r="D92" s="3090" t="s">
        <v>2691</v>
      </c>
      <c r="E92" s="3116">
        <v>0.15</v>
      </c>
      <c r="F92" s="3116">
        <v>20</v>
      </c>
    </row>
    <row r="93" spans="1:6" ht="13.5">
      <c r="A93" s="3116">
        <v>21</v>
      </c>
      <c r="B93" s="3783"/>
      <c r="C93" s="3090" t="s">
        <v>2692</v>
      </c>
      <c r="D93" s="3090" t="s">
        <v>2693</v>
      </c>
      <c r="E93" s="3116">
        <v>0.15</v>
      </c>
      <c r="F93" s="3116">
        <v>20</v>
      </c>
    </row>
    <row r="94" spans="1:6" ht="13.5">
      <c r="A94" s="3116">
        <v>22</v>
      </c>
      <c r="B94" s="3783"/>
      <c r="C94" s="3090" t="s">
        <v>2694</v>
      </c>
      <c r="D94" s="3090" t="s">
        <v>2695</v>
      </c>
      <c r="E94" s="3116">
        <v>0.15</v>
      </c>
      <c r="F94" s="3116">
        <v>20</v>
      </c>
    </row>
    <row r="95" spans="1:6" ht="36">
      <c r="A95" s="3116">
        <v>23</v>
      </c>
      <c r="B95" s="3783"/>
      <c r="C95" s="3090" t="s">
        <v>2696</v>
      </c>
      <c r="D95" s="3090" t="s">
        <v>2697</v>
      </c>
      <c r="E95" s="3116">
        <v>0.15</v>
      </c>
      <c r="F95" s="3116">
        <v>20</v>
      </c>
    </row>
    <row r="96" spans="1:6" ht="13.5">
      <c r="A96" s="3116">
        <v>24</v>
      </c>
      <c r="B96" s="3783"/>
      <c r="C96" s="3090" t="s">
        <v>2698</v>
      </c>
      <c r="D96" s="3090" t="s">
        <v>2699</v>
      </c>
      <c r="E96" s="3116">
        <v>0.1</v>
      </c>
      <c r="F96" s="3116">
        <v>15</v>
      </c>
    </row>
    <row r="97" spans="1:6" ht="13.5">
      <c r="A97" s="3116">
        <v>25</v>
      </c>
      <c r="B97" s="3783"/>
      <c r="C97" s="3090" t="s">
        <v>2700</v>
      </c>
      <c r="D97" s="3090" t="s">
        <v>2701</v>
      </c>
      <c r="E97" s="3116">
        <v>0.1</v>
      </c>
      <c r="F97" s="3116">
        <v>15</v>
      </c>
    </row>
    <row r="98" spans="1:6" ht="24">
      <c r="A98" s="3116">
        <v>26</v>
      </c>
      <c r="B98" s="3783"/>
      <c r="C98" s="3090" t="s">
        <v>2702</v>
      </c>
      <c r="D98" s="3090" t="s">
        <v>2703</v>
      </c>
      <c r="E98" s="3116">
        <v>0.1</v>
      </c>
      <c r="F98" s="3116">
        <v>15</v>
      </c>
    </row>
    <row r="99" spans="1:6" ht="24">
      <c r="A99" s="3116">
        <v>27</v>
      </c>
      <c r="B99" s="3783"/>
      <c r="C99" s="3090" t="s">
        <v>2704</v>
      </c>
      <c r="D99" s="3090" t="s">
        <v>2705</v>
      </c>
      <c r="E99" s="3116">
        <v>0.1</v>
      </c>
      <c r="F99" s="3116">
        <v>15</v>
      </c>
    </row>
    <row r="100" spans="1:6" ht="13.5">
      <c r="A100" s="3116">
        <v>28</v>
      </c>
      <c r="B100" s="3783"/>
      <c r="C100" s="3090" t="s">
        <v>2706</v>
      </c>
      <c r="D100" s="3090" t="s">
        <v>2707</v>
      </c>
      <c r="E100" s="3116">
        <v>0.1</v>
      </c>
      <c r="F100" s="3116">
        <v>15</v>
      </c>
    </row>
    <row r="101" spans="1:6" ht="13.5">
      <c r="A101" s="3116">
        <v>29</v>
      </c>
      <c r="B101" s="3783"/>
      <c r="C101" s="3090" t="s">
        <v>2708</v>
      </c>
      <c r="D101" s="3090" t="s">
        <v>2709</v>
      </c>
      <c r="E101" s="3116">
        <v>0.1</v>
      </c>
      <c r="F101" s="3116">
        <v>15</v>
      </c>
    </row>
    <row r="102" spans="1:6" ht="13.5">
      <c r="A102" s="3116">
        <v>30</v>
      </c>
      <c r="B102" s="3783"/>
      <c r="C102" s="3090" t="s">
        <v>2710</v>
      </c>
      <c r="D102" s="3090" t="s">
        <v>2711</v>
      </c>
      <c r="E102" s="3116">
        <v>0.1</v>
      </c>
      <c r="F102" s="3116">
        <v>15</v>
      </c>
    </row>
    <row r="103" spans="1:6" ht="24">
      <c r="A103" s="3116">
        <v>31</v>
      </c>
      <c r="B103" s="3783"/>
      <c r="C103" s="3090" t="s">
        <v>2712</v>
      </c>
      <c r="D103" s="3090" t="s">
        <v>2713</v>
      </c>
      <c r="E103" s="3116">
        <v>0.1</v>
      </c>
      <c r="F103" s="3116">
        <v>15</v>
      </c>
    </row>
    <row r="104" spans="1:6" ht="24">
      <c r="A104" s="3116">
        <v>32</v>
      </c>
      <c r="B104" s="3783"/>
      <c r="C104" s="3090" t="s">
        <v>2714</v>
      </c>
      <c r="D104" s="3090" t="s">
        <v>2715</v>
      </c>
      <c r="E104" s="3116">
        <v>0.1</v>
      </c>
      <c r="F104" s="3116">
        <v>15</v>
      </c>
    </row>
    <row r="105" spans="1:6" ht="24">
      <c r="A105" s="3116">
        <v>33</v>
      </c>
      <c r="B105" s="3783"/>
      <c r="C105" s="3090" t="s">
        <v>2716</v>
      </c>
      <c r="D105" s="3090" t="s">
        <v>2717</v>
      </c>
      <c r="E105" s="3116">
        <v>0.1</v>
      </c>
      <c r="F105" s="3116">
        <v>15</v>
      </c>
    </row>
    <row r="106" spans="1:6" ht="24">
      <c r="A106" s="3116">
        <v>34</v>
      </c>
      <c r="B106" s="3792"/>
      <c r="C106" s="3090" t="s">
        <v>2718</v>
      </c>
      <c r="D106" s="3090" t="s">
        <v>2719</v>
      </c>
      <c r="E106" s="3116">
        <v>0.1</v>
      </c>
      <c r="F106" s="3116">
        <v>15</v>
      </c>
    </row>
    <row r="107" spans="1:6" ht="24">
      <c r="A107" s="3116">
        <v>35</v>
      </c>
      <c r="B107" s="3788" t="s">
        <v>2720</v>
      </c>
      <c r="C107" s="3116" t="s">
        <v>2721</v>
      </c>
      <c r="D107" s="3090" t="s">
        <v>2722</v>
      </c>
      <c r="E107" s="3116">
        <v>0.15</v>
      </c>
      <c r="F107" s="3116">
        <v>20</v>
      </c>
    </row>
    <row r="108" spans="1:6" ht="13.5">
      <c r="A108" s="3116">
        <v>36</v>
      </c>
      <c r="B108" s="3783"/>
      <c r="C108" s="3116" t="s">
        <v>2723</v>
      </c>
      <c r="D108" s="3090" t="s">
        <v>2724</v>
      </c>
      <c r="E108" s="3116">
        <v>0.15</v>
      </c>
      <c r="F108" s="3116">
        <v>20</v>
      </c>
    </row>
    <row r="109" spans="1:6" ht="13.5">
      <c r="A109" s="3116">
        <v>37</v>
      </c>
      <c r="B109" s="3783"/>
      <c r="C109" s="3116" t="s">
        <v>2725</v>
      </c>
      <c r="D109" s="3090" t="s">
        <v>2726</v>
      </c>
      <c r="E109" s="3116">
        <v>0.15</v>
      </c>
      <c r="F109" s="3116">
        <v>20</v>
      </c>
    </row>
    <row r="110" spans="1:6" ht="13.5">
      <c r="A110" s="3116">
        <v>38</v>
      </c>
      <c r="B110" s="3783"/>
      <c r="C110" s="3116" t="s">
        <v>2727</v>
      </c>
      <c r="D110" s="3090" t="s">
        <v>2728</v>
      </c>
      <c r="E110" s="3116">
        <v>0.1</v>
      </c>
      <c r="F110" s="3116">
        <v>15</v>
      </c>
    </row>
    <row r="111" spans="1:6" ht="24">
      <c r="A111" s="3116">
        <v>39</v>
      </c>
      <c r="B111" s="3783"/>
      <c r="C111" s="3116" t="s">
        <v>2729</v>
      </c>
      <c r="D111" s="3090" t="s">
        <v>2730</v>
      </c>
      <c r="E111" s="3116">
        <v>0.1</v>
      </c>
      <c r="F111" s="3116">
        <v>15</v>
      </c>
    </row>
    <row r="112" spans="1:6" ht="24">
      <c r="A112" s="3116">
        <v>40</v>
      </c>
      <c r="B112" s="3792"/>
      <c r="C112" s="3116" t="s">
        <v>2731</v>
      </c>
      <c r="D112" s="3090" t="s">
        <v>2732</v>
      </c>
      <c r="E112" s="3116">
        <v>0.1</v>
      </c>
      <c r="F112" s="3116">
        <v>15</v>
      </c>
    </row>
    <row r="113" spans="1:6" ht="13.5">
      <c r="A113" s="3116">
        <v>41</v>
      </c>
      <c r="B113" s="3793" t="s">
        <v>2733</v>
      </c>
      <c r="C113" s="3116" t="s">
        <v>2734</v>
      </c>
      <c r="D113" s="3090" t="s">
        <v>2735</v>
      </c>
      <c r="E113" s="3116">
        <v>0.1</v>
      </c>
      <c r="F113" s="3116">
        <v>15</v>
      </c>
    </row>
    <row r="114" spans="1:6" ht="13.5">
      <c r="A114" s="3116">
        <v>42</v>
      </c>
      <c r="B114" s="3793"/>
      <c r="C114" s="3116" t="s">
        <v>2736</v>
      </c>
      <c r="D114" s="3090" t="s">
        <v>2737</v>
      </c>
      <c r="E114" s="3116">
        <v>0.1</v>
      </c>
      <c r="F114" s="3116">
        <v>15</v>
      </c>
    </row>
    <row r="115" spans="1:6" ht="24">
      <c r="A115" s="3116">
        <v>43</v>
      </c>
      <c r="B115" s="3793"/>
      <c r="C115" s="3116" t="s">
        <v>2738</v>
      </c>
      <c r="D115" s="3090" t="s">
        <v>2739</v>
      </c>
      <c r="E115" s="3116">
        <v>0.1</v>
      </c>
      <c r="F115" s="3116">
        <v>15</v>
      </c>
    </row>
    <row r="116" spans="1:6" ht="13.5">
      <c r="A116" s="3116">
        <v>44</v>
      </c>
      <c r="B116" s="3788" t="s">
        <v>2740</v>
      </c>
      <c r="C116" s="3116" t="s">
        <v>2741</v>
      </c>
      <c r="D116" s="3090" t="s">
        <v>2742</v>
      </c>
      <c r="E116" s="3116">
        <v>0.1</v>
      </c>
      <c r="F116" s="3116">
        <v>15</v>
      </c>
    </row>
    <row r="117" spans="1:6" ht="24">
      <c r="A117" s="3116">
        <v>45</v>
      </c>
      <c r="B117" s="3792"/>
      <c r="C117" s="3090" t="s">
        <v>2743</v>
      </c>
      <c r="D117" s="3090" t="s">
        <v>2744</v>
      </c>
      <c r="E117" s="3116">
        <v>0.1</v>
      </c>
      <c r="F117" s="3116">
        <v>15</v>
      </c>
    </row>
    <row r="118" spans="1:6" ht="24">
      <c r="A118" s="3116">
        <v>46</v>
      </c>
      <c r="B118" s="3788" t="s">
        <v>2745</v>
      </c>
      <c r="C118" s="3116" t="s">
        <v>2746</v>
      </c>
      <c r="D118" s="3090" t="s">
        <v>2747</v>
      </c>
      <c r="E118" s="3116">
        <v>0.1</v>
      </c>
      <c r="F118" s="3116">
        <v>15</v>
      </c>
    </row>
    <row r="119" spans="1:6" ht="24">
      <c r="A119" s="3116">
        <v>47</v>
      </c>
      <c r="B119" s="3792"/>
      <c r="C119" s="3116" t="s">
        <v>2748</v>
      </c>
      <c r="D119" s="3090" t="s">
        <v>2749</v>
      </c>
      <c r="E119" s="3116">
        <v>0.1</v>
      </c>
      <c r="F119" s="3116">
        <v>15</v>
      </c>
    </row>
    <row r="120" spans="1:6" ht="13.5">
      <c r="A120" s="3116">
        <v>48</v>
      </c>
      <c r="B120" s="3788" t="s">
        <v>2750</v>
      </c>
      <c r="C120" s="3116" t="s">
        <v>2751</v>
      </c>
      <c r="D120" s="3090" t="s">
        <v>2752</v>
      </c>
      <c r="E120" s="3116">
        <v>0.1</v>
      </c>
      <c r="F120" s="3116">
        <v>15</v>
      </c>
    </row>
    <row r="121" spans="1:6" ht="13.5">
      <c r="A121" s="3116">
        <v>49</v>
      </c>
      <c r="B121" s="3792"/>
      <c r="C121" s="3116" t="s">
        <v>2753</v>
      </c>
      <c r="D121" s="3090" t="s">
        <v>2754</v>
      </c>
      <c r="E121" s="3116">
        <v>0.1</v>
      </c>
      <c r="F121" s="3116">
        <v>15</v>
      </c>
    </row>
    <row r="122" spans="1:6" ht="24">
      <c r="A122" s="3116">
        <v>50</v>
      </c>
      <c r="B122" s="3793" t="s">
        <v>2755</v>
      </c>
      <c r="C122" s="3116" t="s">
        <v>2756</v>
      </c>
      <c r="D122" s="3090" t="s">
        <v>2757</v>
      </c>
      <c r="E122" s="3116">
        <v>0.1</v>
      </c>
      <c r="F122" s="3116">
        <v>15</v>
      </c>
    </row>
    <row r="123" spans="1:6" ht="24">
      <c r="A123" s="3116">
        <v>51</v>
      </c>
      <c r="B123" s="3793"/>
      <c r="C123" s="3116" t="s">
        <v>2758</v>
      </c>
      <c r="D123" s="3090" t="s">
        <v>2759</v>
      </c>
      <c r="E123" s="3116">
        <v>0.1</v>
      </c>
      <c r="F123" s="3116">
        <v>15</v>
      </c>
    </row>
    <row r="124" spans="1:6" ht="24">
      <c r="A124" s="3116">
        <v>52</v>
      </c>
      <c r="B124" s="3793" t="s">
        <v>2760</v>
      </c>
      <c r="C124" s="3116" t="s">
        <v>2761</v>
      </c>
      <c r="D124" s="3090" t="s">
        <v>2762</v>
      </c>
      <c r="E124" s="3116">
        <v>0.1</v>
      </c>
      <c r="F124" s="3116">
        <v>15</v>
      </c>
    </row>
    <row r="125" spans="1:6" ht="24">
      <c r="A125" s="3116">
        <v>53</v>
      </c>
      <c r="B125" s="3793"/>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93" t="s">
        <v>2768</v>
      </c>
      <c r="C127" s="3116" t="s">
        <v>2769</v>
      </c>
      <c r="D127" s="3090" t="s">
        <v>2770</v>
      </c>
      <c r="E127" s="3116">
        <v>0.1</v>
      </c>
      <c r="F127" s="3116">
        <v>15</v>
      </c>
    </row>
    <row r="128" spans="1:6" ht="13.5">
      <c r="A128" s="3116">
        <v>56</v>
      </c>
      <c r="B128" s="3793"/>
      <c r="C128" s="3116" t="s">
        <v>2771</v>
      </c>
      <c r="D128" s="3090" t="s">
        <v>2772</v>
      </c>
      <c r="E128" s="3116">
        <v>0.1</v>
      </c>
      <c r="F128" s="3116">
        <v>15</v>
      </c>
    </row>
    <row r="129" spans="1:6" ht="24">
      <c r="A129" s="3116">
        <v>57</v>
      </c>
      <c r="B129" s="3793"/>
      <c r="C129" s="3116" t="s">
        <v>2773</v>
      </c>
      <c r="D129" s="3090" t="s">
        <v>2774</v>
      </c>
      <c r="E129" s="3116">
        <v>0.1</v>
      </c>
      <c r="F129" s="3116">
        <v>15</v>
      </c>
    </row>
    <row r="130" spans="1:6" ht="24">
      <c r="A130" s="3116">
        <v>58</v>
      </c>
      <c r="B130" s="3793" t="s">
        <v>2775</v>
      </c>
      <c r="C130" s="3116" t="s">
        <v>2776</v>
      </c>
      <c r="D130" s="3090" t="s">
        <v>2777</v>
      </c>
      <c r="E130" s="3116">
        <v>0.1</v>
      </c>
      <c r="F130" s="3116">
        <v>15</v>
      </c>
    </row>
    <row r="131" spans="1:6" ht="13.5">
      <c r="A131" s="3116">
        <v>59</v>
      </c>
      <c r="B131" s="3793"/>
      <c r="C131" s="3116" t="s">
        <v>2778</v>
      </c>
      <c r="D131" s="3090" t="s">
        <v>2779</v>
      </c>
      <c r="E131" s="3116">
        <v>0.1</v>
      </c>
      <c r="F131" s="3116">
        <v>15</v>
      </c>
    </row>
    <row r="132" spans="1:6" ht="13.5">
      <c r="A132" s="3116">
        <v>60</v>
      </c>
      <c r="B132" s="3788" t="s">
        <v>2780</v>
      </c>
      <c r="C132" s="3116" t="s">
        <v>2781</v>
      </c>
      <c r="D132" s="3090" t="s">
        <v>2782</v>
      </c>
      <c r="E132" s="3116">
        <v>0.1</v>
      </c>
      <c r="F132" s="3116">
        <v>15</v>
      </c>
    </row>
    <row r="133" spans="1:6" ht="13.5">
      <c r="A133" s="3116">
        <v>61</v>
      </c>
      <c r="B133" s="3792"/>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93" t="s">
        <v>2788</v>
      </c>
      <c r="C135" s="3116" t="s">
        <v>2789</v>
      </c>
      <c r="D135" s="3090" t="s">
        <v>2790</v>
      </c>
      <c r="E135" s="3116">
        <v>0.1</v>
      </c>
      <c r="F135" s="3116">
        <v>15</v>
      </c>
    </row>
    <row r="136" spans="1:6" ht="13.5">
      <c r="A136" s="3116">
        <v>64</v>
      </c>
      <c r="B136" s="3793"/>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0.94220000000000004</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0.89239999999999997</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76048</v>
      </c>
      <c r="C2" s="2" t="s">
        <v>106</v>
      </c>
      <c r="D2" s="199"/>
      <c r="E2" s="199"/>
      <c r="F2" s="199"/>
      <c r="G2" s="199"/>
    </row>
    <row r="3" spans="1:7" s="200" customFormat="1" ht="18" customHeight="1" thickBot="1">
      <c r="A3" s="203" t="s">
        <v>58</v>
      </c>
      <c r="B3" s="204">
        <f ca="1">ROUND(B2*10000/'数据-汇总表'!E3,0)</f>
        <v>11306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1345</v>
      </c>
      <c r="D10" s="845">
        <f>'数据-汇总表'!E6</f>
        <v>67265.709999999992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1345</v>
      </c>
      <c r="D19" s="849">
        <f>'数据-汇总表'!E3</f>
        <v>67265.709999999992</v>
      </c>
      <c r="E19" s="211">
        <f>'数据-取费表'!B31</f>
        <v>200</v>
      </c>
      <c r="F19" s="231"/>
      <c r="G19" s="1" t="s">
        <v>436</v>
      </c>
    </row>
    <row r="20" spans="1:7" s="214" customFormat="1" ht="13.5" customHeight="1">
      <c r="A20" s="777" t="s">
        <v>419</v>
      </c>
      <c r="B20" s="210" t="s">
        <v>77</v>
      </c>
      <c r="C20" s="232">
        <f>ROUND((C5+C19)*F20,0)</f>
        <v>439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2446</v>
      </c>
      <c r="D22" s="235">
        <f ca="1">C26</f>
        <v>1.1000000000000001E-3</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148</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4255</v>
      </c>
      <c r="D27" s="235">
        <f>C29</f>
        <v>3.8E-3</v>
      </c>
      <c r="E27" s="236" t="s">
        <v>99</v>
      </c>
      <c r="F27" s="246">
        <f>'数据-取费表'!Q16</f>
        <v>0.19</v>
      </c>
      <c r="G27" s="247" t="s">
        <v>431</v>
      </c>
    </row>
    <row r="28" spans="1:7" s="214" customFormat="1" ht="13.5" customHeight="1">
      <c r="A28" s="780" t="s">
        <v>349</v>
      </c>
      <c r="B28" s="248" t="s">
        <v>424</v>
      </c>
      <c r="C28" s="249">
        <f>ROUND((C5+C19+C20)*F27*'数据-取费表'!B21/'数据-取费表'!B20,0)</f>
        <v>4255</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31564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40404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36675</v>
      </c>
      <c r="D34" s="217"/>
      <c r="E34" s="220"/>
      <c r="F34" s="257">
        <f>IF('数据-取费表'!B24=0,1,'数据-取费表'!N16)</f>
        <v>1</v>
      </c>
      <c r="G34" s="219" t="s">
        <v>89</v>
      </c>
    </row>
    <row r="35" spans="1:7" ht="13.5" customHeight="1">
      <c r="A35" s="780" t="s">
        <v>351</v>
      </c>
      <c r="B35" s="215" t="s">
        <v>33</v>
      </c>
      <c r="C35" s="220">
        <f>ROUND(C34*F35,0)</f>
        <v>1834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1345</v>
      </c>
      <c r="D37" s="217">
        <f>'数据-汇总表'!E3</f>
        <v>67265.709999999992</v>
      </c>
      <c r="E37" s="249">
        <f>'数据-取费表'!B35</f>
        <v>200</v>
      </c>
      <c r="F37" s="259"/>
      <c r="G37" s="261" t="s">
        <v>92</v>
      </c>
    </row>
    <row r="38" spans="1:7" ht="13.5" customHeight="1">
      <c r="A38" s="780" t="s">
        <v>354</v>
      </c>
      <c r="B38" s="215" t="s">
        <v>36</v>
      </c>
      <c r="C38" s="220">
        <f>ROUND(C34*F38,0)</f>
        <v>550</v>
      </c>
      <c r="D38" s="220"/>
      <c r="E38" s="220"/>
      <c r="F38" s="259">
        <f>'数据-取费表'!B36</f>
        <v>1.4999999999999999E-2</v>
      </c>
      <c r="G38" s="219" t="s">
        <v>90</v>
      </c>
    </row>
    <row r="39" spans="1:7" s="214" customFormat="1" ht="13.5" customHeight="1">
      <c r="A39" s="777" t="s">
        <v>338</v>
      </c>
      <c r="B39" s="210" t="s">
        <v>77</v>
      </c>
      <c r="C39" s="232">
        <f>ROUND(C33*F20,0)</f>
        <v>808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2213</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2170</v>
      </c>
      <c r="D42" s="238"/>
      <c r="E42" s="238"/>
      <c r="F42" s="239"/>
      <c r="G42" s="3724" t="s">
        <v>94</v>
      </c>
    </row>
    <row r="43" spans="1:7" ht="13.5" customHeight="1">
      <c r="A43" s="780" t="s">
        <v>347</v>
      </c>
      <c r="B43" s="215" t="s">
        <v>426</v>
      </c>
      <c r="C43" s="238">
        <f ca="1">ROUND(IF('数据-取费表'!B22&lt;=1,C39*F22*'数据-取费表'!B21/2,C39*(POWER((1+F22),'数据-取费表'!B21/2)-1)),0)</f>
        <v>43</v>
      </c>
      <c r="D43" s="238"/>
      <c r="E43" s="238"/>
      <c r="F43" s="239"/>
      <c r="G43" s="3725"/>
    </row>
    <row r="44" spans="1:7" ht="13.5" customHeight="1">
      <c r="A44" s="780" t="s">
        <v>348</v>
      </c>
      <c r="B44" s="215" t="s">
        <v>428</v>
      </c>
      <c r="C44" s="238">
        <f ca="1">ROUND(IF('数据-取费表'!B22&lt;=1,C40*F22*'数据-取费表'!B21/2,C40*(POWER((1+F22),'数据-取费表'!B21/2)-1)),4)</f>
        <v>1.1000000000000001E-3</v>
      </c>
      <c r="D44" s="238"/>
      <c r="E44" s="238"/>
      <c r="F44" s="239"/>
      <c r="G44" s="3726"/>
    </row>
    <row r="45" spans="1:7" s="214" customFormat="1" ht="13.5" customHeight="1">
      <c r="A45" s="777" t="s">
        <v>341</v>
      </c>
      <c r="B45" s="244" t="s">
        <v>85</v>
      </c>
      <c r="C45" s="245">
        <f>C46</f>
        <v>7830</v>
      </c>
      <c r="D45" s="235">
        <f>C47</f>
        <v>3.8E-3</v>
      </c>
      <c r="E45" s="236" t="s">
        <v>102</v>
      </c>
      <c r="F45" s="246"/>
      <c r="G45" s="247" t="s">
        <v>434</v>
      </c>
    </row>
    <row r="46" spans="1:7" s="214" customFormat="1" ht="13.5" customHeight="1">
      <c r="A46" s="780" t="s">
        <v>349</v>
      </c>
      <c r="B46" s="248" t="s">
        <v>427</v>
      </c>
      <c r="C46" s="249">
        <f>ROUND((C33+C39)*F27,0)</f>
        <v>7830</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55605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44484</v>
      </c>
      <c r="D51" s="232"/>
      <c r="E51" s="232"/>
      <c r="F51" s="264"/>
      <c r="G51" s="234" t="s">
        <v>37</v>
      </c>
    </row>
    <row r="52" spans="1:7" s="208" customFormat="1" ht="16.5" thickBot="1">
      <c r="A52" s="265" t="s">
        <v>38</v>
      </c>
      <c r="B52" s="266"/>
      <c r="C52" s="267">
        <f ca="1">C31+C51</f>
        <v>76048</v>
      </c>
      <c r="D52" s="266"/>
      <c r="E52" s="266"/>
      <c r="F52" s="266"/>
      <c r="G52" s="268"/>
    </row>
    <row r="55" spans="1:7" ht="15">
      <c r="B55" s="270" t="s">
        <v>39</v>
      </c>
      <c r="C55" s="271"/>
    </row>
    <row r="56" spans="1:7">
      <c r="B56" s="273" t="s">
        <v>40</v>
      </c>
      <c r="C56" s="274">
        <f ca="1">ROUND(C51/C52,3)</f>
        <v>0.58499999999999996</v>
      </c>
    </row>
    <row r="57" spans="1:7">
      <c r="B57" s="273" t="s">
        <v>41</v>
      </c>
      <c r="C57" s="275">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6" t="s">
        <v>2840</v>
      </c>
      <c r="B1" s="3796"/>
      <c r="C1" s="3796"/>
      <c r="D1" s="3796"/>
      <c r="E1" s="3796"/>
      <c r="F1" s="3796"/>
      <c r="G1" s="3797"/>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94" t="s">
        <v>2867</v>
      </c>
      <c r="B3" s="3228"/>
      <c r="C3" s="3229" t="s">
        <v>2810</v>
      </c>
      <c r="D3" s="3229" t="s">
        <v>2868</v>
      </c>
      <c r="E3" s="3229" t="s">
        <v>2812</v>
      </c>
      <c r="F3" s="3229" t="s">
        <v>2869</v>
      </c>
      <c r="G3" s="3229" t="s">
        <v>2630</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95"/>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8" t="s">
        <v>3182</v>
      </c>
      <c r="B1" s="3798"/>
    </row>
    <row r="2" spans="1:7" ht="14.25" thickBot="1">
      <c r="A2" s="3253"/>
      <c r="B2" s="3253"/>
    </row>
    <row r="3" spans="1:7" ht="14.25" thickBot="1">
      <c r="A3" s="3253"/>
      <c r="B3" s="3253"/>
      <c r="C3" s="3254" t="s">
        <v>2810</v>
      </c>
      <c r="D3" s="3254" t="s">
        <v>2868</v>
      </c>
      <c r="E3" s="3254" t="s">
        <v>2812</v>
      </c>
      <c r="F3" s="3254" t="s">
        <v>2869</v>
      </c>
      <c r="G3" s="3254" t="s">
        <v>2630</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9" t="s">
        <v>3233</v>
      </c>
      <c r="B1" s="3799"/>
      <c r="C1" s="3799"/>
      <c r="D1" s="3799"/>
      <c r="E1" s="3799"/>
      <c r="F1" s="3800"/>
    </row>
    <row r="2" spans="1:6">
      <c r="A2" s="3289" t="s">
        <v>3234</v>
      </c>
      <c r="B2" s="3290"/>
      <c r="C2" s="3290"/>
      <c r="D2" s="3290"/>
      <c r="E2" s="3290"/>
      <c r="F2" s="3290"/>
    </row>
    <row r="3" spans="1:6">
      <c r="A3" s="3289" t="s">
        <v>3235</v>
      </c>
      <c r="B3" s="3290"/>
      <c r="C3" s="3290"/>
      <c r="D3" s="3290"/>
      <c r="E3" s="3290"/>
      <c r="F3" s="3291" t="s">
        <v>3236</v>
      </c>
    </row>
    <row r="4" spans="1:6">
      <c r="A4" s="3292" t="s">
        <v>667</v>
      </c>
      <c r="B4" s="3292" t="s">
        <v>668</v>
      </c>
      <c r="C4" s="3292" t="s">
        <v>21</v>
      </c>
      <c r="D4" s="3292" t="s">
        <v>669</v>
      </c>
      <c r="E4" s="3292" t="s">
        <v>3</v>
      </c>
      <c r="F4" s="3292" t="s">
        <v>3237</v>
      </c>
    </row>
    <row r="5" spans="1:6">
      <c r="A5" s="3293" t="s">
        <v>670</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9">
        <f>基准地价修正!G23</f>
        <v>45142</v>
      </c>
      <c r="B1" s="3208" t="s">
        <v>2839</v>
      </c>
      <c r="C1" s="3209"/>
      <c r="D1" s="3209"/>
      <c r="E1" s="3209"/>
      <c r="F1" s="3209"/>
      <c r="G1" s="3209"/>
      <c r="H1" s="3209"/>
      <c r="I1" s="3209"/>
      <c r="J1" s="3163"/>
      <c r="K1" s="3209" t="s">
        <v>454</v>
      </c>
      <c r="L1" s="3209"/>
      <c r="M1" s="3209"/>
      <c r="N1" s="3209"/>
      <c r="O1" s="3209"/>
      <c r="P1" s="3209"/>
      <c r="Q1" s="3163"/>
      <c r="R1" s="3801" t="s">
        <v>456</v>
      </c>
      <c r="S1" s="3802"/>
      <c r="T1" s="3802"/>
      <c r="U1" s="3802"/>
      <c r="V1" s="3802"/>
      <c r="W1" s="3802"/>
      <c r="X1" s="3163"/>
      <c r="Y1" s="3801" t="s">
        <v>457</v>
      </c>
      <c r="Z1" s="3802"/>
      <c r="AA1" s="3802"/>
      <c r="AB1" s="3802"/>
      <c r="AC1" s="3802"/>
      <c r="AD1" s="3802"/>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3369</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3370</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3374</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3373</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3371</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3365</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3356</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2819</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2820</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2821</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2822</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2823</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3367</v>
      </c>
    </row>
    <row r="19" spans="1:30" s="3007" customFormat="1">
      <c r="I19" s="3206" t="s">
        <v>2824</v>
      </c>
    </row>
    <row r="20" spans="1:30" s="3007" customFormat="1"/>
    <row r="21" spans="1:30" s="3207" customFormat="1" ht="12.75">
      <c r="B21" s="3208" t="s">
        <v>2825</v>
      </c>
      <c r="C21" s="3209"/>
      <c r="D21" s="3209"/>
      <c r="E21" s="3209"/>
      <c r="F21" s="3209"/>
      <c r="G21" s="3209"/>
      <c r="H21" s="3209"/>
      <c r="I21" s="3209"/>
      <c r="J21" s="3163"/>
      <c r="K21" s="3209" t="s">
        <v>2826</v>
      </c>
      <c r="L21" s="3209"/>
      <c r="M21" s="3209"/>
      <c r="N21" s="3209"/>
      <c r="O21" s="3209"/>
      <c r="P21" s="3209"/>
      <c r="Q21" s="3163"/>
      <c r="R21" s="3801" t="s">
        <v>2827</v>
      </c>
      <c r="S21" s="3802"/>
      <c r="T21" s="3802"/>
      <c r="U21" s="3802"/>
      <c r="V21" s="3802"/>
      <c r="W21" s="3802"/>
      <c r="X21" s="3163"/>
      <c r="Y21" s="3801" t="s">
        <v>2828</v>
      </c>
      <c r="Z21" s="3802"/>
      <c r="AA21" s="3802"/>
      <c r="AB21" s="3802"/>
      <c r="AC21" s="3802"/>
      <c r="AD21" s="3802"/>
    </row>
    <row r="22" spans="1:30" s="3141" customFormat="1" ht="14.25" thickBot="1">
      <c r="B22" s="3142"/>
      <c r="C22" s="3143"/>
      <c r="D22" s="3144" t="s">
        <v>2829</v>
      </c>
      <c r="E22" s="3145" t="s">
        <v>2830</v>
      </c>
      <c r="F22" s="3145" t="s">
        <v>2831</v>
      </c>
      <c r="G22" s="3145" t="s">
        <v>2832</v>
      </c>
      <c r="H22" s="3145"/>
      <c r="I22" s="3145" t="s">
        <v>2833</v>
      </c>
      <c r="J22" s="3146"/>
      <c r="K22" s="3144" t="s">
        <v>2829</v>
      </c>
      <c r="L22" s="3145" t="s">
        <v>2830</v>
      </c>
      <c r="M22" s="3145" t="s">
        <v>2831</v>
      </c>
      <c r="N22" s="3145" t="s">
        <v>2832</v>
      </c>
      <c r="O22" s="3145"/>
      <c r="P22" s="3145" t="s">
        <v>2833</v>
      </c>
      <c r="Q22" s="3146"/>
      <c r="R22" s="3144" t="s">
        <v>2829</v>
      </c>
      <c r="S22" s="3145" t="s">
        <v>2830</v>
      </c>
      <c r="T22" s="3145" t="s">
        <v>2831</v>
      </c>
      <c r="U22" s="3145" t="s">
        <v>2832</v>
      </c>
      <c r="V22" s="3145"/>
      <c r="W22" s="3145" t="s">
        <v>2833</v>
      </c>
      <c r="X22" s="3146"/>
      <c r="Y22" s="3144" t="s">
        <v>2829</v>
      </c>
      <c r="Z22" s="3145" t="s">
        <v>2830</v>
      </c>
      <c r="AA22" s="3145" t="s">
        <v>2831</v>
      </c>
      <c r="AB22" s="3145" t="s">
        <v>2832</v>
      </c>
      <c r="AC22" s="3145"/>
      <c r="AD22" s="3145" t="s">
        <v>2833</v>
      </c>
    </row>
    <row r="23" spans="1:30" s="3159" customFormat="1" ht="12.75">
      <c r="A23" s="3147" t="s">
        <v>2834</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3369</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3370</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3372</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3373</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3371</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3366</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3356</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2835</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2836</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2837</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2838</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2823</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4.25" thickBot="1">
      <c r="B2" s="2173" t="s">
        <v>458</v>
      </c>
      <c r="C2" s="2173" t="s">
        <v>459</v>
      </c>
      <c r="D2" s="2174" t="s">
        <v>460</v>
      </c>
      <c r="E2" s="2174" t="s">
        <v>461</v>
      </c>
      <c r="F2" s="2173" t="s">
        <v>462</v>
      </c>
      <c r="G2" s="2175"/>
      <c r="I2" s="2173" t="s">
        <v>458</v>
      </c>
      <c r="J2" s="2174" t="s">
        <v>671</v>
      </c>
      <c r="K2" s="2174" t="s">
        <v>308</v>
      </c>
      <c r="L2" s="2173" t="s">
        <v>462</v>
      </c>
      <c r="N2" s="2173" t="s">
        <v>458</v>
      </c>
      <c r="O2" s="2174" t="s">
        <v>671</v>
      </c>
      <c r="P2" s="2174" t="s">
        <v>308</v>
      </c>
      <c r="Q2" s="2173" t="s">
        <v>462</v>
      </c>
      <c r="S2" s="2173" t="s">
        <v>458</v>
      </c>
      <c r="T2" s="2174" t="s">
        <v>671</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2109</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2110</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2125</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2123</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2122</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2121</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2119</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2118</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2120</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2116</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2115</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2108</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2106</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2107</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672</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923</v>
      </c>
      <c r="B2" s="3487" t="s">
        <v>924</v>
      </c>
      <c r="C2" s="3487" t="s">
        <v>925</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8"/>
      <c r="B3" s="3488"/>
      <c r="C3" s="3488"/>
      <c r="D3" s="854" t="s">
        <v>920</v>
      </c>
      <c r="E3" s="854" t="s">
        <v>926</v>
      </c>
      <c r="F3" s="854" t="s">
        <v>920</v>
      </c>
      <c r="G3" s="854" t="s">
        <v>921</v>
      </c>
      <c r="H3" s="854" t="s">
        <v>920</v>
      </c>
      <c r="I3" s="854" t="s">
        <v>921</v>
      </c>
    </row>
    <row r="4" spans="1:9" ht="15">
      <c r="A4" s="1505" t="str">
        <f>项目基本情况!S2</f>
        <v>北京市房地产</v>
      </c>
      <c r="B4" s="854">
        <f>项目基本情况!C17</f>
        <v>67265.709999999992</v>
      </c>
      <c r="C4" s="854">
        <f>项目基本情况!C18</f>
        <v>9623.18</v>
      </c>
      <c r="D4" s="854" t="e">
        <f ca="1">结果表!D118</f>
        <v>#REF!</v>
      </c>
      <c r="E4" s="854" t="e">
        <f ca="1">结果表!E118</f>
        <v>#REF!</v>
      </c>
      <c r="F4" s="854" t="e">
        <f ca="1">结果表!F118</f>
        <v>#REF!</v>
      </c>
      <c r="G4" s="854" t="e">
        <f ca="1">结果表!G118</f>
        <v>#REF!</v>
      </c>
      <c r="H4" s="854">
        <f ca="1">结果表!H118</f>
        <v>286836</v>
      </c>
      <c r="I4" s="854">
        <f ca="1">结果表!I118</f>
        <v>60942</v>
      </c>
    </row>
    <row r="5" spans="1:9" ht="30" customHeight="1">
      <c r="A5" s="3488" t="s">
        <v>922</v>
      </c>
      <c r="B5" s="3488"/>
      <c r="C5" s="3488"/>
      <c r="D5" s="3488" t="e">
        <f ca="1">结果表!D119</f>
        <v>#REF!</v>
      </c>
      <c r="E5" s="3488"/>
      <c r="F5" s="3488" t="e">
        <f ca="1">结果表!F119</f>
        <v>#REF!</v>
      </c>
      <c r="G5" s="3488"/>
      <c r="H5" s="3488" t="str">
        <f ca="1">结果表!H119</f>
        <v>贰拾捌亿陆仟捌佰叁拾陆万元整</v>
      </c>
      <c r="I5" s="3488"/>
    </row>
    <row r="6" spans="1:9" ht="15.75">
      <c r="A6" s="3489" t="str">
        <f>结果表!A120</f>
        <v>估价师知悉的法定优先受偿款</v>
      </c>
      <c r="B6" s="3489"/>
      <c r="C6" s="3489"/>
      <c r="D6" s="3489">
        <f>结果表!D120</f>
        <v>0</v>
      </c>
      <c r="E6" s="3489"/>
      <c r="F6" s="3489"/>
      <c r="G6" s="3489"/>
      <c r="H6" s="3489"/>
      <c r="I6" s="3489"/>
    </row>
    <row r="7" spans="1:9" ht="15">
      <c r="A7" s="3488" t="s">
        <v>922</v>
      </c>
      <c r="B7" s="3488"/>
      <c r="C7" s="3488"/>
      <c r="D7" s="3490" t="str">
        <f>结果表!D121</f>
        <v>零元整</v>
      </c>
      <c r="E7" s="3491"/>
      <c r="F7" s="3491"/>
      <c r="G7" s="3491"/>
      <c r="H7" s="3491"/>
      <c r="I7" s="3492"/>
    </row>
    <row r="8" spans="1:9" ht="15.75">
      <c r="A8" s="3489" t="str">
        <f>结果表!A122</f>
        <v>房地产抵押价值</v>
      </c>
      <c r="B8" s="3489"/>
      <c r="C8" s="3489"/>
      <c r="D8" s="3489">
        <f ca="1">结果表!D122</f>
        <v>286836</v>
      </c>
      <c r="E8" s="3489"/>
      <c r="F8" s="3489"/>
      <c r="G8" s="3489"/>
      <c r="H8" s="3489"/>
      <c r="I8" s="3489"/>
    </row>
    <row r="9" spans="1:9" ht="15">
      <c r="A9" s="3488" t="s">
        <v>922</v>
      </c>
      <c r="B9" s="3488"/>
      <c r="C9" s="3488"/>
      <c r="D9" s="3488" t="str">
        <f ca="1">结果表!D123</f>
        <v>贰拾捌亿陆仟捌佰叁拾陆万元整</v>
      </c>
      <c r="E9" s="3488"/>
      <c r="F9" s="3488"/>
      <c r="G9" s="3488"/>
      <c r="H9" s="3488"/>
      <c r="I9" s="3488"/>
    </row>
    <row r="10" spans="1:9" ht="15.75">
      <c r="A10" s="3489" t="str">
        <f>结果表!A124</f>
        <v/>
      </c>
      <c r="B10" s="3489"/>
      <c r="C10" s="3489"/>
      <c r="D10" s="3489" t="str">
        <f>结果表!D124</f>
        <v>——</v>
      </c>
      <c r="E10" s="3489"/>
      <c r="F10" s="3489"/>
      <c r="G10" s="3489"/>
      <c r="H10" s="3489"/>
      <c r="I10" s="3489"/>
    </row>
    <row r="11" spans="1:9" ht="15">
      <c r="A11" s="3488" t="s">
        <v>922</v>
      </c>
      <c r="B11" s="3488"/>
      <c r="C11" s="3488"/>
      <c r="D11" s="3488" t="e">
        <f>结果表!D125</f>
        <v>#VALUE!</v>
      </c>
      <c r="E11" s="3488"/>
      <c r="F11" s="3488"/>
      <c r="G11" s="3488"/>
      <c r="H11" s="3488"/>
      <c r="I11" s="3488"/>
    </row>
    <row r="12" spans="1:9" ht="15.75">
      <c r="A12" s="3489" t="str">
        <f>结果表!A126</f>
        <v/>
      </c>
      <c r="B12" s="3489"/>
      <c r="C12" s="3489"/>
      <c r="D12" s="3489" t="str">
        <f>结果表!D126</f>
        <v>——</v>
      </c>
      <c r="E12" s="3489"/>
      <c r="F12" s="3489"/>
      <c r="G12" s="3489"/>
      <c r="H12" s="3489"/>
      <c r="I12" s="3489"/>
    </row>
    <row r="13" spans="1:9" ht="15.75" thickBot="1">
      <c r="A13" s="3493" t="s">
        <v>922</v>
      </c>
      <c r="B13" s="3493"/>
      <c r="C13" s="3493"/>
      <c r="D13" s="3493" t="e">
        <f>结果表!D127</f>
        <v>#VALUE!</v>
      </c>
      <c r="E13" s="3493"/>
      <c r="F13" s="3493"/>
      <c r="G13" s="3493"/>
      <c r="H13" s="3493"/>
      <c r="I13" s="3493"/>
    </row>
    <row r="14" spans="1:9" ht="15" thickTop="1">
      <c r="A14" s="3494" t="s">
        <v>927</v>
      </c>
      <c r="B14" s="3494"/>
      <c r="C14" s="3494"/>
      <c r="D14" s="3494"/>
      <c r="E14" s="3494"/>
      <c r="F14" s="3494"/>
      <c r="G14" s="3494"/>
      <c r="H14" s="3494"/>
      <c r="I14" s="3494"/>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45142</v>
      </c>
      <c r="D1" s="1302" t="s">
        <v>603</v>
      </c>
      <c r="E1" s="1297">
        <f>'数据-取费表'!B22</f>
        <v>3</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45097</v>
      </c>
      <c r="D13" s="2820">
        <v>3.55</v>
      </c>
      <c r="E13" s="2820">
        <f>D13</f>
        <v>3.55</v>
      </c>
      <c r="F13" s="2820">
        <f>D13</f>
        <v>3.55</v>
      </c>
      <c r="G13" s="2820">
        <f>D13</f>
        <v>3.55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44795</v>
      </c>
      <c r="D14" s="2815">
        <v>3.65</v>
      </c>
      <c r="E14" s="2815">
        <v>3.65</v>
      </c>
      <c r="F14" s="2815">
        <v>3.65</v>
      </c>
      <c r="G14" s="2815">
        <v>3.65</v>
      </c>
      <c r="H14" s="2815">
        <v>4.3</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44701</v>
      </c>
      <c r="D15" s="2815">
        <v>3.7</v>
      </c>
      <c r="E15" s="2815">
        <f>D15</f>
        <v>3.7</v>
      </c>
      <c r="F15" s="2815">
        <f>D15</f>
        <v>3.7</v>
      </c>
      <c r="G15" s="2815">
        <f>D15</f>
        <v>3.7</v>
      </c>
      <c r="H15" s="2815">
        <v>4.45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44581</v>
      </c>
      <c r="D16" s="2815">
        <v>3.7</v>
      </c>
      <c r="E16" s="2815">
        <f>D16</f>
        <v>3.7</v>
      </c>
      <c r="F16" s="2815">
        <f>D16</f>
        <v>3.7</v>
      </c>
      <c r="G16" s="2815">
        <f>D16</f>
        <v>3.7</v>
      </c>
      <c r="H16" s="2815">
        <v>4.5999999999999996</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44550</v>
      </c>
      <c r="D17" s="2815">
        <v>3.8</v>
      </c>
      <c r="E17" s="2815">
        <f>D17</f>
        <v>3.8</v>
      </c>
      <c r="F17" s="2815">
        <f>D17</f>
        <v>3.8</v>
      </c>
      <c r="G17" s="2815">
        <f>D17</f>
        <v>3.8</v>
      </c>
      <c r="H17" s="2815">
        <v>4.6500000000000004</v>
      </c>
      <c r="I17" s="2815"/>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43881</v>
      </c>
      <c r="D19" s="2815">
        <v>4.05</v>
      </c>
      <c r="E19" s="2815">
        <v>4.05</v>
      </c>
      <c r="F19" s="2815">
        <v>4.05</v>
      </c>
      <c r="G19" s="2815">
        <v>4.05</v>
      </c>
      <c r="H19" s="2815">
        <v>4.75</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43789</v>
      </c>
      <c r="D20" s="2815">
        <v>4.1500000000000004</v>
      </c>
      <c r="E20" s="2815">
        <v>4.1500000000000004</v>
      </c>
      <c r="F20" s="2815">
        <v>4.1500000000000004</v>
      </c>
      <c r="G20" s="2815">
        <v>4.1500000000000004</v>
      </c>
      <c r="H20" s="2815">
        <v>4.8</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43728</v>
      </c>
      <c r="D21" s="2815">
        <v>4.2</v>
      </c>
      <c r="E21" s="2815">
        <v>4.2</v>
      </c>
      <c r="F21" s="2815">
        <v>4.2</v>
      </c>
      <c r="G21" s="2815">
        <v>4.2</v>
      </c>
      <c r="H21" s="2815">
        <v>4.8499999999999996</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t="s">
        <v>2308</v>
      </c>
      <c r="C22" s="2817">
        <v>43697</v>
      </c>
      <c r="D22" s="2818">
        <v>4.25</v>
      </c>
      <c r="E22" s="2818">
        <v>4.25</v>
      </c>
      <c r="F22" s="2818">
        <v>4.25</v>
      </c>
      <c r="G22" s="2818">
        <v>4.25</v>
      </c>
      <c r="H22" s="2818">
        <v>4.8499999999999996</v>
      </c>
      <c r="I22" s="2818"/>
      <c r="J22" s="2818"/>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22"/>
      <c r="C23" s="2823">
        <v>42301</v>
      </c>
      <c r="D23" s="2824">
        <v>4.3499999999999996</v>
      </c>
      <c r="E23" s="2824">
        <v>4.3499999999999996</v>
      </c>
      <c r="F23" s="2824">
        <v>4.75</v>
      </c>
      <c r="G23" s="2824">
        <v>4.75</v>
      </c>
      <c r="H23" s="2824">
        <v>4.9000000000000004</v>
      </c>
      <c r="I23" s="2824"/>
      <c r="J23" s="282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944</v>
      </c>
      <c r="B1" s="3495"/>
      <c r="C1" s="3495"/>
      <c r="D1" s="3495"/>
    </row>
    <row r="2" spans="1:4" ht="18">
      <c r="A2" s="3496" t="s">
        <v>928</v>
      </c>
      <c r="B2" s="3496"/>
      <c r="C2" s="3496"/>
      <c r="D2" s="3496"/>
    </row>
    <row r="3" spans="1:4" ht="18.75">
      <c r="A3" s="1509" t="s">
        <v>929</v>
      </c>
      <c r="B3" s="1509" t="s">
        <v>930</v>
      </c>
      <c r="C3" s="1509" t="s">
        <v>931</v>
      </c>
      <c r="D3" s="1509" t="s">
        <v>932</v>
      </c>
    </row>
    <row r="4" spans="1:4" ht="56.25" customHeight="1">
      <c r="A4" s="1510">
        <f>项目基本情况!B4</f>
        <v>0</v>
      </c>
      <c r="B4" s="1511">
        <f>项目基本情况!C4</f>
        <v>0</v>
      </c>
      <c r="C4" s="1512"/>
      <c r="D4" s="1513" t="s">
        <v>933</v>
      </c>
    </row>
    <row r="5" spans="1:4" ht="56.25" customHeight="1">
      <c r="A5" s="1510">
        <f>项目基本情况!D4</f>
        <v>0</v>
      </c>
      <c r="B5" s="1511">
        <f>项目基本情况!E4</f>
        <v>0</v>
      </c>
      <c r="C5" s="1514"/>
      <c r="D5" s="1513" t="s">
        <v>933</v>
      </c>
    </row>
    <row r="6" spans="1:4" ht="18">
      <c r="A6" s="3496" t="s">
        <v>934</v>
      </c>
      <c r="B6" s="3496"/>
      <c r="C6" s="3496"/>
      <c r="D6" s="3496"/>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497" t="s">
        <v>937</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938</v>
      </c>
      <c r="B16" s="3501"/>
      <c r="C16" s="3501"/>
      <c r="D16" s="3501"/>
    </row>
    <row r="17" spans="1:4" ht="144" customHeight="1">
      <c r="A17" s="3501" t="s">
        <v>939</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940</v>
      </c>
      <c r="B22" s="3503"/>
      <c r="C22" s="3503"/>
      <c r="D22" s="3503"/>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09" t="s">
        <v>951</v>
      </c>
      <c r="B15" s="3504" t="s">
        <v>109</v>
      </c>
      <c r="C15" s="3505"/>
    </row>
    <row r="16" spans="1:7" ht="13.5">
      <c r="A16" s="3510"/>
      <c r="B16" s="3504" t="s">
        <v>42</v>
      </c>
      <c r="C16" s="3505"/>
    </row>
    <row r="17" spans="1:3" ht="13.5">
      <c r="A17" s="3510"/>
      <c r="B17" s="3507" t="s">
        <v>952</v>
      </c>
      <c r="C17" s="1532" t="s">
        <v>951</v>
      </c>
    </row>
    <row r="18" spans="1:3" ht="13.5">
      <c r="A18" s="3510"/>
      <c r="B18" s="3507"/>
      <c r="C18" s="1532" t="s">
        <v>953</v>
      </c>
    </row>
    <row r="19" spans="1:3" ht="13.5">
      <c r="A19" s="3510"/>
      <c r="B19" s="3507"/>
      <c r="C19" s="1532" t="s">
        <v>954</v>
      </c>
    </row>
    <row r="20" spans="1:3" ht="13.5">
      <c r="A20" s="3511"/>
      <c r="B20" s="3506" t="s">
        <v>955</v>
      </c>
      <c r="C20" s="3505"/>
    </row>
    <row r="21" spans="1:3" ht="13.5">
      <c r="A21" s="1533" t="s">
        <v>956</v>
      </c>
      <c r="B21" s="1534"/>
      <c r="C21" s="1535"/>
    </row>
    <row r="22" spans="1:3" ht="13.5">
      <c r="A22" s="3508" t="s">
        <v>957</v>
      </c>
      <c r="B22" s="3506" t="s">
        <v>958</v>
      </c>
      <c r="C22" s="3505"/>
    </row>
    <row r="23" spans="1:3" ht="13.5">
      <c r="A23" s="3508"/>
      <c r="B23" s="3506" t="s">
        <v>959</v>
      </c>
      <c r="C23" s="3505"/>
    </row>
    <row r="24" spans="1:3" ht="13.5">
      <c r="A24" s="3508"/>
      <c r="B24" s="3506" t="s">
        <v>960</v>
      </c>
      <c r="C24" s="3505"/>
    </row>
    <row r="25" spans="1:3" ht="13.5">
      <c r="A25" s="3508"/>
      <c r="B25" s="3507" t="s">
        <v>961</v>
      </c>
      <c r="C25" s="1532" t="s">
        <v>962</v>
      </c>
    </row>
    <row r="26" spans="1:3" ht="13.5">
      <c r="A26" s="3508"/>
      <c r="B26" s="3507"/>
      <c r="C26" s="1532" t="s">
        <v>963</v>
      </c>
    </row>
    <row r="27" spans="1:3" ht="13.5">
      <c r="A27" s="3508"/>
      <c r="B27" s="3507"/>
      <c r="C27" s="1532" t="s">
        <v>964</v>
      </c>
    </row>
    <row r="28" spans="1:3" ht="13.5">
      <c r="A28" s="3508"/>
      <c r="B28" s="3507"/>
      <c r="C28" s="1532" t="s">
        <v>965</v>
      </c>
    </row>
    <row r="29" spans="1:3" ht="13.5">
      <c r="A29" s="3508"/>
      <c r="B29" s="3507"/>
      <c r="C29" s="1532" t="s">
        <v>966</v>
      </c>
    </row>
    <row r="30" spans="1:3" ht="13.5">
      <c r="A30" s="3508"/>
      <c r="B30" s="3507"/>
      <c r="C30" s="1532" t="s">
        <v>967</v>
      </c>
    </row>
    <row r="31" spans="1:3" ht="13.5">
      <c r="A31" s="3508"/>
      <c r="B31" s="3507"/>
      <c r="C31" s="1532" t="s">
        <v>968</v>
      </c>
    </row>
    <row r="32" spans="1:3" ht="13.5">
      <c r="A32" s="3508"/>
      <c r="B32" s="3507"/>
      <c r="C32" s="1532" t="s">
        <v>969</v>
      </c>
    </row>
    <row r="33" spans="1:3" ht="13.5">
      <c r="A33" s="3508"/>
      <c r="B33" s="3507"/>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2134</v>
      </c>
      <c r="B2" s="2339">
        <f ca="1">TODAY()</f>
        <v>45147</v>
      </c>
      <c r="C2" s="2340" t="s">
        <v>2135</v>
      </c>
      <c r="D2" s="2340"/>
      <c r="E2" s="2340"/>
      <c r="F2" s="2336"/>
      <c r="G2" s="2336"/>
      <c r="H2" s="2336"/>
    </row>
    <row r="3" spans="1:8" ht="24" customHeight="1">
      <c r="A3" s="2341" t="s">
        <v>2136</v>
      </c>
      <c r="B3" s="2342" t="s">
        <v>2137</v>
      </c>
      <c r="C3" s="2342" t="s">
        <v>2138</v>
      </c>
      <c r="D3" s="2343" t="s">
        <v>2139</v>
      </c>
      <c r="E3" s="2344" t="s">
        <v>2140</v>
      </c>
      <c r="F3" s="1304" t="s">
        <v>2141</v>
      </c>
      <c r="G3" s="2342" t="s">
        <v>2138</v>
      </c>
      <c r="H3" s="2343" t="s">
        <v>2142</v>
      </c>
    </row>
    <row r="4" spans="1:8" ht="24" customHeight="1">
      <c r="A4" s="1304" t="s">
        <v>2143</v>
      </c>
      <c r="B4" s="1304">
        <f ca="1">IF(C4&lt;B2,"已过期",1119970066)</f>
        <v>1119970066</v>
      </c>
      <c r="C4" s="2345">
        <v>45937</v>
      </c>
      <c r="D4" s="2346" t="str">
        <f ca="1">A4&amp;"（注册号："&amp;B4&amp;"）"</f>
        <v>梁津（注册号：1119970066）</v>
      </c>
      <c r="E4" s="2347" t="s">
        <v>2143</v>
      </c>
      <c r="F4" s="1304">
        <f ca="1">IF(G4&lt;B2,"已过期",96010014)</f>
        <v>96010014</v>
      </c>
      <c r="G4" s="2348">
        <v>47118</v>
      </c>
      <c r="H4" s="2349" t="str">
        <f ca="1">E4&amp;"（注册号："&amp;F4&amp;"）"</f>
        <v>梁津（注册号：96010014）</v>
      </c>
    </row>
    <row r="5" spans="1:8" ht="24" customHeight="1">
      <c r="A5" s="1304" t="s">
        <v>2144</v>
      </c>
      <c r="B5" s="1304">
        <f ca="1">IF(C5&lt;B2,"已过期",1119970111)</f>
        <v>1119970111</v>
      </c>
      <c r="C5" s="2345">
        <v>45937</v>
      </c>
      <c r="D5" s="2346" t="str">
        <f t="shared" ref="D5:D15" ca="1" si="0">A5&amp;"（注册号："&amp;B5&amp;"）"</f>
        <v>叶凌（注册号：1119970111）</v>
      </c>
      <c r="E5" s="2347" t="s">
        <v>2144</v>
      </c>
      <c r="F5" s="1304">
        <f ca="1">IF(G5&lt;B2,"已过期",94010078)</f>
        <v>94010078</v>
      </c>
      <c r="G5" s="2348">
        <v>46387</v>
      </c>
      <c r="H5" s="2349" t="str">
        <f t="shared" ref="H5:H16" ca="1" si="1">E5&amp;"（注册号："&amp;F5&amp;"）"</f>
        <v>叶凌（注册号：94010078）</v>
      </c>
    </row>
    <row r="6" spans="1:8" ht="24" customHeight="1">
      <c r="A6" s="1304" t="s">
        <v>2145</v>
      </c>
      <c r="B6" s="1304">
        <f ca="1">IF(C6&lt;B2,"已过期",1120050019)</f>
        <v>1120050019</v>
      </c>
      <c r="C6" s="2345">
        <v>45410</v>
      </c>
      <c r="D6" s="2346" t="str">
        <f t="shared" ca="1" si="0"/>
        <v>王鹏（注册号：1120050019）</v>
      </c>
      <c r="E6" s="2347" t="s">
        <v>2145</v>
      </c>
      <c r="F6" s="1304">
        <f ca="1">IF(G6&lt;B2,"已过期",2002110030)</f>
        <v>2002110030</v>
      </c>
      <c r="G6" s="2348">
        <v>46387</v>
      </c>
      <c r="H6" s="2349" t="str">
        <f t="shared" ca="1" si="1"/>
        <v>王鹏（注册号：2002110030）</v>
      </c>
    </row>
    <row r="7" spans="1:8" ht="24" customHeight="1">
      <c r="A7" s="1304" t="s">
        <v>2146</v>
      </c>
      <c r="B7" s="1304">
        <f ca="1">IF(C7&lt;B2,"已过期",1120000080)</f>
        <v>1120000080</v>
      </c>
      <c r="C7" s="2345">
        <v>45937</v>
      </c>
      <c r="D7" s="2346" t="str">
        <f t="shared" ca="1" si="0"/>
        <v>欧红伟（注册号：1120000080）</v>
      </c>
      <c r="E7" s="2347" t="s">
        <v>2146</v>
      </c>
      <c r="F7" s="1304">
        <f ca="1">IF(G7&lt;B2,"已过期",2000110082)</f>
        <v>2000110082</v>
      </c>
      <c r="G7" s="2348">
        <v>46387</v>
      </c>
      <c r="H7" s="2349" t="str">
        <f t="shared" ca="1" si="1"/>
        <v>欧红伟（注册号：2000110082）</v>
      </c>
    </row>
    <row r="8" spans="1:8" ht="24" customHeight="1">
      <c r="A8" s="1304" t="s">
        <v>2147</v>
      </c>
      <c r="B8" s="1304">
        <f ca="1">IF(C8&lt;B2,"已过期",1419970001)</f>
        <v>1419970001</v>
      </c>
      <c r="C8" s="2345">
        <v>45937</v>
      </c>
      <c r="D8" s="2346" t="str">
        <f t="shared" ca="1" si="0"/>
        <v>吴薇（注册号：1419970001）</v>
      </c>
      <c r="E8" s="2347" t="s">
        <v>2147</v>
      </c>
      <c r="F8" s="1304">
        <f ca="1">IF(G8&lt;B2,"已过期",2002110125)</f>
        <v>2002110125</v>
      </c>
      <c r="G8" s="2348">
        <v>47118</v>
      </c>
      <c r="H8" s="2349" t="str">
        <f t="shared" ca="1" si="1"/>
        <v>吴薇（注册号：2002110125）</v>
      </c>
    </row>
    <row r="9" spans="1:8" ht="24" customHeight="1">
      <c r="A9" s="1304" t="s">
        <v>2148</v>
      </c>
      <c r="B9" s="1304">
        <f ca="1">IF(C9&lt;B2,"已过期",1120060040)</f>
        <v>1120060040</v>
      </c>
      <c r="C9" s="2350">
        <v>45592</v>
      </c>
      <c r="D9" s="2346" t="str">
        <f t="shared" ca="1" si="0"/>
        <v>陈颖（注册号：1120060040）</v>
      </c>
      <c r="E9" s="2347" t="s">
        <v>2148</v>
      </c>
      <c r="F9" s="1304">
        <f ca="1">IF(G9&lt;B2,"已过期",2004110096)</f>
        <v>2004110096</v>
      </c>
      <c r="G9" s="2348">
        <v>47118</v>
      </c>
      <c r="H9" s="2349" t="str">
        <f t="shared" ca="1" si="1"/>
        <v>陈颖（注册号：2004110096）</v>
      </c>
    </row>
    <row r="10" spans="1:8" ht="24" customHeight="1">
      <c r="A10" s="1304" t="s">
        <v>2149</v>
      </c>
      <c r="B10" s="1304">
        <f ca="1">IF(C10&lt;B2,"已过期",1120100036)</f>
        <v>1120100036</v>
      </c>
      <c r="C10" s="2350">
        <v>45752</v>
      </c>
      <c r="D10" s="2346" t="str">
        <f t="shared" ca="1" si="0"/>
        <v>崔锴（注册号：1120100036）</v>
      </c>
      <c r="E10" s="2347" t="s">
        <v>2149</v>
      </c>
      <c r="F10" s="1304">
        <f ca="1">IF(G10&lt;B2,"已过期",2010110070)</f>
        <v>2010110070</v>
      </c>
      <c r="G10" s="2348">
        <v>47907</v>
      </c>
      <c r="H10" s="2349" t="str">
        <f t="shared" ca="1" si="1"/>
        <v>崔锴（注册号：2010110070）</v>
      </c>
    </row>
    <row r="11" spans="1:8" ht="24" customHeight="1">
      <c r="A11" s="1304" t="s">
        <v>2150</v>
      </c>
      <c r="B11" s="1304">
        <f ca="1">IF(C11&lt;B2,"已过期",1120070131)</f>
        <v>1120070131</v>
      </c>
      <c r="C11" s="2345">
        <v>45937</v>
      </c>
      <c r="D11" s="2346" t="str">
        <f t="shared" ca="1" si="0"/>
        <v>郑燚（注册号：1120070131）</v>
      </c>
      <c r="E11" s="2347" t="s">
        <v>2150</v>
      </c>
      <c r="F11" s="1304">
        <f ca="1">IF(G11&lt;B2,"已过期",2014110011)</f>
        <v>2014110011</v>
      </c>
      <c r="G11" s="2348">
        <v>49302</v>
      </c>
      <c r="H11" s="2349" t="str">
        <f t="shared" ca="1" si="1"/>
        <v>郑燚（注册号：2014110011）</v>
      </c>
    </row>
    <row r="12" spans="1:8" ht="24" customHeight="1">
      <c r="A12" s="1304" t="s">
        <v>2151</v>
      </c>
      <c r="B12" s="1304">
        <f ca="1">IF(C12&lt;B2,"已过期",1120040230)</f>
        <v>1120040230</v>
      </c>
      <c r="C12" s="2350">
        <v>45937</v>
      </c>
      <c r="D12" s="2346" t="str">
        <f t="shared" ca="1" si="0"/>
        <v>苏海（注册号：1120040230）</v>
      </c>
      <c r="E12" s="2347" t="s">
        <v>2151</v>
      </c>
      <c r="F12" s="1304">
        <f ca="1">IF(G12&lt;B2,"已过期",98030020)</f>
        <v>98030020</v>
      </c>
      <c r="G12" s="2348">
        <v>47118</v>
      </c>
      <c r="H12" s="2349" t="str">
        <f t="shared" ca="1" si="1"/>
        <v>苏海（注册号：98030020）</v>
      </c>
    </row>
    <row r="13" spans="1:8" ht="24" customHeight="1">
      <c r="A13" s="1304" t="s">
        <v>2152</v>
      </c>
      <c r="B13" s="1304">
        <f ca="1">IF(C13&lt;B2,"已过期",1120020033)</f>
        <v>1120020033</v>
      </c>
      <c r="C13" s="2345">
        <v>45375</v>
      </c>
      <c r="D13" s="2346" t="str">
        <f t="shared" ca="1" si="0"/>
        <v>刘敬东（注册号：1120020033）</v>
      </c>
      <c r="E13" s="2347" t="s">
        <v>2152</v>
      </c>
      <c r="F13" s="1304">
        <f ca="1">IF(G13&lt;B2,"已过期",2000110137)</f>
        <v>2000110137</v>
      </c>
      <c r="G13" s="2348">
        <v>46387</v>
      </c>
      <c r="H13" s="2349" t="str">
        <f t="shared" ca="1" si="1"/>
        <v>刘敬东（注册号：2000110137）</v>
      </c>
    </row>
    <row r="14" spans="1:8" ht="24" customHeight="1">
      <c r="A14" s="1304" t="s">
        <v>2153</v>
      </c>
      <c r="B14" s="1304" t="str">
        <f ca="1">IF(C14&lt;B2,"已过期",1119980106)</f>
        <v>已过期</v>
      </c>
      <c r="C14" s="2350">
        <v>44969</v>
      </c>
      <c r="D14" s="2346" t="str">
        <f t="shared" ca="1" si="0"/>
        <v>刘俊财（注册号：已过期）</v>
      </c>
      <c r="E14" s="2347" t="s">
        <v>2153</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2154</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2" t="s">
        <v>2155</v>
      </c>
      <c r="B17" s="3512"/>
      <c r="C17" s="3512"/>
      <c r="D17" s="3512"/>
      <c r="E17" s="3512"/>
      <c r="F17" s="3512"/>
      <c r="G17" s="3512"/>
      <c r="H17" s="3512"/>
    </row>
    <row r="18" spans="1:8" ht="24" customHeight="1">
      <c r="A18" s="3513" t="s">
        <v>2156</v>
      </c>
      <c r="B18" s="3513"/>
      <c r="C18" s="3513"/>
      <c r="D18" s="2343"/>
      <c r="E18" s="3514" t="s">
        <v>2157</v>
      </c>
      <c r="F18" s="3513"/>
      <c r="G18" s="3513"/>
    </row>
    <row r="19" spans="1:8" s="2354" customFormat="1" ht="24" customHeight="1">
      <c r="A19" s="2353" t="s">
        <v>2158</v>
      </c>
      <c r="B19" s="2342" t="s">
        <v>2159</v>
      </c>
      <c r="C19" s="2342" t="s">
        <v>2138</v>
      </c>
      <c r="D19" s="2343"/>
      <c r="E19" s="2347" t="s">
        <v>2158</v>
      </c>
      <c r="F19" s="2342" t="s">
        <v>2159</v>
      </c>
      <c r="G19" s="2342" t="s">
        <v>2138</v>
      </c>
    </row>
    <row r="20" spans="1:8" s="2354" customFormat="1" ht="24" customHeight="1">
      <c r="A20" s="2355" t="s">
        <v>2160</v>
      </c>
      <c r="B20" s="2355" t="s">
        <v>2161</v>
      </c>
      <c r="C20" s="2348">
        <v>45898</v>
      </c>
      <c r="D20" s="2356"/>
      <c r="E20" s="2357" t="s">
        <v>2162</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比较法-办公</vt:lpstr>
      <vt:lpstr>收益法</vt:lpstr>
      <vt:lpstr>结果表(商业)</vt:lpstr>
      <vt:lpstr>比较法-商业</vt:lpstr>
      <vt:lpstr>收益法(商业)</vt:lpstr>
      <vt:lpstr>结果表(地下商业)</vt:lpstr>
      <vt:lpstr>成本法</vt:lpstr>
      <vt:lpstr>基准地价修正</vt:lpstr>
      <vt:lpstr>收益法(地下商业)</vt:lpstr>
      <vt:lpstr>土地比较法-住宅、综合</vt:lpstr>
      <vt:lpstr>成本法 (元)</vt:lpstr>
      <vt:lpstr>假设开发法</vt:lpstr>
      <vt:lpstr>收益法 (元)</vt:lpstr>
      <vt:lpstr>收益法-酒店模型</vt:lpstr>
      <vt:lpstr>收益法（汇总）</vt:lpstr>
      <vt:lpstr>比较法-住宅</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'结果表(地下商业)'!Print_Area</vt:lpstr>
      <vt:lpstr>'结果表(商业)'!Print_Area</vt:lpstr>
      <vt:lpstr>收益法!Print_Area</vt:lpstr>
      <vt:lpstr>'收益法 (元)'!Print_Area</vt:lpstr>
      <vt:lpstr>'收益法(地下商业)'!Print_Area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2023-08-09T08:04:57Z</dcterms:modified>
</cp:coreProperties>
</file>